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worksheets/sheet33.xml" ContentType="application/vnd.openxmlformats-officedocument.spreadsheetml.workshee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25.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shrsmb\groups\Strategic Planning Team\IRP Team Folder\2022IRP_Workpapers\"/>
    </mc:Choice>
  </mc:AlternateContent>
  <xr:revisionPtr revIDLastSave="0" documentId="13_ncr:1_{FB6E4DA2-EC7C-4ADE-B647-899F9E448343}" xr6:coauthVersionLast="47" xr6:coauthVersionMax="47" xr10:uidLastSave="{00000000-0000-0000-0000-000000000000}"/>
  <bookViews>
    <workbookView xWindow="-120" yWindow="-120" windowWidth="29040" windowHeight="15840" activeTab="2" xr2:uid="{1D798F5F-A231-4072-99E5-91D1BADF3482}"/>
  </bookViews>
  <sheets>
    <sheet name="Notes and Scenario Inputs" sheetId="42" r:id="rId1"/>
    <sheet name="Scenario Selection and Summary" sheetId="91" r:id="rId2"/>
    <sheet name="Compliance Data" sheetId="88" r:id="rId3"/>
    <sheet name="Gas Flow by State" sheetId="65" r:id="rId4"/>
    <sheet name="Emissions by State" sheetId="66" r:id="rId5"/>
    <sheet name="Demand by State by ST" sheetId="64" r:id="rId6"/>
    <sheet name="Compliance Resources by State" sheetId="63" r:id="rId7"/>
    <sheet name="Gas Supply Commodity Costs" sheetId="81" r:id="rId8"/>
    <sheet name="Conventional Supply Quantities" sheetId="82" r:id="rId9"/>
    <sheet name="Basin Weights" sheetId="83" r:id="rId10"/>
    <sheet name="Star Road Flow" sheetId="85" r:id="rId11"/>
    <sheet name="WACOG Calc" sheetId="84" r:id="rId12"/>
    <sheet name="Fixed Contracts" sheetId="71" r:id="rId13"/>
    <sheet name="Capacity Data" sheetId="107" r:id="rId14"/>
    <sheet name="Peak Day Forecast" sheetId="92" r:id="rId15"/>
    <sheet name="Pipeline Expansion" sheetId="105" r:id="rId16"/>
    <sheet name="Storage Expansion" sheetId="106" r:id="rId17"/>
    <sheet name="Incremental Capacity Costs" sheetId="104" r:id="rId18"/>
    <sheet name="MC_Supply Price RNG Tranche 1" sheetId="73" r:id="rId19"/>
    <sheet name="MC_Supply Price RNG Tranche 2" sheetId="74" r:id="rId20"/>
    <sheet name="MC_Supply Price Hydrogen" sheetId="72" r:id="rId21"/>
    <sheet name="MC_Supply Price Synthetic Metha" sheetId="75" r:id="rId22"/>
    <sheet name="MC_Supply Price WA Compliance C" sheetId="77" r:id="rId23"/>
    <sheet name="MC_Allowance Price" sheetId="87" r:id="rId24"/>
    <sheet name="MC_Supply Price Offsets" sheetId="76" r:id="rId25"/>
    <sheet name="OR CCI Price" sheetId="78" r:id="rId26"/>
    <sheet name="Graphs" sheetId="94" r:id="rId27"/>
    <sheet name="Load Reductions" sheetId="80" r:id="rId28"/>
    <sheet name="Customer Counts" sheetId="96" r:id="rId29"/>
    <sheet name="Heating Equipment Penetration" sheetId="97" r:id="rId30"/>
    <sheet name="Peak Load" sheetId="98" r:id="rId31"/>
    <sheet name="Annual Load" sheetId="99" r:id="rId32"/>
    <sheet name="Demand-Side Costs" sheetId="86" r:id="rId33"/>
    <sheet name="Oregon DSM Scenario Costs" sheetId="89" r:id="rId34"/>
    <sheet name="Washington DSM Scenario Costs" sheetId="90" r:id="rId35"/>
    <sheet name="Oregon Bill Impacts" sheetId="100" r:id="rId36"/>
    <sheet name="Washington Bill Impacts" sheetId="101" r:id="rId37"/>
  </sheets>
  <externalReferences>
    <externalReference r:id="rId38"/>
    <externalReference r:id="rId39"/>
    <externalReference r:id="rId40"/>
    <externalReference r:id="rId41"/>
    <externalReference r:id="rId42"/>
    <externalReference r:id="rId43"/>
    <externalReference r:id="rId44"/>
  </externalReferences>
  <definedNames>
    <definedName name="_xlnm._FilterDatabase" localSheetId="6" hidden="1">'Compliance Resources by State'!$A$1:$R$301</definedName>
    <definedName name="_xlnm._FilterDatabase" localSheetId="5" hidden="1">'Demand by State by ST'!$A$1:$K$301</definedName>
    <definedName name="_xlnm._FilterDatabase" localSheetId="4" hidden="1">'Emissions by State'!$A$1:$I$301</definedName>
    <definedName name="_xlnm._FilterDatabase" localSheetId="3" hidden="1">'Gas Flow by State'!$A$1:$I$301</definedName>
    <definedName name="_xlnm._FilterDatabase" localSheetId="25" hidden="1">'OR CCI Price'!$A$1:$D$411</definedName>
    <definedName name="_xlnm._FilterDatabase" localSheetId="15" hidden="1">'Pipeline Expansion'!$A$1:$O$211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8" i="91" l="1" a="1"/>
  <c r="T8" i="91" s="1"/>
  <c r="T6" i="91" a="1"/>
  <c r="T6" i="91" s="1"/>
  <c r="T7" i="91" a="1"/>
  <c r="T7" i="91" s="1"/>
  <c r="Z41" i="107"/>
  <c r="Q34" i="107" s="1" a="1"/>
  <c r="Q34" i="107" s="1"/>
  <c r="D39" i="107"/>
  <c r="D38" i="107"/>
  <c r="Z34" i="107"/>
  <c r="T34" i="107"/>
  <c r="R34" i="107"/>
  <c r="Z33" i="107"/>
  <c r="R33" i="107"/>
  <c r="T33" i="107" s="1"/>
  <c r="Z32" i="107"/>
  <c r="R32" i="107"/>
  <c r="T32" i="107" s="1"/>
  <c r="Z31" i="107"/>
  <c r="R31" i="107"/>
  <c r="T31" i="107" s="1"/>
  <c r="Z30" i="107"/>
  <c r="T30" i="107"/>
  <c r="R30" i="107"/>
  <c r="Z29" i="107"/>
  <c r="R29" i="107"/>
  <c r="T29" i="107" s="1"/>
  <c r="Z28" i="107"/>
  <c r="R28" i="107"/>
  <c r="T28" i="107" s="1"/>
  <c r="Z27" i="107"/>
  <c r="R27" i="107"/>
  <c r="T27" i="107" s="1"/>
  <c r="Z26" i="107"/>
  <c r="T26" i="107"/>
  <c r="R26" i="107"/>
  <c r="Z25" i="107"/>
  <c r="R25" i="107"/>
  <c r="T25" i="107" s="1"/>
  <c r="Z24" i="107"/>
  <c r="R24" i="107"/>
  <c r="T24" i="107" s="1"/>
  <c r="Z23" i="107"/>
  <c r="R23" i="107"/>
  <c r="T23" i="107" s="1"/>
  <c r="Z22" i="107"/>
  <c r="R22" i="107"/>
  <c r="T22" i="107" s="1"/>
  <c r="Z21" i="107"/>
  <c r="R21" i="107"/>
  <c r="T21" i="107" s="1"/>
  <c r="Z20" i="107"/>
  <c r="R20" i="107"/>
  <c r="T20" i="107" s="1"/>
  <c r="Z19" i="107"/>
  <c r="R19" i="107"/>
  <c r="T19" i="107" s="1"/>
  <c r="Z18" i="107"/>
  <c r="R18" i="107"/>
  <c r="T18" i="107" s="1"/>
  <c r="Z17" i="107"/>
  <c r="T17" i="107"/>
  <c r="R17" i="107"/>
  <c r="Z16" i="107"/>
  <c r="R16" i="107"/>
  <c r="T16" i="107" s="1"/>
  <c r="Z15" i="107"/>
  <c r="R15" i="107"/>
  <c r="T15" i="107" s="1"/>
  <c r="Z14" i="107"/>
  <c r="R14" i="107"/>
  <c r="T14" i="107" s="1"/>
  <c r="Z13" i="107"/>
  <c r="R13" i="107"/>
  <c r="T13" i="107" s="1"/>
  <c r="Z12" i="107"/>
  <c r="T12" i="107"/>
  <c r="R12" i="107"/>
  <c r="Z11" i="107"/>
  <c r="R11" i="107"/>
  <c r="T11" i="107" s="1"/>
  <c r="Z10" i="107"/>
  <c r="R10" i="107"/>
  <c r="T10" i="107" s="1"/>
  <c r="Z9" i="107"/>
  <c r="R9" i="107"/>
  <c r="T9" i="107" s="1"/>
  <c r="Z8" i="107"/>
  <c r="T8" i="107"/>
  <c r="R8" i="107"/>
  <c r="Z7" i="107"/>
  <c r="R7" i="107"/>
  <c r="T7" i="107" s="1"/>
  <c r="Z6" i="107"/>
  <c r="Y6" i="107"/>
  <c r="W6" i="107"/>
  <c r="U6" i="107"/>
  <c r="T6" i="107"/>
  <c r="R6" i="107"/>
  <c r="S2" i="107"/>
  <c r="C9" i="104"/>
  <c r="C17" i="104"/>
  <c r="C25" i="104"/>
  <c r="C33" i="104"/>
  <c r="C41" i="104"/>
  <c r="C49" i="104"/>
  <c r="C57" i="104"/>
  <c r="C65" i="104"/>
  <c r="C73" i="104"/>
  <c r="C81" i="104"/>
  <c r="C89" i="104"/>
  <c r="C97" i="104"/>
  <c r="C105" i="104"/>
  <c r="C113" i="104"/>
  <c r="C121" i="104"/>
  <c r="C129" i="104"/>
  <c r="C137" i="104"/>
  <c r="C145" i="104"/>
  <c r="C153" i="104"/>
  <c r="C161" i="104"/>
  <c r="C169" i="104"/>
  <c r="C177" i="104"/>
  <c r="C185" i="104"/>
  <c r="C193" i="104"/>
  <c r="C201" i="104"/>
  <c r="C209" i="104"/>
  <c r="C217" i="104"/>
  <c r="C225" i="104"/>
  <c r="C233" i="104"/>
  <c r="C241" i="104"/>
  <c r="C249" i="104"/>
  <c r="C257" i="104"/>
  <c r="C265" i="104"/>
  <c r="C273" i="104"/>
  <c r="C281" i="104"/>
  <c r="C289" i="104"/>
  <c r="C297" i="104"/>
  <c r="C301" i="104"/>
  <c r="C2" i="104"/>
  <c r="C300" i="104"/>
  <c r="C299" i="104"/>
  <c r="C298" i="104"/>
  <c r="C296" i="104"/>
  <c r="C295" i="104"/>
  <c r="C294" i="104"/>
  <c r="C293" i="104"/>
  <c r="C292" i="104"/>
  <c r="C291" i="104"/>
  <c r="C290" i="104"/>
  <c r="C288" i="104"/>
  <c r="C287" i="104"/>
  <c r="C286" i="104"/>
  <c r="C285" i="104"/>
  <c r="C284" i="104"/>
  <c r="C283" i="104"/>
  <c r="C282" i="104"/>
  <c r="C280" i="104"/>
  <c r="C279" i="104"/>
  <c r="C278" i="104"/>
  <c r="C277" i="104"/>
  <c r="C276" i="104"/>
  <c r="C275" i="104"/>
  <c r="C274" i="104"/>
  <c r="C272" i="104"/>
  <c r="C271" i="104"/>
  <c r="C270" i="104"/>
  <c r="C269" i="104"/>
  <c r="C268" i="104"/>
  <c r="C267" i="104"/>
  <c r="C266" i="104"/>
  <c r="C264" i="104"/>
  <c r="C263" i="104"/>
  <c r="C262" i="104"/>
  <c r="C261" i="104"/>
  <c r="C260" i="104"/>
  <c r="C259" i="104"/>
  <c r="C258" i="104"/>
  <c r="C256" i="104"/>
  <c r="C255" i="104"/>
  <c r="C254" i="104"/>
  <c r="C253" i="104"/>
  <c r="C252" i="104"/>
  <c r="C251" i="104"/>
  <c r="C250" i="104"/>
  <c r="C248" i="104"/>
  <c r="C247" i="104"/>
  <c r="C246" i="104"/>
  <c r="C245" i="104"/>
  <c r="C244" i="104"/>
  <c r="C243" i="104"/>
  <c r="C242" i="104"/>
  <c r="C240" i="104"/>
  <c r="C239" i="104"/>
  <c r="C238" i="104"/>
  <c r="C237" i="104"/>
  <c r="C236" i="104"/>
  <c r="C235" i="104"/>
  <c r="C234" i="104"/>
  <c r="C232" i="104"/>
  <c r="C231" i="104"/>
  <c r="C230" i="104"/>
  <c r="C229" i="104"/>
  <c r="C228" i="104"/>
  <c r="C227" i="104"/>
  <c r="C226" i="104"/>
  <c r="C224" i="104"/>
  <c r="C223" i="104"/>
  <c r="C222" i="104"/>
  <c r="C221" i="104"/>
  <c r="C220" i="104"/>
  <c r="C219" i="104"/>
  <c r="C218" i="104"/>
  <c r="C216" i="104"/>
  <c r="C215" i="104"/>
  <c r="C214" i="104"/>
  <c r="C213" i="104"/>
  <c r="C212" i="104"/>
  <c r="C211" i="104"/>
  <c r="C210" i="104"/>
  <c r="C208" i="104"/>
  <c r="C207" i="104"/>
  <c r="C206" i="104"/>
  <c r="C205" i="104"/>
  <c r="C204" i="104"/>
  <c r="C203" i="104"/>
  <c r="C202" i="104"/>
  <c r="C200" i="104"/>
  <c r="C199" i="104"/>
  <c r="C198" i="104"/>
  <c r="C197" i="104"/>
  <c r="C196" i="104"/>
  <c r="C195" i="104"/>
  <c r="C194" i="104"/>
  <c r="C192" i="104"/>
  <c r="C191" i="104"/>
  <c r="C190" i="104"/>
  <c r="C189" i="104"/>
  <c r="C188" i="104"/>
  <c r="C187" i="104"/>
  <c r="C186" i="104"/>
  <c r="C184" i="104"/>
  <c r="C183" i="104"/>
  <c r="C182" i="104"/>
  <c r="C181" i="104"/>
  <c r="C180" i="104"/>
  <c r="C179" i="104"/>
  <c r="C178" i="104"/>
  <c r="C176" i="104"/>
  <c r="C175" i="104"/>
  <c r="C174" i="104"/>
  <c r="C173" i="104"/>
  <c r="C172" i="104"/>
  <c r="C171" i="104"/>
  <c r="C170" i="104"/>
  <c r="C168" i="104"/>
  <c r="C167" i="104"/>
  <c r="C166" i="104"/>
  <c r="C165" i="104"/>
  <c r="C164" i="104"/>
  <c r="C163" i="104"/>
  <c r="C162" i="104"/>
  <c r="C160" i="104"/>
  <c r="C159" i="104"/>
  <c r="C158" i="104"/>
  <c r="C157" i="104"/>
  <c r="C156" i="104"/>
  <c r="C155" i="104"/>
  <c r="C154" i="104"/>
  <c r="C152" i="104"/>
  <c r="C151" i="104"/>
  <c r="C150" i="104"/>
  <c r="C149" i="104"/>
  <c r="C148" i="104"/>
  <c r="C147" i="104"/>
  <c r="C146" i="104"/>
  <c r="C144" i="104"/>
  <c r="C143" i="104"/>
  <c r="C142" i="104"/>
  <c r="C141" i="104"/>
  <c r="C140" i="104"/>
  <c r="C139" i="104"/>
  <c r="C138" i="104"/>
  <c r="C136" i="104"/>
  <c r="C135" i="104"/>
  <c r="C134" i="104"/>
  <c r="C133" i="104"/>
  <c r="C132" i="104"/>
  <c r="C131" i="104"/>
  <c r="C130" i="104"/>
  <c r="C128" i="104"/>
  <c r="C127" i="104"/>
  <c r="C126" i="104"/>
  <c r="C125" i="104"/>
  <c r="C124" i="104"/>
  <c r="C123" i="104"/>
  <c r="C122" i="104"/>
  <c r="C120" i="104"/>
  <c r="C119" i="104"/>
  <c r="C118" i="104"/>
  <c r="C117" i="104"/>
  <c r="C116" i="104"/>
  <c r="C115" i="104"/>
  <c r="C114" i="104"/>
  <c r="C112" i="104"/>
  <c r="C111" i="104"/>
  <c r="C110" i="104"/>
  <c r="C109" i="104"/>
  <c r="C108" i="104"/>
  <c r="C107" i="104"/>
  <c r="C106" i="104"/>
  <c r="C104" i="104"/>
  <c r="C103" i="104"/>
  <c r="C102" i="104"/>
  <c r="C101" i="104"/>
  <c r="C100" i="104"/>
  <c r="C99" i="104"/>
  <c r="C98" i="104"/>
  <c r="C96" i="104"/>
  <c r="C95" i="104"/>
  <c r="C94" i="104"/>
  <c r="C93" i="104"/>
  <c r="C92" i="104"/>
  <c r="C91" i="104"/>
  <c r="C90" i="104"/>
  <c r="C88" i="104"/>
  <c r="C87" i="104"/>
  <c r="C86" i="104"/>
  <c r="C85" i="104"/>
  <c r="C84" i="104"/>
  <c r="C83" i="104"/>
  <c r="C82" i="104"/>
  <c r="C80" i="104"/>
  <c r="C79" i="104"/>
  <c r="C78" i="104"/>
  <c r="C77" i="104"/>
  <c r="C76" i="104"/>
  <c r="C75" i="104"/>
  <c r="C74" i="104"/>
  <c r="C72" i="104"/>
  <c r="C71" i="104"/>
  <c r="C70" i="104"/>
  <c r="C69" i="104"/>
  <c r="C68" i="104"/>
  <c r="C67" i="104"/>
  <c r="C66" i="104"/>
  <c r="C64" i="104"/>
  <c r="C63" i="104"/>
  <c r="C62" i="104"/>
  <c r="C61" i="104"/>
  <c r="C60" i="104"/>
  <c r="C59" i="104"/>
  <c r="C58" i="104"/>
  <c r="C56" i="104"/>
  <c r="C55" i="104"/>
  <c r="C54" i="104"/>
  <c r="C53" i="104"/>
  <c r="C52" i="104"/>
  <c r="C51" i="104"/>
  <c r="C50" i="104"/>
  <c r="C48" i="104"/>
  <c r="C47" i="104"/>
  <c r="C46" i="104"/>
  <c r="C45" i="104"/>
  <c r="C44" i="104"/>
  <c r="C43" i="104"/>
  <c r="C42" i="104"/>
  <c r="C40" i="104"/>
  <c r="C39" i="104"/>
  <c r="C38" i="104"/>
  <c r="C37" i="104"/>
  <c r="C36" i="104"/>
  <c r="C35" i="104"/>
  <c r="C34" i="104"/>
  <c r="C32" i="104"/>
  <c r="C31" i="104"/>
  <c r="C30" i="104"/>
  <c r="C29" i="104"/>
  <c r="C28" i="104"/>
  <c r="C27" i="104"/>
  <c r="C26" i="104"/>
  <c r="C24" i="104"/>
  <c r="C23" i="104"/>
  <c r="C22" i="104"/>
  <c r="C21" i="104"/>
  <c r="C20" i="104"/>
  <c r="C19" i="104"/>
  <c r="C18" i="104"/>
  <c r="C16" i="104"/>
  <c r="C15" i="104"/>
  <c r="C14" i="104"/>
  <c r="C13" i="104"/>
  <c r="C12" i="104"/>
  <c r="C11" i="104"/>
  <c r="C10" i="104"/>
  <c r="C8" i="104"/>
  <c r="C7" i="104"/>
  <c r="C6" i="104"/>
  <c r="C5" i="104"/>
  <c r="C4" i="104"/>
  <c r="C3" i="104"/>
  <c r="H34" i="107" l="1" a="1"/>
  <c r="H34" i="107" s="1"/>
  <c r="V12" i="107"/>
  <c r="X12" i="107" s="1"/>
  <c r="V22" i="107"/>
  <c r="X22" i="107" s="1"/>
  <c r="V28" i="107"/>
  <c r="X28" i="107" s="1"/>
  <c r="V7" i="107"/>
  <c r="V6" i="107" s="1"/>
  <c r="V33" i="107"/>
  <c r="X33" i="107" s="1"/>
  <c r="C32" i="107" a="1"/>
  <c r="C32" i="107" s="1"/>
  <c r="V17" i="107"/>
  <c r="X17" i="107" s="1"/>
  <c r="V27" i="107"/>
  <c r="X27" i="107" s="1"/>
  <c r="C25" i="107" a="1"/>
  <c r="C25" i="107" s="1"/>
  <c r="C24" i="107" a="1"/>
  <c r="C24" i="107" s="1"/>
  <c r="V25" i="107"/>
  <c r="X25" i="107" s="1"/>
  <c r="C18" i="107" a="1"/>
  <c r="C18" i="107" s="1"/>
  <c r="H10" i="107" a="1"/>
  <c r="H10" i="107" s="1"/>
  <c r="V23" i="107"/>
  <c r="X23" i="107" s="1"/>
  <c r="V32" i="107"/>
  <c r="X32" i="107" s="1"/>
  <c r="C12" i="107" a="1"/>
  <c r="C12" i="107" s="1"/>
  <c r="K34" i="107" a="1"/>
  <c r="K34" i="107" s="1"/>
  <c r="C11" i="107" a="1"/>
  <c r="C11" i="107" s="1"/>
  <c r="K27" i="107" a="1"/>
  <c r="K27" i="107" s="1"/>
  <c r="D21" i="107" a="1"/>
  <c r="D21" i="107" s="1"/>
  <c r="L12" i="107" a="1"/>
  <c r="L12" i="107" s="1"/>
  <c r="D8" i="107" a="1"/>
  <c r="D8" i="107" s="1"/>
  <c r="M13" i="107" a="1"/>
  <c r="M13" i="107" s="1"/>
  <c r="C31" i="107" a="1"/>
  <c r="C31" i="107" s="1"/>
  <c r="E17" i="107" a="1"/>
  <c r="E17" i="107" s="1"/>
  <c r="M26" i="107" a="1"/>
  <c r="M26" i="107" s="1"/>
  <c r="F8" i="107" a="1"/>
  <c r="F8" i="107" s="1"/>
  <c r="O28" i="107" a="1"/>
  <c r="O28" i="107" s="1"/>
  <c r="E30" i="107" a="1"/>
  <c r="E30" i="107" s="1"/>
  <c r="H26" i="107" a="1"/>
  <c r="H26" i="107" s="1"/>
  <c r="K21" i="107" a="1"/>
  <c r="K21" i="107" s="1"/>
  <c r="M32" i="107" a="1"/>
  <c r="M32" i="107" s="1"/>
  <c r="P6" i="107" a="1"/>
  <c r="P6" i="107" s="1"/>
  <c r="E23" i="107" a="1"/>
  <c r="E23" i="107" s="1"/>
  <c r="H18" i="107" a="1"/>
  <c r="H18" i="107" s="1"/>
  <c r="K8" i="107" a="1"/>
  <c r="K8" i="107" s="1"/>
  <c r="N11" i="107" a="1"/>
  <c r="N11" i="107" s="1"/>
  <c r="P13" i="107" a="1"/>
  <c r="P13" i="107" s="1"/>
  <c r="N19" i="107" a="1"/>
  <c r="N19" i="107" s="1"/>
  <c r="P26" i="107" a="1"/>
  <c r="P26" i="107" s="1"/>
  <c r="D34" i="107" a="1"/>
  <c r="D34" i="107" s="1"/>
  <c r="F32" i="107" a="1"/>
  <c r="F32" i="107" s="1"/>
  <c r="I32" i="107" a="1"/>
  <c r="I32" i="107" s="1"/>
  <c r="L20" i="107" a="1"/>
  <c r="L20" i="107" s="1"/>
  <c r="N27" i="107" a="1"/>
  <c r="N27" i="107" s="1"/>
  <c r="P32" i="107" a="1"/>
  <c r="P32" i="107" s="1"/>
  <c r="D28" i="107" a="1"/>
  <c r="D28" i="107" s="1"/>
  <c r="F24" i="107" a="1"/>
  <c r="F24" i="107" s="1"/>
  <c r="I16" i="107" a="1"/>
  <c r="I16" i="107" s="1"/>
  <c r="L28" i="107" a="1"/>
  <c r="L28" i="107" s="1"/>
  <c r="O6" i="107" a="1"/>
  <c r="O6" i="107" s="1"/>
  <c r="Q11" i="107" a="1"/>
  <c r="Q11" i="107" s="1"/>
  <c r="D27" i="107" a="1"/>
  <c r="D27" i="107" s="1"/>
  <c r="F16" i="107" a="1"/>
  <c r="F16" i="107" s="1"/>
  <c r="I10" i="107" a="1"/>
  <c r="I10" i="107" s="1"/>
  <c r="M7" i="107" a="1"/>
  <c r="M7" i="107" s="1"/>
  <c r="AH7" i="107" s="1"/>
  <c r="O14" i="107" a="1"/>
  <c r="O14" i="107" s="1"/>
  <c r="Q19" i="107" a="1"/>
  <c r="Q19" i="107" s="1"/>
  <c r="O22" i="107" a="1"/>
  <c r="O22" i="107" s="1"/>
  <c r="Q27" i="107" a="1"/>
  <c r="Q27" i="107" s="1"/>
  <c r="V10" i="107"/>
  <c r="X10" i="107" s="1"/>
  <c r="V15" i="107"/>
  <c r="X15" i="107" s="1"/>
  <c r="V20" i="107"/>
  <c r="X20" i="107" s="1"/>
  <c r="V30" i="107"/>
  <c r="X30" i="107" s="1"/>
  <c r="C23" i="107" a="1"/>
  <c r="C23" i="107" s="1"/>
  <c r="C17" i="107" a="1"/>
  <c r="C17" i="107" s="1"/>
  <c r="D33" i="107" a="1"/>
  <c r="D33" i="107" s="1"/>
  <c r="D20" i="107" a="1"/>
  <c r="D20" i="107" s="1"/>
  <c r="D14" i="107" a="1"/>
  <c r="D14" i="107" s="1"/>
  <c r="D7" i="107" a="1"/>
  <c r="D7" i="107" s="1"/>
  <c r="E29" i="107" a="1"/>
  <c r="E29" i="107" s="1"/>
  <c r="E16" i="107" a="1"/>
  <c r="E16" i="107" s="1"/>
  <c r="E10" i="107" a="1"/>
  <c r="E10" i="107" s="1"/>
  <c r="F31" i="107" a="1"/>
  <c r="F31" i="107" s="1"/>
  <c r="F23" i="107" a="1"/>
  <c r="F23" i="107" s="1"/>
  <c r="F15" i="107" a="1"/>
  <c r="F15" i="107" s="1"/>
  <c r="F7" i="107" a="1"/>
  <c r="F7" i="107" s="1"/>
  <c r="H33" i="107" a="1"/>
  <c r="H33" i="107" s="1"/>
  <c r="H25" i="107" a="1"/>
  <c r="H25" i="107" s="1"/>
  <c r="H17" i="107" a="1"/>
  <c r="H17" i="107" s="1"/>
  <c r="H9" i="107" a="1"/>
  <c r="H9" i="107" s="1"/>
  <c r="I31" i="107" a="1"/>
  <c r="I31" i="107" s="1"/>
  <c r="I26" i="107" a="1"/>
  <c r="I26" i="107" s="1"/>
  <c r="I21" i="107" a="1"/>
  <c r="I21" i="107" s="1"/>
  <c r="I15" i="107" a="1"/>
  <c r="I15" i="107" s="1"/>
  <c r="K33" i="107" a="1"/>
  <c r="K33" i="107" s="1"/>
  <c r="K20" i="107" a="1"/>
  <c r="K20" i="107" s="1"/>
  <c r="K14" i="107" a="1"/>
  <c r="K14" i="107" s="1"/>
  <c r="K7" i="107" a="1"/>
  <c r="K7" i="107" s="1"/>
  <c r="AF7" i="107" s="1"/>
  <c r="L13" i="107" a="1"/>
  <c r="L13" i="107" s="1"/>
  <c r="L21" i="107" a="1"/>
  <c r="L21" i="107" s="1"/>
  <c r="L29" i="107" a="1"/>
  <c r="L29" i="107" s="1"/>
  <c r="M14" i="107" a="1"/>
  <c r="M14" i="107" s="1"/>
  <c r="M20" i="107" a="1"/>
  <c r="M20" i="107" s="1"/>
  <c r="M27" i="107" a="1"/>
  <c r="M27" i="107" s="1"/>
  <c r="M33" i="107" a="1"/>
  <c r="M33" i="107" s="1"/>
  <c r="N12" i="107" a="1"/>
  <c r="N12" i="107" s="1"/>
  <c r="N20" i="107" a="1"/>
  <c r="N20" i="107" s="1"/>
  <c r="N28" i="107" a="1"/>
  <c r="N28" i="107" s="1"/>
  <c r="O7" i="107" a="1"/>
  <c r="O7" i="107" s="1"/>
  <c r="AJ7" i="107" s="1"/>
  <c r="O15" i="107" a="1"/>
  <c r="O15" i="107" s="1"/>
  <c r="O23" i="107" a="1"/>
  <c r="O23" i="107" s="1"/>
  <c r="O29" i="107" a="1"/>
  <c r="O29" i="107" s="1"/>
  <c r="P7" i="107" a="1"/>
  <c r="P7" i="107" s="1"/>
  <c r="AK7" i="107" s="1"/>
  <c r="P14" i="107" a="1"/>
  <c r="P14" i="107" s="1"/>
  <c r="P20" i="107" a="1"/>
  <c r="P20" i="107" s="1"/>
  <c r="P27" i="107" a="1"/>
  <c r="P27" i="107" s="1"/>
  <c r="P33" i="107" a="1"/>
  <c r="P33" i="107" s="1"/>
  <c r="Q12" i="107" a="1"/>
  <c r="Q12" i="107" s="1"/>
  <c r="Q20" i="107" a="1"/>
  <c r="Q20" i="107" s="1"/>
  <c r="Q28" i="107" a="1"/>
  <c r="Q28" i="107" s="1"/>
  <c r="C30" i="107" a="1"/>
  <c r="C30" i="107" s="1"/>
  <c r="C16" i="107" a="1"/>
  <c r="C16" i="107" s="1"/>
  <c r="C10" i="107" a="1"/>
  <c r="C10" i="107" s="1"/>
  <c r="D32" i="107" a="1"/>
  <c r="D32" i="107" s="1"/>
  <c r="D26" i="107" a="1"/>
  <c r="D26" i="107" s="1"/>
  <c r="D19" i="107" a="1"/>
  <c r="D19" i="107" s="1"/>
  <c r="D13" i="107" a="1"/>
  <c r="D13" i="107" s="1"/>
  <c r="E6" i="107" a="1"/>
  <c r="E6" i="107" s="1"/>
  <c r="E28" i="107" a="1"/>
  <c r="E28" i="107" s="1"/>
  <c r="E22" i="107" a="1"/>
  <c r="E22" i="107" s="1"/>
  <c r="E15" i="107" a="1"/>
  <c r="E15" i="107" s="1"/>
  <c r="E9" i="107" a="1"/>
  <c r="E9" i="107" s="1"/>
  <c r="F30" i="107" a="1"/>
  <c r="F30" i="107" s="1"/>
  <c r="F22" i="107" a="1"/>
  <c r="F22" i="107" s="1"/>
  <c r="F14" i="107" a="1"/>
  <c r="F14" i="107" s="1"/>
  <c r="H32" i="107" a="1"/>
  <c r="H32" i="107" s="1"/>
  <c r="H24" i="107" a="1"/>
  <c r="H24" i="107" s="1"/>
  <c r="H16" i="107" a="1"/>
  <c r="H16" i="107" s="1"/>
  <c r="H8" i="107" a="1"/>
  <c r="H8" i="107" s="1"/>
  <c r="I20" i="107" a="1"/>
  <c r="I20" i="107" s="1"/>
  <c r="I9" i="107" a="1"/>
  <c r="I9" i="107" s="1"/>
  <c r="K32" i="107" a="1"/>
  <c r="K32" i="107" s="1"/>
  <c r="K26" i="107" a="1"/>
  <c r="K26" i="107" s="1"/>
  <c r="K19" i="107" a="1"/>
  <c r="K19" i="107" s="1"/>
  <c r="K13" i="107" a="1"/>
  <c r="K13" i="107" s="1"/>
  <c r="L6" i="107" a="1"/>
  <c r="L6" i="107" s="1"/>
  <c r="L14" i="107" a="1"/>
  <c r="L14" i="107" s="1"/>
  <c r="L22" i="107" a="1"/>
  <c r="L22" i="107" s="1"/>
  <c r="L30" i="107" a="1"/>
  <c r="L30" i="107" s="1"/>
  <c r="M8" i="107" a="1"/>
  <c r="M8" i="107" s="1"/>
  <c r="M15" i="107" a="1"/>
  <c r="M15" i="107" s="1"/>
  <c r="M21" i="107" a="1"/>
  <c r="M21" i="107" s="1"/>
  <c r="M34" i="107" a="1"/>
  <c r="M34" i="107" s="1"/>
  <c r="N13" i="107" a="1"/>
  <c r="N13" i="107" s="1"/>
  <c r="N21" i="107" a="1"/>
  <c r="N21" i="107" s="1"/>
  <c r="N29" i="107" a="1"/>
  <c r="N29" i="107" s="1"/>
  <c r="O8" i="107" a="1"/>
  <c r="O8" i="107" s="1"/>
  <c r="AJ8" i="107" s="1"/>
  <c r="O16" i="107" a="1"/>
  <c r="O16" i="107" s="1"/>
  <c r="O30" i="107" a="1"/>
  <c r="O30" i="107" s="1"/>
  <c r="P8" i="107" a="1"/>
  <c r="P8" i="107" s="1"/>
  <c r="P15" i="107" a="1"/>
  <c r="P15" i="107" s="1"/>
  <c r="P21" i="107" a="1"/>
  <c r="P21" i="107" s="1"/>
  <c r="P34" i="107" a="1"/>
  <c r="P34" i="107" s="1"/>
  <c r="Q13" i="107" a="1"/>
  <c r="Q13" i="107" s="1"/>
  <c r="Q21" i="107" a="1"/>
  <c r="Q21" i="107" s="1"/>
  <c r="Q29" i="107" a="1"/>
  <c r="Q29" i="107" s="1"/>
  <c r="V8" i="107"/>
  <c r="X8" i="107" s="1"/>
  <c r="V13" i="107"/>
  <c r="X13" i="107" s="1"/>
  <c r="V18" i="107"/>
  <c r="X18" i="107" s="1"/>
  <c r="C6" i="107" a="1"/>
  <c r="C6" i="107" s="1"/>
  <c r="C29" i="107" a="1"/>
  <c r="C29" i="107" s="1"/>
  <c r="C22" i="107" a="1"/>
  <c r="C22" i="107" s="1"/>
  <c r="C15" i="107" a="1"/>
  <c r="C15" i="107" s="1"/>
  <c r="C9" i="107" a="1"/>
  <c r="C9" i="107" s="1"/>
  <c r="D31" i="107" a="1"/>
  <c r="D31" i="107" s="1"/>
  <c r="D25" i="107" a="1"/>
  <c r="D25" i="107" s="1"/>
  <c r="D12" i="107" a="1"/>
  <c r="D12" i="107" s="1"/>
  <c r="E34" i="107" a="1"/>
  <c r="E34" i="107" s="1"/>
  <c r="E27" i="107" a="1"/>
  <c r="E27" i="107" s="1"/>
  <c r="E21" i="107" a="1"/>
  <c r="E21" i="107" s="1"/>
  <c r="E8" i="107" a="1"/>
  <c r="E8" i="107" s="1"/>
  <c r="F29" i="107" a="1"/>
  <c r="F29" i="107" s="1"/>
  <c r="F21" i="107" a="1"/>
  <c r="F21" i="107" s="1"/>
  <c r="F13" i="107" a="1"/>
  <c r="F13" i="107" s="1"/>
  <c r="H31" i="107" a="1"/>
  <c r="H31" i="107" s="1"/>
  <c r="H23" i="107" a="1"/>
  <c r="H23" i="107" s="1"/>
  <c r="H15" i="107" a="1"/>
  <c r="H15" i="107" s="1"/>
  <c r="H7" i="107" a="1"/>
  <c r="H7" i="107" s="1"/>
  <c r="AC7" i="107" s="1"/>
  <c r="I30" i="107" a="1"/>
  <c r="I30" i="107" s="1"/>
  <c r="I25" i="107" a="1"/>
  <c r="I25" i="107" s="1"/>
  <c r="I19" i="107" a="1"/>
  <c r="I19" i="107" s="1"/>
  <c r="I14" i="107" a="1"/>
  <c r="I14" i="107" s="1"/>
  <c r="I8" i="107" a="1"/>
  <c r="I8" i="107" s="1"/>
  <c r="K31" i="107" a="1"/>
  <c r="K31" i="107" s="1"/>
  <c r="K25" i="107" a="1"/>
  <c r="K25" i="107" s="1"/>
  <c r="K12" i="107" a="1"/>
  <c r="K12" i="107" s="1"/>
  <c r="L7" i="107" a="1"/>
  <c r="L7" i="107" s="1"/>
  <c r="AG7" i="107" s="1"/>
  <c r="L15" i="107" a="1"/>
  <c r="L15" i="107" s="1"/>
  <c r="L23" i="107" a="1"/>
  <c r="L23" i="107" s="1"/>
  <c r="L31" i="107" a="1"/>
  <c r="L31" i="107" s="1"/>
  <c r="M9" i="107" a="1"/>
  <c r="M9" i="107" s="1"/>
  <c r="M22" i="107" a="1"/>
  <c r="M22" i="107" s="1"/>
  <c r="M28" i="107" a="1"/>
  <c r="M28" i="107" s="1"/>
  <c r="N6" i="107" a="1"/>
  <c r="N6" i="107" s="1"/>
  <c r="N14" i="107" a="1"/>
  <c r="N14" i="107" s="1"/>
  <c r="N22" i="107" a="1"/>
  <c r="N22" i="107" s="1"/>
  <c r="N30" i="107" a="1"/>
  <c r="N30" i="107" s="1"/>
  <c r="O9" i="107" a="1"/>
  <c r="O9" i="107" s="1"/>
  <c r="O17" i="107" a="1"/>
  <c r="O17" i="107" s="1"/>
  <c r="O24" i="107" a="1"/>
  <c r="O24" i="107" s="1"/>
  <c r="O31" i="107" a="1"/>
  <c r="O31" i="107" s="1"/>
  <c r="P9" i="107" a="1"/>
  <c r="P9" i="107" s="1"/>
  <c r="P22" i="107" a="1"/>
  <c r="P22" i="107" s="1"/>
  <c r="P28" i="107" a="1"/>
  <c r="P28" i="107" s="1"/>
  <c r="Q6" i="107" a="1"/>
  <c r="Q6" i="107" s="1"/>
  <c r="Q14" i="107" a="1"/>
  <c r="Q14" i="107" s="1"/>
  <c r="Q22" i="107" a="1"/>
  <c r="Q22" i="107" s="1"/>
  <c r="Q30" i="107" a="1"/>
  <c r="Q30" i="107" s="1"/>
  <c r="V11" i="107"/>
  <c r="X11" i="107" s="1"/>
  <c r="V16" i="107"/>
  <c r="X16" i="107" s="1"/>
  <c r="V21" i="107"/>
  <c r="X21" i="107" s="1"/>
  <c r="V26" i="107"/>
  <c r="X26" i="107" s="1"/>
  <c r="V31" i="107"/>
  <c r="X31" i="107" s="1"/>
  <c r="C28" i="107" a="1"/>
  <c r="C28" i="107" s="1"/>
  <c r="C21" i="107" a="1"/>
  <c r="C21" i="107" s="1"/>
  <c r="C8" i="107" a="1"/>
  <c r="C8" i="107" s="1"/>
  <c r="D24" i="107" a="1"/>
  <c r="D24" i="107" s="1"/>
  <c r="D18" i="107" a="1"/>
  <c r="D18" i="107" s="1"/>
  <c r="D11" i="107" a="1"/>
  <c r="D11" i="107" s="1"/>
  <c r="E33" i="107" a="1"/>
  <c r="E33" i="107" s="1"/>
  <c r="E20" i="107" a="1"/>
  <c r="E20" i="107" s="1"/>
  <c r="E14" i="107" a="1"/>
  <c r="E14" i="107" s="1"/>
  <c r="E7" i="107" a="1"/>
  <c r="E7" i="107" s="1"/>
  <c r="F28" i="107" a="1"/>
  <c r="F28" i="107" s="1"/>
  <c r="F20" i="107" a="1"/>
  <c r="F20" i="107" s="1"/>
  <c r="F12" i="107" a="1"/>
  <c r="F12" i="107" s="1"/>
  <c r="H30" i="107" a="1"/>
  <c r="H30" i="107" s="1"/>
  <c r="H22" i="107" a="1"/>
  <c r="H22" i="107" s="1"/>
  <c r="H14" i="107" a="1"/>
  <c r="H14" i="107" s="1"/>
  <c r="I6" i="107" a="1"/>
  <c r="I6" i="107" s="1"/>
  <c r="I24" i="107" a="1"/>
  <c r="I24" i="107" s="1"/>
  <c r="I13" i="107" a="1"/>
  <c r="I13" i="107" s="1"/>
  <c r="I7" i="107" a="1"/>
  <c r="I7" i="107" s="1"/>
  <c r="AD7" i="107" s="1"/>
  <c r="K24" i="107" a="1"/>
  <c r="K24" i="107" s="1"/>
  <c r="K18" i="107" a="1"/>
  <c r="K18" i="107" s="1"/>
  <c r="K11" i="107" a="1"/>
  <c r="K11" i="107" s="1"/>
  <c r="L8" i="107" a="1"/>
  <c r="L8" i="107" s="1"/>
  <c r="AG8" i="107" s="1"/>
  <c r="L16" i="107" a="1"/>
  <c r="L16" i="107" s="1"/>
  <c r="L24" i="107" a="1"/>
  <c r="L24" i="107" s="1"/>
  <c r="L32" i="107" a="1"/>
  <c r="L32" i="107" s="1"/>
  <c r="M10" i="107" a="1"/>
  <c r="M10" i="107" s="1"/>
  <c r="M16" i="107" a="1"/>
  <c r="M16" i="107" s="1"/>
  <c r="M23" i="107" a="1"/>
  <c r="M23" i="107" s="1"/>
  <c r="M29" i="107" a="1"/>
  <c r="M29" i="107" s="1"/>
  <c r="N7" i="107" a="1"/>
  <c r="N7" i="107" s="1"/>
  <c r="AI7" i="107" s="1"/>
  <c r="N15" i="107" a="1"/>
  <c r="N15" i="107" s="1"/>
  <c r="N23" i="107" a="1"/>
  <c r="N23" i="107" s="1"/>
  <c r="N31" i="107" a="1"/>
  <c r="N31" i="107" s="1"/>
  <c r="O10" i="107" a="1"/>
  <c r="O10" i="107" s="1"/>
  <c r="O18" i="107" a="1"/>
  <c r="O18" i="107" s="1"/>
  <c r="O25" i="107" a="1"/>
  <c r="O25" i="107" s="1"/>
  <c r="P10" i="107" a="1"/>
  <c r="P10" i="107" s="1"/>
  <c r="P16" i="107" a="1"/>
  <c r="P16" i="107" s="1"/>
  <c r="P23" i="107" a="1"/>
  <c r="P23" i="107" s="1"/>
  <c r="P29" i="107" a="1"/>
  <c r="P29" i="107" s="1"/>
  <c r="Q7" i="107" a="1"/>
  <c r="Q7" i="107" s="1"/>
  <c r="AL7" i="107" s="1"/>
  <c r="Q15" i="107" a="1"/>
  <c r="Q15" i="107" s="1"/>
  <c r="Q23" i="107" a="1"/>
  <c r="Q23" i="107" s="1"/>
  <c r="Q31" i="107" a="1"/>
  <c r="Q31" i="107" s="1"/>
  <c r="V24" i="107"/>
  <c r="X24" i="107" s="1"/>
  <c r="V29" i="107"/>
  <c r="X29" i="107" s="1"/>
  <c r="C34" i="107" a="1"/>
  <c r="C34" i="107" s="1"/>
  <c r="C27" i="107" a="1"/>
  <c r="C27" i="107" s="1"/>
  <c r="C20" i="107" a="1"/>
  <c r="C20" i="107" s="1"/>
  <c r="C14" i="107" a="1"/>
  <c r="C14" i="107" s="1"/>
  <c r="C7" i="107" a="1"/>
  <c r="C7" i="107" s="1"/>
  <c r="D30" i="107" a="1"/>
  <c r="D30" i="107" s="1"/>
  <c r="D23" i="107" a="1"/>
  <c r="D23" i="107" s="1"/>
  <c r="D17" i="107" a="1"/>
  <c r="D17" i="107" s="1"/>
  <c r="E32" i="107" a="1"/>
  <c r="E32" i="107" s="1"/>
  <c r="E26" i="107" a="1"/>
  <c r="E26" i="107" s="1"/>
  <c r="E19" i="107" a="1"/>
  <c r="E19" i="107" s="1"/>
  <c r="E13" i="107" a="1"/>
  <c r="E13" i="107" s="1"/>
  <c r="F6" i="107" a="1"/>
  <c r="F6" i="107" s="1"/>
  <c r="F27" i="107" a="1"/>
  <c r="F27" i="107" s="1"/>
  <c r="F19" i="107" a="1"/>
  <c r="F19" i="107" s="1"/>
  <c r="F11" i="107" a="1"/>
  <c r="F11" i="107" s="1"/>
  <c r="H29" i="107" a="1"/>
  <c r="H29" i="107" s="1"/>
  <c r="H21" i="107" a="1"/>
  <c r="H21" i="107" s="1"/>
  <c r="H13" i="107" a="1"/>
  <c r="H13" i="107" s="1"/>
  <c r="I29" i="107" a="1"/>
  <c r="I29" i="107" s="1"/>
  <c r="I23" i="107" a="1"/>
  <c r="I23" i="107" s="1"/>
  <c r="I18" i="107" a="1"/>
  <c r="I18" i="107" s="1"/>
  <c r="I12" i="107" a="1"/>
  <c r="I12" i="107" s="1"/>
  <c r="K30" i="107" a="1"/>
  <c r="K30" i="107" s="1"/>
  <c r="K23" i="107" a="1"/>
  <c r="K23" i="107" s="1"/>
  <c r="K17" i="107" a="1"/>
  <c r="K17" i="107" s="1"/>
  <c r="L9" i="107" a="1"/>
  <c r="L9" i="107" s="1"/>
  <c r="L17" i="107" a="1"/>
  <c r="L17" i="107" s="1"/>
  <c r="L25" i="107" a="1"/>
  <c r="L25" i="107" s="1"/>
  <c r="L33" i="107" a="1"/>
  <c r="L33" i="107" s="1"/>
  <c r="M11" i="107" a="1"/>
  <c r="M11" i="107" s="1"/>
  <c r="M17" i="107" a="1"/>
  <c r="M17" i="107" s="1"/>
  <c r="M30" i="107" a="1"/>
  <c r="M30" i="107" s="1"/>
  <c r="N8" i="107" a="1"/>
  <c r="N8" i="107" s="1"/>
  <c r="N16" i="107" a="1"/>
  <c r="N16" i="107" s="1"/>
  <c r="N24" i="107" a="1"/>
  <c r="N24" i="107" s="1"/>
  <c r="N32" i="107" a="1"/>
  <c r="N32" i="107" s="1"/>
  <c r="O11" i="107" a="1"/>
  <c r="O11" i="107" s="1"/>
  <c r="O19" i="107" a="1"/>
  <c r="O19" i="107" s="1"/>
  <c r="O26" i="107" a="1"/>
  <c r="O26" i="107" s="1"/>
  <c r="O32" i="107" a="1"/>
  <c r="O32" i="107" s="1"/>
  <c r="P11" i="107" a="1"/>
  <c r="P11" i="107" s="1"/>
  <c r="P17" i="107" a="1"/>
  <c r="P17" i="107" s="1"/>
  <c r="P30" i="107" a="1"/>
  <c r="P30" i="107" s="1"/>
  <c r="Q8" i="107" a="1"/>
  <c r="Q8" i="107" s="1"/>
  <c r="Q16" i="107" a="1"/>
  <c r="Q16" i="107" s="1"/>
  <c r="Q24" i="107" a="1"/>
  <c r="Q24" i="107" s="1"/>
  <c r="Q32" i="107" a="1"/>
  <c r="Q32" i="107" s="1"/>
  <c r="V9" i="107"/>
  <c r="X9" i="107" s="1"/>
  <c r="V14" i="107"/>
  <c r="X14" i="107" s="1"/>
  <c r="V19" i="107"/>
  <c r="X19" i="107" s="1"/>
  <c r="V34" i="107"/>
  <c r="X34" i="107" s="1"/>
  <c r="C33" i="107" a="1"/>
  <c r="C33" i="107" s="1"/>
  <c r="C26" i="107" a="1"/>
  <c r="C26" i="107" s="1"/>
  <c r="C19" i="107" a="1"/>
  <c r="C19" i="107" s="1"/>
  <c r="C13" i="107" a="1"/>
  <c r="C13" i="107" s="1"/>
  <c r="D6" i="107" a="1"/>
  <c r="D6" i="107" s="1"/>
  <c r="D29" i="107" a="1"/>
  <c r="D29" i="107" s="1"/>
  <c r="D16" i="107" a="1"/>
  <c r="D16" i="107" s="1"/>
  <c r="D10" i="107" a="1"/>
  <c r="D10" i="107" s="1"/>
  <c r="E31" i="107" a="1"/>
  <c r="E31" i="107" s="1"/>
  <c r="E25" i="107" a="1"/>
  <c r="E25" i="107" s="1"/>
  <c r="E12" i="107" a="1"/>
  <c r="E12" i="107" s="1"/>
  <c r="F34" i="107" a="1"/>
  <c r="F34" i="107" s="1"/>
  <c r="F26" i="107" a="1"/>
  <c r="F26" i="107" s="1"/>
  <c r="F18" i="107" a="1"/>
  <c r="F18" i="107" s="1"/>
  <c r="F10" i="107" a="1"/>
  <c r="F10" i="107" s="1"/>
  <c r="H28" i="107" a="1"/>
  <c r="H28" i="107" s="1"/>
  <c r="H20" i="107" a="1"/>
  <c r="H20" i="107" s="1"/>
  <c r="H12" i="107" a="1"/>
  <c r="H12" i="107" s="1"/>
  <c r="I34" i="107" a="1"/>
  <c r="I34" i="107" s="1"/>
  <c r="I28" i="107" a="1"/>
  <c r="I28" i="107" s="1"/>
  <c r="I11" i="107" a="1"/>
  <c r="I11" i="107" s="1"/>
  <c r="K6" i="107" a="1"/>
  <c r="K6" i="107" s="1"/>
  <c r="K29" i="107" a="1"/>
  <c r="K29" i="107" s="1"/>
  <c r="K16" i="107" a="1"/>
  <c r="K16" i="107" s="1"/>
  <c r="K10" i="107" a="1"/>
  <c r="K10" i="107" s="1"/>
  <c r="L10" i="107" a="1"/>
  <c r="L10" i="107" s="1"/>
  <c r="L18" i="107" a="1"/>
  <c r="L18" i="107" s="1"/>
  <c r="L26" i="107" a="1"/>
  <c r="L26" i="107" s="1"/>
  <c r="L34" i="107" a="1"/>
  <c r="L34" i="107" s="1"/>
  <c r="M18" i="107" a="1"/>
  <c r="M18" i="107" s="1"/>
  <c r="M24" i="107" a="1"/>
  <c r="M24" i="107" s="1"/>
  <c r="M31" i="107" a="1"/>
  <c r="M31" i="107" s="1"/>
  <c r="N9" i="107" a="1"/>
  <c r="N9" i="107" s="1"/>
  <c r="N17" i="107" a="1"/>
  <c r="N17" i="107" s="1"/>
  <c r="N25" i="107" a="1"/>
  <c r="N25" i="107" s="1"/>
  <c r="N33" i="107" a="1"/>
  <c r="N33" i="107" s="1"/>
  <c r="O12" i="107" a="1"/>
  <c r="O12" i="107" s="1"/>
  <c r="O20" i="107" a="1"/>
  <c r="O20" i="107" s="1"/>
  <c r="O27" i="107" a="1"/>
  <c r="O27" i="107" s="1"/>
  <c r="O33" i="107" a="1"/>
  <c r="O33" i="107" s="1"/>
  <c r="P18" i="107" a="1"/>
  <c r="P18" i="107" s="1"/>
  <c r="P24" i="107" a="1"/>
  <c r="P24" i="107" s="1"/>
  <c r="P31" i="107" a="1"/>
  <c r="P31" i="107" s="1"/>
  <c r="Q9" i="107" a="1"/>
  <c r="Q9" i="107" s="1"/>
  <c r="Q17" i="107" a="1"/>
  <c r="Q17" i="107" s="1"/>
  <c r="Q25" i="107" a="1"/>
  <c r="Q25" i="107" s="1"/>
  <c r="Q33" i="107" a="1"/>
  <c r="Q33" i="107" s="1"/>
  <c r="D22" i="107" a="1"/>
  <c r="D22" i="107" s="1"/>
  <c r="D15" i="107" a="1"/>
  <c r="D15" i="107" s="1"/>
  <c r="D9" i="107" a="1"/>
  <c r="D9" i="107" s="1"/>
  <c r="E24" i="107" a="1"/>
  <c r="E24" i="107" s="1"/>
  <c r="E18" i="107" a="1"/>
  <c r="E18" i="107" s="1"/>
  <c r="E11" i="107" a="1"/>
  <c r="E11" i="107" s="1"/>
  <c r="F33" i="107" a="1"/>
  <c r="F33" i="107" s="1"/>
  <c r="F25" i="107" a="1"/>
  <c r="F25" i="107" s="1"/>
  <c r="F17" i="107" a="1"/>
  <c r="F17" i="107" s="1"/>
  <c r="F9" i="107" a="1"/>
  <c r="F9" i="107" s="1"/>
  <c r="H6" i="107" a="1"/>
  <c r="H6" i="107" s="1"/>
  <c r="H27" i="107" a="1"/>
  <c r="H27" i="107" s="1"/>
  <c r="H19" i="107" a="1"/>
  <c r="H19" i="107" s="1"/>
  <c r="H11" i="107" a="1"/>
  <c r="H11" i="107" s="1"/>
  <c r="I33" i="107" a="1"/>
  <c r="I33" i="107" s="1"/>
  <c r="I27" i="107" a="1"/>
  <c r="I27" i="107" s="1"/>
  <c r="I22" i="107" a="1"/>
  <c r="I22" i="107" s="1"/>
  <c r="I17" i="107" a="1"/>
  <c r="I17" i="107" s="1"/>
  <c r="K28" i="107" a="1"/>
  <c r="K28" i="107" s="1"/>
  <c r="K22" i="107" a="1"/>
  <c r="K22" i="107" s="1"/>
  <c r="K15" i="107" a="1"/>
  <c r="K15" i="107" s="1"/>
  <c r="K9" i="107" a="1"/>
  <c r="K9" i="107" s="1"/>
  <c r="L11" i="107" a="1"/>
  <c r="L11" i="107" s="1"/>
  <c r="L19" i="107" a="1"/>
  <c r="L19" i="107" s="1"/>
  <c r="L27" i="107" a="1"/>
  <c r="L27" i="107" s="1"/>
  <c r="M6" i="107" a="1"/>
  <c r="M6" i="107" s="1"/>
  <c r="M12" i="107" a="1"/>
  <c r="M12" i="107" s="1"/>
  <c r="M19" i="107" a="1"/>
  <c r="M19" i="107" s="1"/>
  <c r="M25" i="107" a="1"/>
  <c r="M25" i="107" s="1"/>
  <c r="N10" i="107" a="1"/>
  <c r="N10" i="107" s="1"/>
  <c r="N18" i="107" a="1"/>
  <c r="N18" i="107" s="1"/>
  <c r="N26" i="107" a="1"/>
  <c r="N26" i="107" s="1"/>
  <c r="N34" i="107" a="1"/>
  <c r="N34" i="107" s="1"/>
  <c r="O13" i="107" a="1"/>
  <c r="O13" i="107" s="1"/>
  <c r="O21" i="107" a="1"/>
  <c r="O21" i="107" s="1"/>
  <c r="O34" i="107" a="1"/>
  <c r="O34" i="107" s="1"/>
  <c r="P12" i="107" a="1"/>
  <c r="P12" i="107" s="1"/>
  <c r="P19" i="107" a="1"/>
  <c r="P19" i="107" s="1"/>
  <c r="P25" i="107" a="1"/>
  <c r="P25" i="107" s="1"/>
  <c r="Q10" i="107" a="1"/>
  <c r="Q10" i="107" s="1"/>
  <c r="Q18" i="107" a="1"/>
  <c r="Q18" i="107" s="1"/>
  <c r="Q26" i="107" a="1"/>
  <c r="Q26" i="107" s="1"/>
  <c r="X7" i="107"/>
  <c r="X6" i="107" s="1"/>
  <c r="AI8" i="107" l="1"/>
  <c r="AI9" i="107" s="1"/>
  <c r="AI10" i="107" s="1"/>
  <c r="AI11" i="107" s="1"/>
  <c r="AI12" i="107" s="1"/>
  <c r="AI13" i="107" s="1"/>
  <c r="AI14" i="107" s="1"/>
  <c r="AI15" i="107" s="1"/>
  <c r="AI16" i="107" s="1"/>
  <c r="AI17" i="107" s="1"/>
  <c r="AI18" i="107" s="1"/>
  <c r="AI19" i="107" s="1"/>
  <c r="AI20" i="107" s="1"/>
  <c r="AI21" i="107" s="1"/>
  <c r="AI22" i="107" s="1"/>
  <c r="AI23" i="107" s="1"/>
  <c r="AI24" i="107" s="1"/>
  <c r="AI25" i="107" s="1"/>
  <c r="AI26" i="107" s="1"/>
  <c r="AI27" i="107" s="1"/>
  <c r="AI28" i="107" s="1"/>
  <c r="AI29" i="107" s="1"/>
  <c r="AI30" i="107" s="1"/>
  <c r="AI31" i="107" s="1"/>
  <c r="AI32" i="107" s="1"/>
  <c r="AI33" i="107" s="1"/>
  <c r="AI34" i="107" s="1"/>
  <c r="G19" i="107"/>
  <c r="AG9" i="107"/>
  <c r="AG10" i="107" s="1"/>
  <c r="AG11" i="107" s="1"/>
  <c r="AG12" i="107" s="1"/>
  <c r="AG13" i="107" s="1"/>
  <c r="AG14" i="107" s="1"/>
  <c r="AG15" i="107" s="1"/>
  <c r="AG16" i="107" s="1"/>
  <c r="AG17" i="107" s="1"/>
  <c r="AG18" i="107" s="1"/>
  <c r="AG19" i="107" s="1"/>
  <c r="AG20" i="107" s="1"/>
  <c r="AG21" i="107" s="1"/>
  <c r="AG22" i="107" s="1"/>
  <c r="AG23" i="107" s="1"/>
  <c r="AG24" i="107" s="1"/>
  <c r="AG25" i="107" s="1"/>
  <c r="AG26" i="107" s="1"/>
  <c r="AG27" i="107" s="1"/>
  <c r="AG28" i="107" s="1"/>
  <c r="AG29" i="107" s="1"/>
  <c r="AG30" i="107" s="1"/>
  <c r="AG31" i="107" s="1"/>
  <c r="AG32" i="107" s="1"/>
  <c r="AG33" i="107" s="1"/>
  <c r="AG34" i="107" s="1"/>
  <c r="AL8" i="107"/>
  <c r="AL9" i="107" s="1"/>
  <c r="AL10" i="107" s="1"/>
  <c r="AL11" i="107" s="1"/>
  <c r="AL12" i="107" s="1"/>
  <c r="AL13" i="107" s="1"/>
  <c r="AL14" i="107" s="1"/>
  <c r="AL15" i="107" s="1"/>
  <c r="AL16" i="107" s="1"/>
  <c r="AL17" i="107" s="1"/>
  <c r="AL18" i="107" s="1"/>
  <c r="AL19" i="107" s="1"/>
  <c r="AL20" i="107" s="1"/>
  <c r="AL21" i="107" s="1"/>
  <c r="AL22" i="107" s="1"/>
  <c r="AL23" i="107" s="1"/>
  <c r="AL24" i="107" s="1"/>
  <c r="AL25" i="107" s="1"/>
  <c r="AL26" i="107" s="1"/>
  <c r="AL27" i="107" s="1"/>
  <c r="AL28" i="107" s="1"/>
  <c r="AL29" i="107" s="1"/>
  <c r="AL30" i="107" s="1"/>
  <c r="AL31" i="107" s="1"/>
  <c r="AL32" i="107" s="1"/>
  <c r="AL33" i="107" s="1"/>
  <c r="AL34" i="107" s="1"/>
  <c r="AC8" i="107"/>
  <c r="AC9" i="107" s="1"/>
  <c r="AC10" i="107" s="1"/>
  <c r="AC11" i="107" s="1"/>
  <c r="AC12" i="107" s="1"/>
  <c r="AC13" i="107" s="1"/>
  <c r="AC14" i="107" s="1"/>
  <c r="AC15" i="107" s="1"/>
  <c r="AC16" i="107" s="1"/>
  <c r="AC17" i="107" s="1"/>
  <c r="AC18" i="107" s="1"/>
  <c r="AC19" i="107" s="1"/>
  <c r="AC20" i="107" s="1"/>
  <c r="AC21" i="107" s="1"/>
  <c r="AC22" i="107" s="1"/>
  <c r="AC23" i="107" s="1"/>
  <c r="AC24" i="107" s="1"/>
  <c r="AC25" i="107" s="1"/>
  <c r="AC26" i="107" s="1"/>
  <c r="AC27" i="107" s="1"/>
  <c r="AC28" i="107" s="1"/>
  <c r="AC29" i="107" s="1"/>
  <c r="AC30" i="107" s="1"/>
  <c r="AC31" i="107" s="1"/>
  <c r="AC32" i="107" s="1"/>
  <c r="AC33" i="107" s="1"/>
  <c r="AC34" i="107" s="1"/>
  <c r="AK8" i="107"/>
  <c r="AK9" i="107" s="1"/>
  <c r="AK10" i="107" s="1"/>
  <c r="AK11" i="107" s="1"/>
  <c r="AK12" i="107" s="1"/>
  <c r="AK13" i="107" s="1"/>
  <c r="AK14" i="107" s="1"/>
  <c r="AK15" i="107" s="1"/>
  <c r="AK16" i="107" s="1"/>
  <c r="AK17" i="107" s="1"/>
  <c r="AK18" i="107" s="1"/>
  <c r="AK19" i="107" s="1"/>
  <c r="AK20" i="107" s="1"/>
  <c r="AK21" i="107" s="1"/>
  <c r="AK22" i="107" s="1"/>
  <c r="AK23" i="107" s="1"/>
  <c r="AK24" i="107" s="1"/>
  <c r="AK25" i="107" s="1"/>
  <c r="AK26" i="107" s="1"/>
  <c r="AK27" i="107" s="1"/>
  <c r="AK28" i="107" s="1"/>
  <c r="AK29" i="107" s="1"/>
  <c r="AK30" i="107" s="1"/>
  <c r="AK31" i="107" s="1"/>
  <c r="AK32" i="107" s="1"/>
  <c r="AK33" i="107" s="1"/>
  <c r="AK34" i="107" s="1"/>
  <c r="AH8" i="107"/>
  <c r="AH9" i="107" s="1"/>
  <c r="AH10" i="107" s="1"/>
  <c r="AH11" i="107" s="1"/>
  <c r="AH12" i="107" s="1"/>
  <c r="AH13" i="107" s="1"/>
  <c r="AH14" i="107" s="1"/>
  <c r="AH15" i="107" s="1"/>
  <c r="AH16" i="107" s="1"/>
  <c r="AH17" i="107" s="1"/>
  <c r="AH18" i="107" s="1"/>
  <c r="AH19" i="107" s="1"/>
  <c r="AH20" i="107" s="1"/>
  <c r="AH21" i="107" s="1"/>
  <c r="AH22" i="107" s="1"/>
  <c r="AH23" i="107" s="1"/>
  <c r="AH24" i="107" s="1"/>
  <c r="AH25" i="107" s="1"/>
  <c r="AH26" i="107" s="1"/>
  <c r="AH27" i="107" s="1"/>
  <c r="AH28" i="107" s="1"/>
  <c r="AH29" i="107" s="1"/>
  <c r="AH30" i="107" s="1"/>
  <c r="AH31" i="107" s="1"/>
  <c r="AH32" i="107" s="1"/>
  <c r="AH33" i="107" s="1"/>
  <c r="AH34" i="107" s="1"/>
  <c r="AD8" i="107"/>
  <c r="AD9" i="107" s="1"/>
  <c r="AD10" i="107" s="1"/>
  <c r="AD11" i="107" s="1"/>
  <c r="AD12" i="107" s="1"/>
  <c r="AD13" i="107" s="1"/>
  <c r="AD14" i="107" s="1"/>
  <c r="AD15" i="107" s="1"/>
  <c r="AD16" i="107" s="1"/>
  <c r="AD17" i="107" s="1"/>
  <c r="AD18" i="107" s="1"/>
  <c r="AD19" i="107" s="1"/>
  <c r="AD20" i="107" s="1"/>
  <c r="AD21" i="107" s="1"/>
  <c r="AD22" i="107" s="1"/>
  <c r="AD23" i="107" s="1"/>
  <c r="AD24" i="107" s="1"/>
  <c r="AD25" i="107" s="1"/>
  <c r="AD26" i="107" s="1"/>
  <c r="AD27" i="107" s="1"/>
  <c r="AD28" i="107" s="1"/>
  <c r="AD29" i="107" s="1"/>
  <c r="AD30" i="107" s="1"/>
  <c r="AD31" i="107" s="1"/>
  <c r="AD32" i="107" s="1"/>
  <c r="AD33" i="107" s="1"/>
  <c r="AD34" i="107" s="1"/>
  <c r="G13" i="107"/>
  <c r="G26" i="107"/>
  <c r="G11" i="107"/>
  <c r="AJ9" i="107"/>
  <c r="AJ10" i="107" s="1"/>
  <c r="AJ11" i="107" s="1"/>
  <c r="AJ12" i="107" s="1"/>
  <c r="AJ13" i="107" s="1"/>
  <c r="AJ14" i="107" s="1"/>
  <c r="AJ15" i="107" s="1"/>
  <c r="AJ16" i="107" s="1"/>
  <c r="AJ17" i="107" s="1"/>
  <c r="AJ18" i="107" s="1"/>
  <c r="AJ19" i="107" s="1"/>
  <c r="AJ20" i="107" s="1"/>
  <c r="AJ21" i="107" s="1"/>
  <c r="AJ22" i="107" s="1"/>
  <c r="AJ23" i="107" s="1"/>
  <c r="AJ24" i="107" s="1"/>
  <c r="AJ25" i="107" s="1"/>
  <c r="AJ26" i="107" s="1"/>
  <c r="AJ27" i="107" s="1"/>
  <c r="AJ28" i="107" s="1"/>
  <c r="AJ29" i="107" s="1"/>
  <c r="AJ30" i="107" s="1"/>
  <c r="AJ31" i="107" s="1"/>
  <c r="AJ32" i="107" s="1"/>
  <c r="AJ33" i="107" s="1"/>
  <c r="AJ34" i="107" s="1"/>
  <c r="AF8" i="107"/>
  <c r="AF9" i="107" s="1"/>
  <c r="AF10" i="107" s="1"/>
  <c r="AF11" i="107" s="1"/>
  <c r="AF12" i="107" s="1"/>
  <c r="AF13" i="107" s="1"/>
  <c r="AF14" i="107" s="1"/>
  <c r="AF15" i="107" s="1"/>
  <c r="AF16" i="107" s="1"/>
  <c r="AF17" i="107" s="1"/>
  <c r="AF18" i="107" s="1"/>
  <c r="AF19" i="107" s="1"/>
  <c r="AF20" i="107" s="1"/>
  <c r="AF21" i="107" s="1"/>
  <c r="AF22" i="107" s="1"/>
  <c r="AF23" i="107" s="1"/>
  <c r="AF24" i="107" s="1"/>
  <c r="AF25" i="107" s="1"/>
  <c r="AF26" i="107" s="1"/>
  <c r="AF27" i="107" s="1"/>
  <c r="AF28" i="107" s="1"/>
  <c r="AF29" i="107" s="1"/>
  <c r="AF30" i="107" s="1"/>
  <c r="AF31" i="107" s="1"/>
  <c r="AF32" i="107" s="1"/>
  <c r="AF33" i="107" s="1"/>
  <c r="AF34" i="107" s="1"/>
  <c r="G18" i="107"/>
  <c r="G32" i="107"/>
  <c r="G24" i="107"/>
  <c r="G20" i="107"/>
  <c r="G8" i="107"/>
  <c r="G21" i="107"/>
  <c r="G12" i="107"/>
  <c r="G25" i="107"/>
  <c r="G31" i="107"/>
  <c r="G9" i="107"/>
  <c r="G15" i="107"/>
  <c r="G33" i="107"/>
  <c r="G7" i="107"/>
  <c r="AB7" i="107" s="1"/>
  <c r="G22" i="107"/>
  <c r="G14" i="107"/>
  <c r="G29" i="107"/>
  <c r="G10" i="107"/>
  <c r="G17" i="107"/>
  <c r="G6" i="107"/>
  <c r="G16" i="107"/>
  <c r="G23" i="107"/>
  <c r="G27" i="107"/>
  <c r="G30" i="107"/>
  <c r="G34" i="107"/>
  <c r="G28" i="107"/>
  <c r="AB8" i="107" l="1"/>
  <c r="AB9" i="107" s="1"/>
  <c r="AB10" i="107" s="1"/>
  <c r="AB11" i="107" s="1"/>
  <c r="AB12" i="107" s="1"/>
  <c r="AB13" i="107" s="1"/>
  <c r="AB14" i="107" s="1"/>
  <c r="AB15" i="107" s="1"/>
  <c r="AB16" i="107" s="1"/>
  <c r="AB17" i="107" s="1"/>
  <c r="AB18" i="107" s="1"/>
  <c r="AB19" i="107" s="1"/>
  <c r="AB20" i="107" s="1"/>
  <c r="AB21" i="107" s="1"/>
  <c r="AB22" i="107" s="1"/>
  <c r="AB23" i="107" s="1"/>
  <c r="AB24" i="107" s="1"/>
  <c r="AB25" i="107" s="1"/>
  <c r="AB26" i="107" s="1"/>
  <c r="AB27" i="107" s="1"/>
  <c r="AB28" i="107" s="1"/>
  <c r="AB29" i="107" s="1"/>
  <c r="AB30" i="107" s="1"/>
  <c r="AB31" i="107" s="1"/>
  <c r="AB32" i="107" s="1"/>
  <c r="AB33" i="107" s="1"/>
  <c r="AB34" i="107" s="1"/>
  <c r="B1" i="94" l="1"/>
  <c r="BU21" i="100" s="1"/>
  <c r="AF30" i="101"/>
  <c r="BD30" i="101" s="1"/>
  <c r="AE30" i="101"/>
  <c r="AD30" i="101"/>
  <c r="K30" i="101"/>
  <c r="BG30" i="101" s="1"/>
  <c r="J30" i="101"/>
  <c r="BF30" i="101" s="1"/>
  <c r="I30" i="101"/>
  <c r="BE30" i="101" s="1"/>
  <c r="H30" i="101"/>
  <c r="G30" i="101"/>
  <c r="F30" i="101"/>
  <c r="E30" i="101"/>
  <c r="BA30" i="101" s="1"/>
  <c r="D30" i="101"/>
  <c r="AZ30" i="101" s="1"/>
  <c r="C30" i="101"/>
  <c r="AY30" i="101" s="1"/>
  <c r="B30" i="101"/>
  <c r="AX30" i="101" s="1"/>
  <c r="AY29" i="101"/>
  <c r="AF29" i="101"/>
  <c r="AE29" i="101"/>
  <c r="AD29" i="101"/>
  <c r="BB29" i="101" s="1"/>
  <c r="K29" i="101"/>
  <c r="BG29" i="101" s="1"/>
  <c r="BS29" i="101" s="1"/>
  <c r="J29" i="101"/>
  <c r="BF29" i="101" s="1"/>
  <c r="BR29" i="101" s="1"/>
  <c r="I29" i="101"/>
  <c r="BE29" i="101" s="1"/>
  <c r="H29" i="101"/>
  <c r="BD29" i="101" s="1"/>
  <c r="G29" i="101"/>
  <c r="F29" i="101"/>
  <c r="E29" i="101"/>
  <c r="BA29" i="101" s="1"/>
  <c r="D29" i="101"/>
  <c r="AZ29" i="101" s="1"/>
  <c r="BL29" i="101" s="1"/>
  <c r="C29" i="101"/>
  <c r="B29" i="101"/>
  <c r="AX29" i="101" s="1"/>
  <c r="BJ29" i="101" s="1"/>
  <c r="BF28" i="101"/>
  <c r="AY28" i="101"/>
  <c r="AF28" i="101"/>
  <c r="AE28" i="101"/>
  <c r="AD28" i="101"/>
  <c r="K28" i="101"/>
  <c r="BG28" i="101" s="1"/>
  <c r="BS28" i="101" s="1"/>
  <c r="J28" i="101"/>
  <c r="I28" i="101"/>
  <c r="BE28" i="101" s="1"/>
  <c r="H28" i="101"/>
  <c r="G28" i="101"/>
  <c r="BC28" i="101" s="1"/>
  <c r="F28" i="101"/>
  <c r="E28" i="101"/>
  <c r="BA28" i="101" s="1"/>
  <c r="D28" i="101"/>
  <c r="AZ28" i="101" s="1"/>
  <c r="C28" i="101"/>
  <c r="B28" i="101"/>
  <c r="AX28" i="101" s="1"/>
  <c r="BJ28" i="101" s="1"/>
  <c r="BE27" i="101"/>
  <c r="AF27" i="101"/>
  <c r="BD27" i="101" s="1"/>
  <c r="AE27" i="101"/>
  <c r="BC27" i="101" s="1"/>
  <c r="AD27" i="101"/>
  <c r="K27" i="101"/>
  <c r="BG27" i="101" s="1"/>
  <c r="J27" i="101"/>
  <c r="BF27" i="101" s="1"/>
  <c r="I27" i="101"/>
  <c r="H27" i="101"/>
  <c r="G27" i="101"/>
  <c r="F27" i="101"/>
  <c r="BB27" i="101" s="1"/>
  <c r="E27" i="101"/>
  <c r="BA27" i="101" s="1"/>
  <c r="BM27" i="101" s="1"/>
  <c r="D27" i="101"/>
  <c r="AZ27" i="101" s="1"/>
  <c r="C27" i="101"/>
  <c r="AY27" i="101" s="1"/>
  <c r="B27" i="101"/>
  <c r="AX27" i="101" s="1"/>
  <c r="BJ27" i="101" s="1"/>
  <c r="BE26" i="101"/>
  <c r="BQ26" i="101" s="1"/>
  <c r="AF26" i="101"/>
  <c r="AE26" i="101"/>
  <c r="BC26" i="101" s="1"/>
  <c r="AD26" i="101"/>
  <c r="BB26" i="101" s="1"/>
  <c r="K26" i="101"/>
  <c r="BG26" i="101" s="1"/>
  <c r="J26" i="101"/>
  <c r="BF26" i="101" s="1"/>
  <c r="I26" i="101"/>
  <c r="H26" i="101"/>
  <c r="G26" i="101"/>
  <c r="F26" i="101"/>
  <c r="E26" i="101"/>
  <c r="BA26" i="101" s="1"/>
  <c r="D26" i="101"/>
  <c r="AZ26" i="101" s="1"/>
  <c r="BL26" i="101" s="1"/>
  <c r="C26" i="101"/>
  <c r="AY26" i="101" s="1"/>
  <c r="B26" i="101"/>
  <c r="AX26" i="101" s="1"/>
  <c r="BJ26" i="101" s="1"/>
  <c r="BG25" i="101"/>
  <c r="AY25" i="101"/>
  <c r="AF25" i="101"/>
  <c r="AE25" i="101"/>
  <c r="AD25" i="101"/>
  <c r="BB25" i="101" s="1"/>
  <c r="K25" i="101"/>
  <c r="J25" i="101"/>
  <c r="BF25" i="101" s="1"/>
  <c r="I25" i="101"/>
  <c r="BE25" i="101" s="1"/>
  <c r="H25" i="101"/>
  <c r="BD25" i="101" s="1"/>
  <c r="G25" i="101"/>
  <c r="BC25" i="101" s="1"/>
  <c r="F25" i="101"/>
  <c r="E25" i="101"/>
  <c r="BA25" i="101" s="1"/>
  <c r="D25" i="101"/>
  <c r="AZ25" i="101" s="1"/>
  <c r="C25" i="101"/>
  <c r="B25" i="101"/>
  <c r="AX25" i="101" s="1"/>
  <c r="BJ25" i="101" s="1"/>
  <c r="AX24" i="101"/>
  <c r="BJ24" i="101" s="1"/>
  <c r="AF24" i="101"/>
  <c r="BD24" i="101" s="1"/>
  <c r="AE24" i="101"/>
  <c r="AD24" i="101"/>
  <c r="K24" i="101"/>
  <c r="BG24" i="101" s="1"/>
  <c r="J24" i="101"/>
  <c r="BF24" i="101" s="1"/>
  <c r="BR24" i="101" s="1"/>
  <c r="I24" i="101"/>
  <c r="BE24" i="101" s="1"/>
  <c r="H24" i="101"/>
  <c r="G24" i="101"/>
  <c r="BC24" i="101" s="1"/>
  <c r="BO24" i="101" s="1"/>
  <c r="F24" i="101"/>
  <c r="BB24" i="101" s="1"/>
  <c r="BN24" i="101" s="1"/>
  <c r="E24" i="101"/>
  <c r="BA24" i="101" s="1"/>
  <c r="D24" i="101"/>
  <c r="AZ24" i="101" s="1"/>
  <c r="BL24" i="101" s="1"/>
  <c r="C24" i="101"/>
  <c r="AY24" i="101" s="1"/>
  <c r="B24" i="101"/>
  <c r="BA23" i="101"/>
  <c r="BM23" i="101" s="1"/>
  <c r="AF23" i="101"/>
  <c r="BD23" i="101" s="1"/>
  <c r="AE23" i="101"/>
  <c r="AD23" i="101"/>
  <c r="K23" i="101"/>
  <c r="BG23" i="101" s="1"/>
  <c r="J23" i="101"/>
  <c r="BF23" i="101" s="1"/>
  <c r="I23" i="101"/>
  <c r="BE23" i="101" s="1"/>
  <c r="H23" i="101"/>
  <c r="G23" i="101"/>
  <c r="F23" i="101"/>
  <c r="BB23" i="101" s="1"/>
  <c r="E23" i="101"/>
  <c r="D23" i="101"/>
  <c r="AZ23" i="101" s="1"/>
  <c r="BL23" i="101" s="1"/>
  <c r="C23" i="101"/>
  <c r="AY23" i="101" s="1"/>
  <c r="B23" i="101"/>
  <c r="AX23" i="101" s="1"/>
  <c r="AF22" i="101"/>
  <c r="AE22" i="101"/>
  <c r="BC22" i="101" s="1"/>
  <c r="BO22" i="101" s="1"/>
  <c r="AD22" i="101"/>
  <c r="BB22" i="101" s="1"/>
  <c r="K22" i="101"/>
  <c r="BG22" i="101" s="1"/>
  <c r="J22" i="101"/>
  <c r="BF22" i="101" s="1"/>
  <c r="BR22" i="101" s="1"/>
  <c r="I22" i="101"/>
  <c r="BE22" i="101" s="1"/>
  <c r="H22" i="101"/>
  <c r="BD22" i="101" s="1"/>
  <c r="BP22" i="101" s="1"/>
  <c r="G22" i="101"/>
  <c r="F22" i="101"/>
  <c r="E22" i="101"/>
  <c r="BA22" i="101" s="1"/>
  <c r="BM22" i="101" s="1"/>
  <c r="D22" i="101"/>
  <c r="AZ22" i="101" s="1"/>
  <c r="C22" i="101"/>
  <c r="AY22" i="101" s="1"/>
  <c r="B22" i="101"/>
  <c r="AX22" i="101" s="1"/>
  <c r="BJ22" i="101" s="1"/>
  <c r="BD21" i="101"/>
  <c r="BP21" i="101" s="1"/>
  <c r="AF21" i="101"/>
  <c r="AE21" i="101"/>
  <c r="BC21" i="101" s="1"/>
  <c r="AD21" i="101"/>
  <c r="K21" i="101"/>
  <c r="BG21" i="101" s="1"/>
  <c r="BS21" i="101" s="1"/>
  <c r="J21" i="101"/>
  <c r="BF21" i="101" s="1"/>
  <c r="BR21" i="101" s="1"/>
  <c r="I21" i="101"/>
  <c r="BE21" i="101" s="1"/>
  <c r="BQ21" i="101" s="1"/>
  <c r="H21" i="101"/>
  <c r="G21" i="101"/>
  <c r="F21" i="101"/>
  <c r="BB21" i="101" s="1"/>
  <c r="BN21" i="101" s="1"/>
  <c r="E21" i="101"/>
  <c r="BA21" i="101" s="1"/>
  <c r="D21" i="101"/>
  <c r="AZ21" i="101" s="1"/>
  <c r="BL21" i="101" s="1"/>
  <c r="C21" i="101"/>
  <c r="AY21" i="101" s="1"/>
  <c r="BK21" i="101" s="1"/>
  <c r="B21" i="101"/>
  <c r="AX21" i="101" s="1"/>
  <c r="BJ21" i="101" s="1"/>
  <c r="BR20" i="101"/>
  <c r="BG20" i="101"/>
  <c r="AF20" i="101"/>
  <c r="AE20" i="101"/>
  <c r="BC20" i="101" s="1"/>
  <c r="BO20" i="101" s="1"/>
  <c r="AD20" i="101"/>
  <c r="BB20" i="101" s="1"/>
  <c r="BN20" i="101" s="1"/>
  <c r="K20" i="101"/>
  <c r="J20" i="101"/>
  <c r="BF20" i="101" s="1"/>
  <c r="I20" i="101"/>
  <c r="BE20" i="101" s="1"/>
  <c r="BQ20" i="101" s="1"/>
  <c r="H20" i="101"/>
  <c r="BD20" i="101" s="1"/>
  <c r="BP20" i="101" s="1"/>
  <c r="G20" i="101"/>
  <c r="F20" i="101"/>
  <c r="E20" i="101"/>
  <c r="BA20" i="101" s="1"/>
  <c r="BM20" i="101" s="1"/>
  <c r="D20" i="101"/>
  <c r="AZ20" i="101" s="1"/>
  <c r="BL20" i="101" s="1"/>
  <c r="C20" i="101"/>
  <c r="AY20" i="101" s="1"/>
  <c r="B20" i="101"/>
  <c r="AX20" i="101" s="1"/>
  <c r="BJ20" i="101" s="1"/>
  <c r="BW19" i="101"/>
  <c r="BA19" i="101"/>
  <c r="AZ19" i="101"/>
  <c r="AF19" i="101"/>
  <c r="BD19" i="101" s="1"/>
  <c r="BP19" i="101" s="1"/>
  <c r="AE19" i="101"/>
  <c r="AD19" i="101"/>
  <c r="K19" i="101"/>
  <c r="BG19" i="101" s="1"/>
  <c r="BS19" i="101" s="1"/>
  <c r="J19" i="101"/>
  <c r="BF19" i="101" s="1"/>
  <c r="I19" i="101"/>
  <c r="BE19" i="101" s="1"/>
  <c r="H19" i="101"/>
  <c r="G19" i="101"/>
  <c r="F19" i="101"/>
  <c r="BB19" i="101" s="1"/>
  <c r="BN19" i="101" s="1"/>
  <c r="E19" i="101"/>
  <c r="D19" i="101"/>
  <c r="C19" i="101"/>
  <c r="AY19" i="101" s="1"/>
  <c r="B19" i="101"/>
  <c r="AX19" i="101" s="1"/>
  <c r="BJ19" i="101" s="1"/>
  <c r="BA18" i="101"/>
  <c r="AZ18" i="101"/>
  <c r="AF18" i="101"/>
  <c r="BD18" i="101" s="1"/>
  <c r="BP18" i="101" s="1"/>
  <c r="AE18" i="101"/>
  <c r="AD18" i="101"/>
  <c r="K18" i="101"/>
  <c r="BG18" i="101" s="1"/>
  <c r="BS18" i="101" s="1"/>
  <c r="J18" i="101"/>
  <c r="BF18" i="101" s="1"/>
  <c r="BR18" i="101" s="1"/>
  <c r="I18" i="101"/>
  <c r="BE18" i="101" s="1"/>
  <c r="H18" i="101"/>
  <c r="G18" i="101"/>
  <c r="F18" i="101"/>
  <c r="BB18" i="101" s="1"/>
  <c r="BN18" i="101" s="1"/>
  <c r="E18" i="101"/>
  <c r="D18" i="101"/>
  <c r="C18" i="101"/>
  <c r="AY18" i="101" s="1"/>
  <c r="BK18" i="101" s="1"/>
  <c r="B18" i="101"/>
  <c r="AX18" i="101" s="1"/>
  <c r="BJ18" i="101" s="1"/>
  <c r="AZ17" i="101"/>
  <c r="AF17" i="101"/>
  <c r="BD17" i="101" s="1"/>
  <c r="AE17" i="101"/>
  <c r="BC17" i="101" s="1"/>
  <c r="AD17" i="101"/>
  <c r="K17" i="101"/>
  <c r="BG17" i="101" s="1"/>
  <c r="J17" i="101"/>
  <c r="BF17" i="101" s="1"/>
  <c r="I17" i="101"/>
  <c r="BE17" i="101" s="1"/>
  <c r="H17" i="101"/>
  <c r="G17" i="101"/>
  <c r="F17" i="101"/>
  <c r="E17" i="101"/>
  <c r="BA17" i="101" s="1"/>
  <c r="D17" i="101"/>
  <c r="C17" i="101"/>
  <c r="AY17" i="101" s="1"/>
  <c r="B17" i="101"/>
  <c r="AX17" i="101" s="1"/>
  <c r="AF16" i="101"/>
  <c r="AE16" i="101"/>
  <c r="AD16" i="101"/>
  <c r="K16" i="101"/>
  <c r="BG16" i="101" s="1"/>
  <c r="BS16" i="101" s="1"/>
  <c r="J16" i="101"/>
  <c r="BF16" i="101" s="1"/>
  <c r="BR16" i="101" s="1"/>
  <c r="I16" i="101"/>
  <c r="BE16" i="101" s="1"/>
  <c r="H16" i="101"/>
  <c r="G16" i="101"/>
  <c r="F16" i="101"/>
  <c r="E16" i="101"/>
  <c r="BA16" i="101" s="1"/>
  <c r="BM16" i="101" s="1"/>
  <c r="D16" i="101"/>
  <c r="AZ16" i="101" s="1"/>
  <c r="BL16" i="101" s="1"/>
  <c r="C16" i="101"/>
  <c r="AY16" i="101" s="1"/>
  <c r="B16" i="101"/>
  <c r="AX16" i="101" s="1"/>
  <c r="BJ16" i="101" s="1"/>
  <c r="AF15" i="101"/>
  <c r="AE15" i="101"/>
  <c r="BC15" i="101" s="1"/>
  <c r="BO15" i="101" s="1"/>
  <c r="AD15" i="101"/>
  <c r="K15" i="101"/>
  <c r="BG15" i="101" s="1"/>
  <c r="J15" i="101"/>
  <c r="BF15" i="101" s="1"/>
  <c r="BR15" i="101" s="1"/>
  <c r="I15" i="101"/>
  <c r="BE15" i="101" s="1"/>
  <c r="H15" i="101"/>
  <c r="G15" i="101"/>
  <c r="F15" i="101"/>
  <c r="E15" i="101"/>
  <c r="BA15" i="101" s="1"/>
  <c r="BM15" i="101" s="1"/>
  <c r="D15" i="101"/>
  <c r="AZ15" i="101" s="1"/>
  <c r="C15" i="101"/>
  <c r="AY15" i="101" s="1"/>
  <c r="BK15" i="101" s="1"/>
  <c r="B15" i="101"/>
  <c r="AX15" i="101" s="1"/>
  <c r="BJ15" i="101" s="1"/>
  <c r="AF14" i="101"/>
  <c r="AE14" i="101"/>
  <c r="BC14" i="101" s="1"/>
  <c r="AD14" i="101"/>
  <c r="K14" i="101"/>
  <c r="BG14" i="101" s="1"/>
  <c r="J14" i="101"/>
  <c r="BF14" i="101" s="1"/>
  <c r="I14" i="101"/>
  <c r="BE14" i="101" s="1"/>
  <c r="H14" i="101"/>
  <c r="BD14" i="101" s="1"/>
  <c r="G14" i="101"/>
  <c r="F14" i="101"/>
  <c r="E14" i="101"/>
  <c r="BA14" i="101" s="1"/>
  <c r="D14" i="101"/>
  <c r="AZ14" i="101" s="1"/>
  <c r="C14" i="101"/>
  <c r="AY14" i="101" s="1"/>
  <c r="B14" i="101"/>
  <c r="AX14" i="101" s="1"/>
  <c r="BD13" i="101"/>
  <c r="BP13" i="101" s="1"/>
  <c r="AF13" i="101"/>
  <c r="AE13" i="101"/>
  <c r="AD13" i="101"/>
  <c r="BB13" i="101" s="1"/>
  <c r="K13" i="101"/>
  <c r="BG13" i="101" s="1"/>
  <c r="BS13" i="101" s="1"/>
  <c r="J13" i="101"/>
  <c r="BF13" i="101" s="1"/>
  <c r="BR13" i="101" s="1"/>
  <c r="I13" i="101"/>
  <c r="BE13" i="101" s="1"/>
  <c r="H13" i="101"/>
  <c r="G13" i="101"/>
  <c r="F13" i="101"/>
  <c r="E13" i="101"/>
  <c r="BA13" i="101" s="1"/>
  <c r="D13" i="101"/>
  <c r="AZ13" i="101" s="1"/>
  <c r="BL13" i="101" s="1"/>
  <c r="C13" i="101"/>
  <c r="AY13" i="101" s="1"/>
  <c r="BK13" i="101" s="1"/>
  <c r="B13" i="101"/>
  <c r="AX13" i="101" s="1"/>
  <c r="BJ13" i="101" s="1"/>
  <c r="BJ12" i="101"/>
  <c r="AF12" i="101"/>
  <c r="AE12" i="101"/>
  <c r="BC12" i="101" s="1"/>
  <c r="BO12" i="101" s="1"/>
  <c r="AD12" i="101"/>
  <c r="K12" i="101"/>
  <c r="BG12" i="101" s="1"/>
  <c r="BS12" i="101" s="1"/>
  <c r="J12" i="101"/>
  <c r="BF12" i="101" s="1"/>
  <c r="I12" i="101"/>
  <c r="BE12" i="101" s="1"/>
  <c r="H12" i="101"/>
  <c r="G12" i="101"/>
  <c r="F12" i="101"/>
  <c r="E12" i="101"/>
  <c r="BA12" i="101" s="1"/>
  <c r="BM12" i="101" s="1"/>
  <c r="D12" i="101"/>
  <c r="AZ12" i="101" s="1"/>
  <c r="C12" i="101"/>
  <c r="AY12" i="101" s="1"/>
  <c r="B12" i="101"/>
  <c r="AX12" i="101" s="1"/>
  <c r="AF11" i="101"/>
  <c r="AE11" i="101"/>
  <c r="AD11" i="101"/>
  <c r="BB11" i="101" s="1"/>
  <c r="BN11" i="101" s="1"/>
  <c r="K11" i="101"/>
  <c r="BG11" i="101" s="1"/>
  <c r="J11" i="101"/>
  <c r="BF11" i="101" s="1"/>
  <c r="I11" i="101"/>
  <c r="BE11" i="101" s="1"/>
  <c r="H11" i="101"/>
  <c r="BD11" i="101" s="1"/>
  <c r="G11" i="101"/>
  <c r="F11" i="101"/>
  <c r="E11" i="101"/>
  <c r="BA11" i="101" s="1"/>
  <c r="D11" i="101"/>
  <c r="AZ11" i="101" s="1"/>
  <c r="BL11" i="101" s="1"/>
  <c r="C11" i="101"/>
  <c r="AY11" i="101" s="1"/>
  <c r="BK11" i="101" s="1"/>
  <c r="B11" i="101"/>
  <c r="AX11" i="101" s="1"/>
  <c r="BS11" i="101" s="1"/>
  <c r="AY10" i="101"/>
  <c r="AF10" i="101"/>
  <c r="AE10" i="101"/>
  <c r="AD10" i="101"/>
  <c r="BB10" i="101" s="1"/>
  <c r="BN10" i="101" s="1"/>
  <c r="K10" i="101"/>
  <c r="BG10" i="101" s="1"/>
  <c r="J10" i="101"/>
  <c r="BF10" i="101" s="1"/>
  <c r="I10" i="101"/>
  <c r="BE10" i="101" s="1"/>
  <c r="H10" i="101"/>
  <c r="BD10" i="101" s="1"/>
  <c r="BP10" i="101" s="1"/>
  <c r="G10" i="101"/>
  <c r="F10" i="101"/>
  <c r="E10" i="101"/>
  <c r="BA10" i="101" s="1"/>
  <c r="BM10" i="101" s="1"/>
  <c r="D10" i="101"/>
  <c r="AZ10" i="101" s="1"/>
  <c r="BL10" i="101" s="1"/>
  <c r="C10" i="101"/>
  <c r="B10" i="101"/>
  <c r="AX10" i="101" s="1"/>
  <c r="BJ10" i="101" s="1"/>
  <c r="BC9" i="101"/>
  <c r="AF9" i="101"/>
  <c r="AE9" i="101"/>
  <c r="AD9" i="101"/>
  <c r="K9" i="101"/>
  <c r="BG9" i="101" s="1"/>
  <c r="BS9" i="101" s="1"/>
  <c r="J9" i="101"/>
  <c r="BF9" i="101" s="1"/>
  <c r="BR9" i="101" s="1"/>
  <c r="I9" i="101"/>
  <c r="BE9" i="101" s="1"/>
  <c r="BQ9" i="101" s="1"/>
  <c r="H9" i="101"/>
  <c r="G9" i="101"/>
  <c r="F9" i="101"/>
  <c r="BB9" i="101" s="1"/>
  <c r="BN9" i="101" s="1"/>
  <c r="E9" i="101"/>
  <c r="BA9" i="101" s="1"/>
  <c r="D9" i="101"/>
  <c r="AZ9" i="101" s="1"/>
  <c r="BL9" i="101" s="1"/>
  <c r="C9" i="101"/>
  <c r="AY9" i="101" s="1"/>
  <c r="B9" i="101"/>
  <c r="AX9" i="101" s="1"/>
  <c r="BJ9" i="101" s="1"/>
  <c r="BJ8" i="101"/>
  <c r="BA8" i="101"/>
  <c r="AF8" i="101"/>
  <c r="AE8" i="101"/>
  <c r="AD8" i="101"/>
  <c r="BB8" i="101" s="1"/>
  <c r="K8" i="101"/>
  <c r="BG8" i="101" s="1"/>
  <c r="J8" i="101"/>
  <c r="BF8" i="101" s="1"/>
  <c r="I8" i="101"/>
  <c r="BE8" i="101" s="1"/>
  <c r="H8" i="101"/>
  <c r="BD8" i="101" s="1"/>
  <c r="BP8" i="101" s="1"/>
  <c r="G8" i="101"/>
  <c r="F8" i="101"/>
  <c r="E8" i="101"/>
  <c r="D8" i="101"/>
  <c r="AZ8" i="101" s="1"/>
  <c r="BL8" i="101" s="1"/>
  <c r="C8" i="101"/>
  <c r="AY8" i="101" s="1"/>
  <c r="B8" i="101"/>
  <c r="AX8" i="101" s="1"/>
  <c r="BA7" i="101"/>
  <c r="BM7" i="101" s="1"/>
  <c r="AF7" i="101"/>
  <c r="AE7" i="101"/>
  <c r="AD7" i="101"/>
  <c r="BB7" i="101" s="1"/>
  <c r="K7" i="101"/>
  <c r="BG7" i="101" s="1"/>
  <c r="J7" i="101"/>
  <c r="BF7" i="101" s="1"/>
  <c r="I7" i="101"/>
  <c r="BE7" i="101" s="1"/>
  <c r="H7" i="101"/>
  <c r="G7" i="101"/>
  <c r="BC7" i="101" s="1"/>
  <c r="F7" i="101"/>
  <c r="E7" i="101"/>
  <c r="D7" i="101"/>
  <c r="AZ7" i="101" s="1"/>
  <c r="C7" i="101"/>
  <c r="AY7" i="101" s="1"/>
  <c r="B7" i="101"/>
  <c r="AX7" i="101" s="1"/>
  <c r="BC6" i="101"/>
  <c r="BO6" i="101" s="1"/>
  <c r="BA6" i="101"/>
  <c r="AF6" i="101"/>
  <c r="AE6" i="101"/>
  <c r="AD6" i="101"/>
  <c r="BB6" i="101" s="1"/>
  <c r="K6" i="101"/>
  <c r="BG6" i="101" s="1"/>
  <c r="BS6" i="101" s="1"/>
  <c r="J6" i="101"/>
  <c r="BF6" i="101" s="1"/>
  <c r="I6" i="101"/>
  <c r="BE6" i="101" s="1"/>
  <c r="H6" i="101"/>
  <c r="G6" i="101"/>
  <c r="F6" i="101"/>
  <c r="E6" i="101"/>
  <c r="D6" i="101"/>
  <c r="AZ6" i="101" s="1"/>
  <c r="BL6" i="101" s="1"/>
  <c r="C6" i="101"/>
  <c r="AY6" i="101" s="1"/>
  <c r="B6" i="101"/>
  <c r="AX6" i="101" s="1"/>
  <c r="BJ6" i="101" s="1"/>
  <c r="BA5" i="101"/>
  <c r="AF5" i="101"/>
  <c r="AE5" i="101"/>
  <c r="AD5" i="101"/>
  <c r="BB5" i="101" s="1"/>
  <c r="K5" i="101"/>
  <c r="BG5" i="101" s="1"/>
  <c r="J5" i="101"/>
  <c r="BF5" i="101" s="1"/>
  <c r="I5" i="101"/>
  <c r="BE5" i="101" s="1"/>
  <c r="H5" i="101"/>
  <c r="G5" i="101"/>
  <c r="BC5" i="101" s="1"/>
  <c r="F5" i="101"/>
  <c r="E5" i="101"/>
  <c r="D5" i="101"/>
  <c r="AZ5" i="101" s="1"/>
  <c r="C5" i="101"/>
  <c r="AY5" i="101" s="1"/>
  <c r="B5" i="101"/>
  <c r="AX5" i="101" s="1"/>
  <c r="BJ5" i="101" s="1"/>
  <c r="BC4" i="101"/>
  <c r="BO4" i="101" s="1"/>
  <c r="BA4" i="101"/>
  <c r="AF4" i="101"/>
  <c r="AE4" i="101"/>
  <c r="AD4" i="101"/>
  <c r="BB4" i="101" s="1"/>
  <c r="K4" i="101"/>
  <c r="BG4" i="101" s="1"/>
  <c r="BS4" i="101" s="1"/>
  <c r="J4" i="101"/>
  <c r="BF4" i="101" s="1"/>
  <c r="I4" i="101"/>
  <c r="BE4" i="101" s="1"/>
  <c r="H4" i="101"/>
  <c r="G4" i="101"/>
  <c r="F4" i="101"/>
  <c r="E4" i="101"/>
  <c r="D4" i="101"/>
  <c r="AZ4" i="101" s="1"/>
  <c r="C4" i="101"/>
  <c r="AY4" i="101" s="1"/>
  <c r="B4" i="101"/>
  <c r="AX4" i="101" s="1"/>
  <c r="BJ4" i="101" s="1"/>
  <c r="BA3" i="101"/>
  <c r="AF3" i="101"/>
  <c r="AE3" i="101"/>
  <c r="AD3" i="101"/>
  <c r="K3" i="101"/>
  <c r="BG3" i="101" s="1"/>
  <c r="BS3" i="101" s="1"/>
  <c r="J3" i="101"/>
  <c r="BF3" i="101" s="1"/>
  <c r="I3" i="101"/>
  <c r="BE3" i="101" s="1"/>
  <c r="H3" i="101"/>
  <c r="G3" i="101"/>
  <c r="BC3" i="101" s="1"/>
  <c r="F3" i="101"/>
  <c r="E3" i="101"/>
  <c r="D3" i="101"/>
  <c r="AZ3" i="101" s="1"/>
  <c r="C3" i="101"/>
  <c r="AY3" i="101" s="1"/>
  <c r="B3" i="101"/>
  <c r="AX3" i="101" s="1"/>
  <c r="BJ2" i="101"/>
  <c r="AX2" i="101"/>
  <c r="BV19" i="101" s="1"/>
  <c r="AF2" i="101"/>
  <c r="BD2" i="101" s="1"/>
  <c r="BP2" i="101" s="1"/>
  <c r="AE2" i="101"/>
  <c r="AD2" i="101"/>
  <c r="K2" i="101"/>
  <c r="BG2" i="101" s="1"/>
  <c r="BS2" i="101" s="1"/>
  <c r="J2" i="101"/>
  <c r="BF2" i="101" s="1"/>
  <c r="I2" i="101"/>
  <c r="BE2" i="101" s="1"/>
  <c r="H2" i="101"/>
  <c r="G2" i="101"/>
  <c r="BC2" i="101" s="1"/>
  <c r="BO2" i="101" s="1"/>
  <c r="F2" i="101"/>
  <c r="E2" i="101"/>
  <c r="BA2" i="101" s="1"/>
  <c r="BM2" i="101" s="1"/>
  <c r="D2" i="101"/>
  <c r="AZ2" i="101" s="1"/>
  <c r="BL2" i="101" s="1"/>
  <c r="C2" i="101"/>
  <c r="AY2" i="101" s="1"/>
  <c r="B2" i="101"/>
  <c r="CY30" i="100"/>
  <c r="CX30" i="100"/>
  <c r="CW30" i="100"/>
  <c r="CV30" i="100"/>
  <c r="DH30" i="100" s="1"/>
  <c r="CU30" i="100"/>
  <c r="CT30" i="100"/>
  <c r="CS30" i="100"/>
  <c r="CR30" i="100"/>
  <c r="CQ30" i="100"/>
  <c r="DC30" i="100" s="1"/>
  <c r="CP30" i="100"/>
  <c r="AU30" i="100"/>
  <c r="BG30" i="100" s="1"/>
  <c r="AT30" i="100"/>
  <c r="AS30" i="100"/>
  <c r="AR30" i="100"/>
  <c r="BD30" i="100" s="1"/>
  <c r="AQ30" i="100"/>
  <c r="AP30" i="100"/>
  <c r="AO30" i="100"/>
  <c r="AN30" i="100"/>
  <c r="AZ30" i="100" s="1"/>
  <c r="AM30" i="100"/>
  <c r="AY30" i="100" s="1"/>
  <c r="AL30" i="100"/>
  <c r="K30" i="100"/>
  <c r="DK30" i="100" s="1"/>
  <c r="J30" i="100"/>
  <c r="DJ30" i="100" s="1"/>
  <c r="I30" i="100"/>
  <c r="H30" i="100"/>
  <c r="G30" i="100"/>
  <c r="F30" i="100"/>
  <c r="BB30" i="100" s="1"/>
  <c r="E30" i="100"/>
  <c r="DE30" i="100" s="1"/>
  <c r="D30" i="100"/>
  <c r="C30" i="100"/>
  <c r="B30" i="100"/>
  <c r="DB30" i="100" s="1"/>
  <c r="DN30" i="100" s="1"/>
  <c r="DC29" i="100"/>
  <c r="CY29" i="100"/>
  <c r="CX29" i="100"/>
  <c r="CW29" i="100"/>
  <c r="CV29" i="100"/>
  <c r="CU29" i="100"/>
  <c r="CT29" i="100"/>
  <c r="DF29" i="100" s="1"/>
  <c r="CS29" i="100"/>
  <c r="CR29" i="100"/>
  <c r="CQ29" i="100"/>
  <c r="CP29" i="100"/>
  <c r="AU29" i="100"/>
  <c r="BG29" i="100" s="1"/>
  <c r="AT29" i="100"/>
  <c r="BF29" i="100" s="1"/>
  <c r="AS29" i="100"/>
  <c r="AR29" i="100"/>
  <c r="AQ29" i="100"/>
  <c r="AP29" i="100"/>
  <c r="AO29" i="100"/>
  <c r="AN29" i="100"/>
  <c r="AM29" i="100"/>
  <c r="AL29" i="100"/>
  <c r="AX29" i="100" s="1"/>
  <c r="BJ29" i="100" s="1"/>
  <c r="K29" i="100"/>
  <c r="DK29" i="100" s="1"/>
  <c r="J29" i="100"/>
  <c r="I29" i="100"/>
  <c r="H29" i="100"/>
  <c r="G29" i="100"/>
  <c r="F29" i="100"/>
  <c r="BB29" i="100" s="1"/>
  <c r="BN29" i="100" s="1"/>
  <c r="E29" i="100"/>
  <c r="D29" i="100"/>
  <c r="C29" i="100"/>
  <c r="B29" i="100"/>
  <c r="CY28" i="100"/>
  <c r="CX28" i="100"/>
  <c r="DJ28" i="100" s="1"/>
  <c r="CW28" i="100"/>
  <c r="CV28" i="100"/>
  <c r="CU28" i="100"/>
  <c r="CT28" i="100"/>
  <c r="CS28" i="100"/>
  <c r="CR28" i="100"/>
  <c r="CQ28" i="100"/>
  <c r="CP28" i="100"/>
  <c r="AU28" i="100"/>
  <c r="AT28" i="100"/>
  <c r="AS28" i="100"/>
  <c r="AR28" i="100"/>
  <c r="AQ28" i="100"/>
  <c r="AP28" i="100"/>
  <c r="AO28" i="100"/>
  <c r="BA28" i="100" s="1"/>
  <c r="AN28" i="100"/>
  <c r="AM28" i="100"/>
  <c r="AL28" i="100"/>
  <c r="K28" i="100"/>
  <c r="BG28" i="100" s="1"/>
  <c r="J28" i="100"/>
  <c r="I28" i="100"/>
  <c r="H28" i="100"/>
  <c r="G28" i="100"/>
  <c r="F28" i="100"/>
  <c r="DF28" i="100" s="1"/>
  <c r="E28" i="100"/>
  <c r="D28" i="100"/>
  <c r="C28" i="100"/>
  <c r="AY28" i="100" s="1"/>
  <c r="B28" i="100"/>
  <c r="CY27" i="100"/>
  <c r="CX27" i="100"/>
  <c r="CW27" i="100"/>
  <c r="CV27" i="100"/>
  <c r="CU27" i="100"/>
  <c r="CT27" i="100"/>
  <c r="DF27" i="100" s="1"/>
  <c r="CS27" i="100"/>
  <c r="DE27" i="100" s="1"/>
  <c r="CR27" i="100"/>
  <c r="CQ27" i="100"/>
  <c r="CP27" i="100"/>
  <c r="AU27" i="100"/>
  <c r="BG27" i="100" s="1"/>
  <c r="AT27" i="100"/>
  <c r="BF27" i="100" s="1"/>
  <c r="AS27" i="100"/>
  <c r="AR27" i="100"/>
  <c r="AQ27" i="100"/>
  <c r="AP27" i="100"/>
  <c r="BB27" i="100" s="1"/>
  <c r="AO27" i="100"/>
  <c r="BA27" i="100" s="1"/>
  <c r="AN27" i="100"/>
  <c r="AM27" i="100"/>
  <c r="AL27" i="100"/>
  <c r="AX27" i="100" s="1"/>
  <c r="BJ27" i="100" s="1"/>
  <c r="K27" i="100"/>
  <c r="J27" i="100"/>
  <c r="I27" i="100"/>
  <c r="H27" i="100"/>
  <c r="G27" i="100"/>
  <c r="F27" i="100"/>
  <c r="E27" i="100"/>
  <c r="D27" i="100"/>
  <c r="C27" i="100"/>
  <c r="AY27" i="100" s="1"/>
  <c r="B27" i="100"/>
  <c r="CY26" i="100"/>
  <c r="CX26" i="100"/>
  <c r="CW26" i="100"/>
  <c r="CV26" i="100"/>
  <c r="DH26" i="100" s="1"/>
  <c r="CU26" i="100"/>
  <c r="CT26" i="100"/>
  <c r="CS26" i="100"/>
  <c r="DE26" i="100" s="1"/>
  <c r="CR26" i="100"/>
  <c r="DD26" i="100" s="1"/>
  <c r="CQ26" i="100"/>
  <c r="DC26" i="100" s="1"/>
  <c r="CP26" i="100"/>
  <c r="AU26" i="100"/>
  <c r="BG26" i="100" s="1"/>
  <c r="AT26" i="100"/>
  <c r="AS26" i="100"/>
  <c r="AR26" i="100"/>
  <c r="BD26" i="100" s="1"/>
  <c r="AQ26" i="100"/>
  <c r="BC26" i="100" s="1"/>
  <c r="AP26" i="100"/>
  <c r="AO26" i="100"/>
  <c r="AN26" i="100"/>
  <c r="AZ26" i="100" s="1"/>
  <c r="AM26" i="100"/>
  <c r="AL26" i="100"/>
  <c r="AX26" i="100" s="1"/>
  <c r="BJ26" i="100" s="1"/>
  <c r="K26" i="100"/>
  <c r="J26" i="100"/>
  <c r="DJ26" i="100" s="1"/>
  <c r="I26" i="100"/>
  <c r="H26" i="100"/>
  <c r="G26" i="100"/>
  <c r="F26" i="100"/>
  <c r="E26" i="100"/>
  <c r="D26" i="100"/>
  <c r="C26" i="100"/>
  <c r="B26" i="100"/>
  <c r="DB26" i="100" s="1"/>
  <c r="CY25" i="100"/>
  <c r="CX25" i="100"/>
  <c r="CW25" i="100"/>
  <c r="DI25" i="100" s="1"/>
  <c r="CV25" i="100"/>
  <c r="CU25" i="100"/>
  <c r="CT25" i="100"/>
  <c r="CS25" i="100"/>
  <c r="CR25" i="100"/>
  <c r="CQ25" i="100"/>
  <c r="DC25" i="100" s="1"/>
  <c r="CP25" i="100"/>
  <c r="AU25" i="100"/>
  <c r="BG25" i="100" s="1"/>
  <c r="AT25" i="100"/>
  <c r="BF25" i="100" s="1"/>
  <c r="AS25" i="100"/>
  <c r="AR25" i="100"/>
  <c r="AQ25" i="100"/>
  <c r="BC25" i="100" s="1"/>
  <c r="AP25" i="100"/>
  <c r="AO25" i="100"/>
  <c r="AN25" i="100"/>
  <c r="AM25" i="100"/>
  <c r="AY25" i="100" s="1"/>
  <c r="AL25" i="100"/>
  <c r="K25" i="100"/>
  <c r="J25" i="100"/>
  <c r="I25" i="100"/>
  <c r="H25" i="100"/>
  <c r="G25" i="100"/>
  <c r="F25" i="100"/>
  <c r="E25" i="100"/>
  <c r="BA25" i="100" s="1"/>
  <c r="D25" i="100"/>
  <c r="C25" i="100"/>
  <c r="B25" i="100"/>
  <c r="CY24" i="100"/>
  <c r="CX24" i="100"/>
  <c r="CW24" i="100"/>
  <c r="DI24" i="100" s="1"/>
  <c r="CV24" i="100"/>
  <c r="DH24" i="100" s="1"/>
  <c r="CU24" i="100"/>
  <c r="DG24" i="100" s="1"/>
  <c r="CT24" i="100"/>
  <c r="CS24" i="100"/>
  <c r="CR24" i="100"/>
  <c r="DD24" i="100" s="1"/>
  <c r="CQ24" i="100"/>
  <c r="CP24" i="100"/>
  <c r="DB24" i="100" s="1"/>
  <c r="AU24" i="100"/>
  <c r="AT24" i="100"/>
  <c r="AS24" i="100"/>
  <c r="AR24" i="100"/>
  <c r="BD24" i="100" s="1"/>
  <c r="AQ24" i="100"/>
  <c r="AP24" i="100"/>
  <c r="AO24" i="100"/>
  <c r="BA24" i="100" s="1"/>
  <c r="BM24" i="100" s="1"/>
  <c r="AN24" i="100"/>
  <c r="AZ24" i="100" s="1"/>
  <c r="AM24" i="100"/>
  <c r="AL24" i="100"/>
  <c r="K24" i="100"/>
  <c r="J24" i="100"/>
  <c r="I24" i="100"/>
  <c r="H24" i="100"/>
  <c r="G24" i="100"/>
  <c r="F24" i="100"/>
  <c r="BB24" i="100" s="1"/>
  <c r="BN24" i="100" s="1"/>
  <c r="E24" i="100"/>
  <c r="DE24" i="100" s="1"/>
  <c r="D24" i="100"/>
  <c r="C24" i="100"/>
  <c r="DC24" i="100" s="1"/>
  <c r="B24" i="100"/>
  <c r="AX24" i="100" s="1"/>
  <c r="BJ24" i="100" s="1"/>
  <c r="CY23" i="100"/>
  <c r="CX23" i="100"/>
  <c r="CW23" i="100"/>
  <c r="CV23" i="100"/>
  <c r="DH23" i="100" s="1"/>
  <c r="CU23" i="100"/>
  <c r="CT23" i="100"/>
  <c r="DF23" i="100" s="1"/>
  <c r="CS23" i="100"/>
  <c r="DE23" i="100" s="1"/>
  <c r="CR23" i="100"/>
  <c r="CQ23" i="100"/>
  <c r="DC23" i="100" s="1"/>
  <c r="CP23" i="100"/>
  <c r="AU23" i="100"/>
  <c r="AT23" i="100"/>
  <c r="AS23" i="100"/>
  <c r="AR23" i="100"/>
  <c r="AQ23" i="100"/>
  <c r="AP23" i="100"/>
  <c r="AO23" i="100"/>
  <c r="BA23" i="100" s="1"/>
  <c r="AN23" i="100"/>
  <c r="AM23" i="100"/>
  <c r="AY23" i="100" s="1"/>
  <c r="AL23" i="100"/>
  <c r="K23" i="100"/>
  <c r="BG23" i="100" s="1"/>
  <c r="J23" i="100"/>
  <c r="I23" i="100"/>
  <c r="H23" i="100"/>
  <c r="BD23" i="100" s="1"/>
  <c r="G23" i="100"/>
  <c r="F23" i="100"/>
  <c r="BB23" i="100" s="1"/>
  <c r="E23" i="100"/>
  <c r="D23" i="100"/>
  <c r="C23" i="100"/>
  <c r="B23" i="100"/>
  <c r="CY22" i="100"/>
  <c r="CX22" i="100"/>
  <c r="CW22" i="100"/>
  <c r="CV22" i="100"/>
  <c r="DH22" i="100" s="1"/>
  <c r="CU22" i="100"/>
  <c r="CT22" i="100"/>
  <c r="CS22" i="100"/>
  <c r="DE22" i="100" s="1"/>
  <c r="CR22" i="100"/>
  <c r="CQ22" i="100"/>
  <c r="CP22" i="100"/>
  <c r="AU22" i="100"/>
  <c r="AT22" i="100"/>
  <c r="AS22" i="100"/>
  <c r="AR22" i="100"/>
  <c r="BD22" i="100" s="1"/>
  <c r="AQ22" i="100"/>
  <c r="AP22" i="100"/>
  <c r="AO22" i="100"/>
  <c r="BA22" i="100" s="1"/>
  <c r="AN22" i="100"/>
  <c r="AM22" i="100"/>
  <c r="AL22" i="100"/>
  <c r="K22" i="100"/>
  <c r="J22" i="100"/>
  <c r="I22" i="100"/>
  <c r="H22" i="100"/>
  <c r="G22" i="100"/>
  <c r="F22" i="100"/>
  <c r="E22" i="100"/>
  <c r="D22" i="100"/>
  <c r="C22" i="100"/>
  <c r="B22" i="100"/>
  <c r="DB22" i="100" s="1"/>
  <c r="CY21" i="100"/>
  <c r="CX21" i="100"/>
  <c r="CW21" i="100"/>
  <c r="CV21" i="100"/>
  <c r="DH21" i="100" s="1"/>
  <c r="CU21" i="100"/>
  <c r="CT21" i="100"/>
  <c r="CS21" i="100"/>
  <c r="CR21" i="100"/>
  <c r="CQ21" i="100"/>
  <c r="CP21" i="100"/>
  <c r="AU21" i="100"/>
  <c r="BG21" i="100" s="1"/>
  <c r="AT21" i="100"/>
  <c r="AS21" i="100"/>
  <c r="AR21" i="100"/>
  <c r="AQ21" i="100"/>
  <c r="AP21" i="100"/>
  <c r="BB21" i="100" s="1"/>
  <c r="AO21" i="100"/>
  <c r="AN21" i="100"/>
  <c r="AM21" i="100"/>
  <c r="AL21" i="100"/>
  <c r="K21" i="100"/>
  <c r="DK21" i="100" s="1"/>
  <c r="J21" i="100"/>
  <c r="I21" i="100"/>
  <c r="H21" i="100"/>
  <c r="G21" i="100"/>
  <c r="BC21" i="100" s="1"/>
  <c r="F21" i="100"/>
  <c r="DF21" i="100" s="1"/>
  <c r="E21" i="100"/>
  <c r="DE21" i="100" s="1"/>
  <c r="D21" i="100"/>
  <c r="AZ21" i="100" s="1"/>
  <c r="C21" i="100"/>
  <c r="DC21" i="100" s="1"/>
  <c r="B21" i="100"/>
  <c r="CY20" i="100"/>
  <c r="CX20" i="100"/>
  <c r="CW20" i="100"/>
  <c r="DI20" i="100" s="1"/>
  <c r="CV20" i="100"/>
  <c r="DH20" i="100" s="1"/>
  <c r="CU20" i="100"/>
  <c r="CT20" i="100"/>
  <c r="CS20" i="100"/>
  <c r="CR20" i="100"/>
  <c r="DD20" i="100" s="1"/>
  <c r="CQ20" i="100"/>
  <c r="CP20" i="100"/>
  <c r="AU20" i="100"/>
  <c r="AT20" i="100"/>
  <c r="AS20" i="100"/>
  <c r="BE20" i="100" s="1"/>
  <c r="AR20" i="100"/>
  <c r="BD20" i="100" s="1"/>
  <c r="AQ20" i="100"/>
  <c r="AP20" i="100"/>
  <c r="AO20" i="100"/>
  <c r="AN20" i="100"/>
  <c r="AZ20" i="100" s="1"/>
  <c r="AM20" i="100"/>
  <c r="AL20" i="100"/>
  <c r="K20" i="100"/>
  <c r="J20" i="100"/>
  <c r="I20" i="100"/>
  <c r="H20" i="100"/>
  <c r="G20" i="100"/>
  <c r="F20" i="100"/>
  <c r="E20" i="100"/>
  <c r="D20" i="100"/>
  <c r="C20" i="100"/>
  <c r="B20" i="100"/>
  <c r="CY19" i="100"/>
  <c r="CX19" i="100"/>
  <c r="CW19" i="100"/>
  <c r="CV19" i="100"/>
  <c r="DH19" i="100" s="1"/>
  <c r="CU19" i="100"/>
  <c r="CT19" i="100"/>
  <c r="CS19" i="100"/>
  <c r="CR19" i="100"/>
  <c r="DD19" i="100" s="1"/>
  <c r="CQ19" i="100"/>
  <c r="CP19" i="100"/>
  <c r="AU19" i="100"/>
  <c r="BG19" i="100" s="1"/>
  <c r="AT19" i="100"/>
  <c r="AS19" i="100"/>
  <c r="AR19" i="100"/>
  <c r="AQ19" i="100"/>
  <c r="AP19" i="100"/>
  <c r="AO19" i="100"/>
  <c r="AN19" i="100"/>
  <c r="AM19" i="100"/>
  <c r="AY19" i="100" s="1"/>
  <c r="AL19" i="100"/>
  <c r="K19" i="100"/>
  <c r="J19" i="100"/>
  <c r="DJ19" i="100" s="1"/>
  <c r="I19" i="100"/>
  <c r="BE19" i="100" s="1"/>
  <c r="H19" i="100"/>
  <c r="BD19" i="100" s="1"/>
  <c r="G19" i="100"/>
  <c r="DG19" i="100" s="1"/>
  <c r="F19" i="100"/>
  <c r="E19" i="100"/>
  <c r="D19" i="100"/>
  <c r="AZ19" i="100" s="1"/>
  <c r="C19" i="100"/>
  <c r="B19" i="100"/>
  <c r="DB19" i="100" s="1"/>
  <c r="DN19" i="100" s="1"/>
  <c r="CY18" i="100"/>
  <c r="CX18" i="100"/>
  <c r="CW18" i="100"/>
  <c r="CV18" i="100"/>
  <c r="CU18" i="100"/>
  <c r="DG18" i="100" s="1"/>
  <c r="CT18" i="100"/>
  <c r="CS18" i="100"/>
  <c r="CR18" i="100"/>
  <c r="CQ18" i="100"/>
  <c r="CP18" i="100"/>
  <c r="AU18" i="100"/>
  <c r="AT18" i="100"/>
  <c r="BF18" i="100" s="1"/>
  <c r="AS18" i="100"/>
  <c r="BE18" i="100" s="1"/>
  <c r="AR18" i="100"/>
  <c r="AQ18" i="100"/>
  <c r="AP18" i="100"/>
  <c r="BB18" i="100" s="1"/>
  <c r="AO18" i="100"/>
  <c r="BA18" i="100" s="1"/>
  <c r="AN18" i="100"/>
  <c r="AM18" i="100"/>
  <c r="AL18" i="100"/>
  <c r="AX18" i="100" s="1"/>
  <c r="BJ18" i="100" s="1"/>
  <c r="K18" i="100"/>
  <c r="J18" i="100"/>
  <c r="I18" i="100"/>
  <c r="DI18" i="100" s="1"/>
  <c r="H18" i="100"/>
  <c r="DH18" i="100" s="1"/>
  <c r="G18" i="100"/>
  <c r="F18" i="100"/>
  <c r="DF18" i="100" s="1"/>
  <c r="E18" i="100"/>
  <c r="D18" i="100"/>
  <c r="C18" i="100"/>
  <c r="B18" i="100"/>
  <c r="CY17" i="100"/>
  <c r="CX17" i="100"/>
  <c r="CW17" i="100"/>
  <c r="DI17" i="100" s="1"/>
  <c r="CV17" i="100"/>
  <c r="CU17" i="100"/>
  <c r="CT17" i="100"/>
  <c r="CS17" i="100"/>
  <c r="CR17" i="100"/>
  <c r="CQ17" i="100"/>
  <c r="DC17" i="100" s="1"/>
  <c r="CP17" i="100"/>
  <c r="AU17" i="100"/>
  <c r="AT17" i="100"/>
  <c r="BF17" i="100" s="1"/>
  <c r="AS17" i="100"/>
  <c r="AR17" i="100"/>
  <c r="AQ17" i="100"/>
  <c r="AP17" i="100"/>
  <c r="AO17" i="100"/>
  <c r="AN17" i="100"/>
  <c r="AM17" i="100"/>
  <c r="AL17" i="100"/>
  <c r="AX17" i="100" s="1"/>
  <c r="BJ17" i="100" s="1"/>
  <c r="K17" i="100"/>
  <c r="J17" i="100"/>
  <c r="I17" i="100"/>
  <c r="H17" i="100"/>
  <c r="G17" i="100"/>
  <c r="F17" i="100"/>
  <c r="E17" i="100"/>
  <c r="D17" i="100"/>
  <c r="DD17" i="100" s="1"/>
  <c r="C17" i="100"/>
  <c r="B17" i="100"/>
  <c r="CY16" i="100"/>
  <c r="DK16" i="100" s="1"/>
  <c r="CX16" i="100"/>
  <c r="CW16" i="100"/>
  <c r="CV16" i="100"/>
  <c r="CU16" i="100"/>
  <c r="CT16" i="100"/>
  <c r="CS16" i="100"/>
  <c r="CR16" i="100"/>
  <c r="CQ16" i="100"/>
  <c r="DC16" i="100" s="1"/>
  <c r="CP16" i="100"/>
  <c r="AU16" i="100"/>
  <c r="BG16" i="100" s="1"/>
  <c r="AT16" i="100"/>
  <c r="AS16" i="100"/>
  <c r="AR16" i="100"/>
  <c r="AQ16" i="100"/>
  <c r="AP16" i="100"/>
  <c r="AO16" i="100"/>
  <c r="AN16" i="100"/>
  <c r="AM16" i="100"/>
  <c r="AY16" i="100" s="1"/>
  <c r="AL16" i="100"/>
  <c r="K16" i="100"/>
  <c r="J16" i="100"/>
  <c r="I16" i="100"/>
  <c r="H16" i="100"/>
  <c r="DH16" i="100" s="1"/>
  <c r="G16" i="100"/>
  <c r="BC16" i="100" s="1"/>
  <c r="F16" i="100"/>
  <c r="E16" i="100"/>
  <c r="D16" i="100"/>
  <c r="C16" i="100"/>
  <c r="B16" i="100"/>
  <c r="CY15" i="100"/>
  <c r="CX15" i="100"/>
  <c r="CW15" i="100"/>
  <c r="CV15" i="100"/>
  <c r="CU15" i="100"/>
  <c r="CT15" i="100"/>
  <c r="CS15" i="100"/>
  <c r="CR15" i="100"/>
  <c r="CQ15" i="100"/>
  <c r="CP15" i="100"/>
  <c r="AU15" i="100"/>
  <c r="AT15" i="100"/>
  <c r="AS15" i="100"/>
  <c r="BE15" i="100" s="1"/>
  <c r="AR15" i="100"/>
  <c r="AQ15" i="100"/>
  <c r="AP15" i="100"/>
  <c r="AO15" i="100"/>
  <c r="BA15" i="100" s="1"/>
  <c r="AN15" i="100"/>
  <c r="AZ15" i="100" s="1"/>
  <c r="AM15" i="100"/>
  <c r="AL15" i="100"/>
  <c r="K15" i="100"/>
  <c r="J15" i="100"/>
  <c r="DJ15" i="100" s="1"/>
  <c r="I15" i="100"/>
  <c r="H15" i="100"/>
  <c r="G15" i="100"/>
  <c r="F15" i="100"/>
  <c r="BB15" i="100" s="1"/>
  <c r="E15" i="100"/>
  <c r="D15" i="100"/>
  <c r="C15" i="100"/>
  <c r="DC15" i="100" s="1"/>
  <c r="B15" i="100"/>
  <c r="AX15" i="100" s="1"/>
  <c r="BJ15" i="100" s="1"/>
  <c r="CY14" i="100"/>
  <c r="CX14" i="100"/>
  <c r="DJ14" i="100" s="1"/>
  <c r="CW14" i="100"/>
  <c r="DI14" i="100" s="1"/>
  <c r="CV14" i="100"/>
  <c r="CU14" i="100"/>
  <c r="CT14" i="100"/>
  <c r="CS14" i="100"/>
  <c r="DE14" i="100" s="1"/>
  <c r="CR14" i="100"/>
  <c r="DD14" i="100" s="1"/>
  <c r="CQ14" i="100"/>
  <c r="CP14" i="100"/>
  <c r="AU14" i="100"/>
  <c r="AT14" i="100"/>
  <c r="AS14" i="100"/>
  <c r="AR14" i="100"/>
  <c r="BD14" i="100" s="1"/>
  <c r="AQ14" i="100"/>
  <c r="AP14" i="100"/>
  <c r="AO14" i="100"/>
  <c r="BA14" i="100" s="1"/>
  <c r="AN14" i="100"/>
  <c r="AZ14" i="100" s="1"/>
  <c r="AM14" i="100"/>
  <c r="AY14" i="100" s="1"/>
  <c r="AL14" i="100"/>
  <c r="K14" i="100"/>
  <c r="BG14" i="100" s="1"/>
  <c r="J14" i="100"/>
  <c r="BF14" i="100" s="1"/>
  <c r="I14" i="100"/>
  <c r="BE14" i="100" s="1"/>
  <c r="H14" i="100"/>
  <c r="G14" i="100"/>
  <c r="BC14" i="100" s="1"/>
  <c r="F14" i="100"/>
  <c r="E14" i="100"/>
  <c r="D14" i="100"/>
  <c r="C14" i="100"/>
  <c r="B14" i="100"/>
  <c r="AX14" i="100" s="1"/>
  <c r="BJ14" i="100" s="1"/>
  <c r="CY13" i="100"/>
  <c r="CX13" i="100"/>
  <c r="CW13" i="100"/>
  <c r="CV13" i="100"/>
  <c r="CU13" i="100"/>
  <c r="DG13" i="100" s="1"/>
  <c r="DS13" i="100" s="1"/>
  <c r="CT13" i="100"/>
  <c r="CS13" i="100"/>
  <c r="CR13" i="100"/>
  <c r="CQ13" i="100"/>
  <c r="CP13" i="100"/>
  <c r="DB13" i="100" s="1"/>
  <c r="DN13" i="100" s="1"/>
  <c r="AU13" i="100"/>
  <c r="BG13" i="100" s="1"/>
  <c r="AT13" i="100"/>
  <c r="BF13" i="100" s="1"/>
  <c r="AS13" i="100"/>
  <c r="AR13" i="100"/>
  <c r="AQ13" i="100"/>
  <c r="AP13" i="100"/>
  <c r="AO13" i="100"/>
  <c r="AN13" i="100"/>
  <c r="AM13" i="100"/>
  <c r="AY13" i="100" s="1"/>
  <c r="AL13" i="100"/>
  <c r="K13" i="100"/>
  <c r="J13" i="100"/>
  <c r="DJ13" i="100" s="1"/>
  <c r="I13" i="100"/>
  <c r="H13" i="100"/>
  <c r="G13" i="100"/>
  <c r="F13" i="100"/>
  <c r="BB13" i="100" s="1"/>
  <c r="E13" i="100"/>
  <c r="D13" i="100"/>
  <c r="C13" i="100"/>
  <c r="B13" i="100"/>
  <c r="DK12" i="100"/>
  <c r="CY12" i="100"/>
  <c r="CX12" i="100"/>
  <c r="CW12" i="100"/>
  <c r="CV12" i="100"/>
  <c r="CU12" i="100"/>
  <c r="CT12" i="100"/>
  <c r="CS12" i="100"/>
  <c r="CR12" i="100"/>
  <c r="DD12" i="100" s="1"/>
  <c r="CQ12" i="100"/>
  <c r="CP12" i="100"/>
  <c r="DB12" i="100" s="1"/>
  <c r="DN12" i="100" s="1"/>
  <c r="AU12" i="100"/>
  <c r="AT12" i="100"/>
  <c r="AS12" i="100"/>
  <c r="AR12" i="100"/>
  <c r="AQ12" i="100"/>
  <c r="AP12" i="100"/>
  <c r="AO12" i="100"/>
  <c r="AN12" i="100"/>
  <c r="AM12" i="100"/>
  <c r="AL12" i="100"/>
  <c r="K12" i="100"/>
  <c r="J12" i="100"/>
  <c r="I12" i="100"/>
  <c r="BE12" i="100" s="1"/>
  <c r="H12" i="100"/>
  <c r="G12" i="100"/>
  <c r="BC12" i="100" s="1"/>
  <c r="F12" i="100"/>
  <c r="E12" i="100"/>
  <c r="D12" i="100"/>
  <c r="C12" i="100"/>
  <c r="B12" i="100"/>
  <c r="CY11" i="100"/>
  <c r="CX11" i="100"/>
  <c r="CW11" i="100"/>
  <c r="DI11" i="100" s="1"/>
  <c r="CV11" i="100"/>
  <c r="CU11" i="100"/>
  <c r="CT11" i="100"/>
  <c r="CS11" i="100"/>
  <c r="CR11" i="100"/>
  <c r="DD11" i="100" s="1"/>
  <c r="CQ11" i="100"/>
  <c r="CP11" i="100"/>
  <c r="DB11" i="100" s="1"/>
  <c r="DN11" i="100" s="1"/>
  <c r="BF11" i="100"/>
  <c r="AU11" i="100"/>
  <c r="AT11" i="100"/>
  <c r="AS11" i="100"/>
  <c r="BE11" i="100" s="1"/>
  <c r="AR11" i="100"/>
  <c r="AQ11" i="100"/>
  <c r="AP11" i="100"/>
  <c r="AO11" i="100"/>
  <c r="AN11" i="100"/>
  <c r="AM11" i="100"/>
  <c r="AL11" i="100"/>
  <c r="K11" i="100"/>
  <c r="DK11" i="100" s="1"/>
  <c r="J11" i="100"/>
  <c r="DJ11" i="100" s="1"/>
  <c r="I11" i="100"/>
  <c r="H11" i="100"/>
  <c r="G11" i="100"/>
  <c r="F11" i="100"/>
  <c r="BB11" i="100" s="1"/>
  <c r="E11" i="100"/>
  <c r="D11" i="100"/>
  <c r="C11" i="100"/>
  <c r="DC11" i="100" s="1"/>
  <c r="B11" i="100"/>
  <c r="AX11" i="100" s="1"/>
  <c r="BJ11" i="100" s="1"/>
  <c r="CY10" i="100"/>
  <c r="CX10" i="100"/>
  <c r="CW10" i="100"/>
  <c r="DI10" i="100" s="1"/>
  <c r="CV10" i="100"/>
  <c r="CU10" i="100"/>
  <c r="CT10" i="100"/>
  <c r="CS10" i="100"/>
  <c r="CR10" i="100"/>
  <c r="DD10" i="100" s="1"/>
  <c r="CQ10" i="100"/>
  <c r="DC10" i="100" s="1"/>
  <c r="CP10" i="100"/>
  <c r="AU10" i="100"/>
  <c r="BG10" i="100" s="1"/>
  <c r="AT10" i="100"/>
  <c r="AS10" i="100"/>
  <c r="AR10" i="100"/>
  <c r="BD10" i="100" s="1"/>
  <c r="AQ10" i="100"/>
  <c r="AP10" i="100"/>
  <c r="AO10" i="100"/>
  <c r="AN10" i="100"/>
  <c r="AM10" i="100"/>
  <c r="AY10" i="100" s="1"/>
  <c r="AL10" i="100"/>
  <c r="K10" i="100"/>
  <c r="DK10" i="100" s="1"/>
  <c r="J10" i="100"/>
  <c r="I10" i="100"/>
  <c r="BE10" i="100" s="1"/>
  <c r="H10" i="100"/>
  <c r="G10" i="100"/>
  <c r="F10" i="100"/>
  <c r="DF10" i="100" s="1"/>
  <c r="E10" i="100"/>
  <c r="D10" i="100"/>
  <c r="C10" i="100"/>
  <c r="B10" i="100"/>
  <c r="CY9" i="100"/>
  <c r="CX9" i="100"/>
  <c r="CW9" i="100"/>
  <c r="CV9" i="100"/>
  <c r="CU9" i="100"/>
  <c r="CT9" i="100"/>
  <c r="CS9" i="100"/>
  <c r="CR9" i="100"/>
  <c r="CQ9" i="100"/>
  <c r="CP9" i="100"/>
  <c r="AU9" i="100"/>
  <c r="BG9" i="100" s="1"/>
  <c r="AT9" i="100"/>
  <c r="AS9" i="100"/>
  <c r="AR9" i="100"/>
  <c r="AQ9" i="100"/>
  <c r="BC9" i="100" s="1"/>
  <c r="AP9" i="100"/>
  <c r="AO9" i="100"/>
  <c r="AN9" i="100"/>
  <c r="AZ9" i="100" s="1"/>
  <c r="AM9" i="100"/>
  <c r="AY9" i="100" s="1"/>
  <c r="AL9" i="100"/>
  <c r="K9" i="100"/>
  <c r="J9" i="100"/>
  <c r="DJ9" i="100" s="1"/>
  <c r="I9" i="100"/>
  <c r="DI9" i="100" s="1"/>
  <c r="H9" i="100"/>
  <c r="G9" i="100"/>
  <c r="F9" i="100"/>
  <c r="E9" i="100"/>
  <c r="D9" i="100"/>
  <c r="C9" i="100"/>
  <c r="B9" i="100"/>
  <c r="DB9" i="100" s="1"/>
  <c r="DN9" i="100" s="1"/>
  <c r="CY8" i="100"/>
  <c r="CX8" i="100"/>
  <c r="CW8" i="100"/>
  <c r="CV8" i="100"/>
  <c r="CU8" i="100"/>
  <c r="CT8" i="100"/>
  <c r="CS8" i="100"/>
  <c r="DE8" i="100" s="1"/>
  <c r="CR8" i="100"/>
  <c r="CQ8" i="100"/>
  <c r="CP8" i="100"/>
  <c r="AU8" i="100"/>
  <c r="AT8" i="100"/>
  <c r="AS8" i="100"/>
  <c r="AR8" i="100"/>
  <c r="AQ8" i="100"/>
  <c r="AP8" i="100"/>
  <c r="AO8" i="100"/>
  <c r="AN8" i="100"/>
  <c r="AM8" i="100"/>
  <c r="AL8" i="100"/>
  <c r="K8" i="100"/>
  <c r="J8" i="100"/>
  <c r="DJ8" i="100" s="1"/>
  <c r="I8" i="100"/>
  <c r="BE8" i="100" s="1"/>
  <c r="H8" i="100"/>
  <c r="G8" i="100"/>
  <c r="F8" i="100"/>
  <c r="DF8" i="100" s="1"/>
  <c r="E8" i="100"/>
  <c r="D8" i="100"/>
  <c r="C8" i="100"/>
  <c r="B8" i="100"/>
  <c r="DB8" i="100" s="1"/>
  <c r="DN8" i="100" s="1"/>
  <c r="DI7" i="100"/>
  <c r="CY7" i="100"/>
  <c r="CX7" i="100"/>
  <c r="CW7" i="100"/>
  <c r="CV7" i="100"/>
  <c r="CU7" i="100"/>
  <c r="CT7" i="100"/>
  <c r="CS7" i="100"/>
  <c r="CR7" i="100"/>
  <c r="DD7" i="100" s="1"/>
  <c r="CQ7" i="100"/>
  <c r="CP7" i="100"/>
  <c r="AU7" i="100"/>
  <c r="BG7" i="100" s="1"/>
  <c r="AT7" i="100"/>
  <c r="AS7" i="100"/>
  <c r="AR7" i="100"/>
  <c r="BD7" i="100" s="1"/>
  <c r="AQ7" i="100"/>
  <c r="AP7" i="100"/>
  <c r="AO7" i="100"/>
  <c r="AN7" i="100"/>
  <c r="AM7" i="100"/>
  <c r="AY7" i="100" s="1"/>
  <c r="AL7" i="100"/>
  <c r="K7" i="100"/>
  <c r="DK7" i="100" s="1"/>
  <c r="J7" i="100"/>
  <c r="DJ7" i="100" s="1"/>
  <c r="I7" i="100"/>
  <c r="BE7" i="100" s="1"/>
  <c r="H7" i="100"/>
  <c r="G7" i="100"/>
  <c r="F7" i="100"/>
  <c r="DF7" i="100" s="1"/>
  <c r="E7" i="100"/>
  <c r="D7" i="100"/>
  <c r="C7" i="100"/>
  <c r="B7" i="100"/>
  <c r="DB7" i="100" s="1"/>
  <c r="DN7" i="100" s="1"/>
  <c r="CY6" i="100"/>
  <c r="CX6" i="100"/>
  <c r="CW6" i="100"/>
  <c r="CV6" i="100"/>
  <c r="CU6" i="100"/>
  <c r="CT6" i="100"/>
  <c r="CS6" i="100"/>
  <c r="CR6" i="100"/>
  <c r="CQ6" i="100"/>
  <c r="CP6" i="100"/>
  <c r="AU6" i="100"/>
  <c r="AT6" i="100"/>
  <c r="AS6" i="100"/>
  <c r="AR6" i="100"/>
  <c r="BD6" i="100" s="1"/>
  <c r="AQ6" i="100"/>
  <c r="AP6" i="100"/>
  <c r="BB6" i="100" s="1"/>
  <c r="AO6" i="100"/>
  <c r="BA6" i="100" s="1"/>
  <c r="AN6" i="100"/>
  <c r="AZ6" i="100" s="1"/>
  <c r="AM6" i="100"/>
  <c r="AL6" i="100"/>
  <c r="K6" i="100"/>
  <c r="DK6" i="100" s="1"/>
  <c r="J6" i="100"/>
  <c r="DJ6" i="100" s="1"/>
  <c r="I6" i="100"/>
  <c r="DI6" i="100" s="1"/>
  <c r="H6" i="100"/>
  <c r="G6" i="100"/>
  <c r="F6" i="100"/>
  <c r="E6" i="100"/>
  <c r="D6" i="100"/>
  <c r="C6" i="100"/>
  <c r="B6" i="100"/>
  <c r="AX6" i="100" s="1"/>
  <c r="BJ6" i="100" s="1"/>
  <c r="CY5" i="100"/>
  <c r="DK5" i="100" s="1"/>
  <c r="CX5" i="100"/>
  <c r="CW5" i="100"/>
  <c r="CV5" i="100"/>
  <c r="CU5" i="100"/>
  <c r="CT5" i="100"/>
  <c r="CS5" i="100"/>
  <c r="CR5" i="100"/>
  <c r="CQ5" i="100"/>
  <c r="DC5" i="100" s="1"/>
  <c r="CP5" i="100"/>
  <c r="AU5" i="100"/>
  <c r="AT5" i="100"/>
  <c r="AS5" i="100"/>
  <c r="AR5" i="100"/>
  <c r="AQ5" i="100"/>
  <c r="AP5" i="100"/>
  <c r="AO5" i="100"/>
  <c r="AN5" i="100"/>
  <c r="AM5" i="100"/>
  <c r="AL5" i="100"/>
  <c r="K5" i="100"/>
  <c r="J5" i="100"/>
  <c r="BF5" i="100" s="1"/>
  <c r="I5" i="100"/>
  <c r="H5" i="100"/>
  <c r="G5" i="100"/>
  <c r="F5" i="100"/>
  <c r="DF5" i="100" s="1"/>
  <c r="E5" i="100"/>
  <c r="D5" i="100"/>
  <c r="C5" i="100"/>
  <c r="B5" i="100"/>
  <c r="AX5" i="100" s="1"/>
  <c r="BJ5" i="100" s="1"/>
  <c r="CY4" i="100"/>
  <c r="DK4" i="100" s="1"/>
  <c r="CX4" i="100"/>
  <c r="CW4" i="100"/>
  <c r="DI4" i="100" s="1"/>
  <c r="CV4" i="100"/>
  <c r="CU4" i="100"/>
  <c r="DG4" i="100" s="1"/>
  <c r="CT4" i="100"/>
  <c r="CS4" i="100"/>
  <c r="DE4" i="100" s="1"/>
  <c r="CR4" i="100"/>
  <c r="CQ4" i="100"/>
  <c r="CP4" i="100"/>
  <c r="AU4" i="100"/>
  <c r="BG4" i="100" s="1"/>
  <c r="AT4" i="100"/>
  <c r="AS4" i="100"/>
  <c r="AR4" i="100"/>
  <c r="AQ4" i="100"/>
  <c r="AP4" i="100"/>
  <c r="AO4" i="100"/>
  <c r="BA4" i="100" s="1"/>
  <c r="AN4" i="100"/>
  <c r="AZ4" i="100" s="1"/>
  <c r="AM4" i="100"/>
  <c r="AY4" i="100" s="1"/>
  <c r="AL4" i="100"/>
  <c r="K4" i="100"/>
  <c r="J4" i="100"/>
  <c r="I4" i="100"/>
  <c r="BE4" i="100" s="1"/>
  <c r="H4" i="100"/>
  <c r="G4" i="100"/>
  <c r="F4" i="100"/>
  <c r="DF4" i="100" s="1"/>
  <c r="E4" i="100"/>
  <c r="D4" i="100"/>
  <c r="C4" i="100"/>
  <c r="DC4" i="100" s="1"/>
  <c r="B4" i="100"/>
  <c r="CY3" i="100"/>
  <c r="CX3" i="100"/>
  <c r="CW3" i="100"/>
  <c r="CV3" i="100"/>
  <c r="DH3" i="100" s="1"/>
  <c r="CU3" i="100"/>
  <c r="CT3" i="100"/>
  <c r="CS3" i="100"/>
  <c r="CR3" i="100"/>
  <c r="DD3" i="100" s="1"/>
  <c r="CQ3" i="100"/>
  <c r="DC3" i="100" s="1"/>
  <c r="CP3" i="100"/>
  <c r="AU3" i="100"/>
  <c r="AT3" i="100"/>
  <c r="AS3" i="100"/>
  <c r="BE3" i="100" s="1"/>
  <c r="AR3" i="100"/>
  <c r="BD3" i="100" s="1"/>
  <c r="AQ3" i="100"/>
  <c r="AP3" i="100"/>
  <c r="AO3" i="100"/>
  <c r="BA3" i="100" s="1"/>
  <c r="AN3" i="100"/>
  <c r="AZ3" i="100" s="1"/>
  <c r="AM3" i="100"/>
  <c r="AY3" i="100" s="1"/>
  <c r="AL3" i="100"/>
  <c r="K3" i="100"/>
  <c r="DK3" i="100" s="1"/>
  <c r="J3" i="100"/>
  <c r="DJ3" i="100" s="1"/>
  <c r="I3" i="100"/>
  <c r="DI3" i="100" s="1"/>
  <c r="DU3" i="100" s="1"/>
  <c r="H3" i="100"/>
  <c r="G3" i="100"/>
  <c r="F3" i="100"/>
  <c r="DF3" i="100" s="1"/>
  <c r="E3" i="100"/>
  <c r="D3" i="100"/>
  <c r="C3" i="100"/>
  <c r="B3" i="100"/>
  <c r="DB3" i="100" s="1"/>
  <c r="DN3" i="100" s="1"/>
  <c r="CY2" i="100"/>
  <c r="CX2" i="100"/>
  <c r="CW2" i="100"/>
  <c r="CV2" i="100"/>
  <c r="DH2" i="100" s="1"/>
  <c r="CU2" i="100"/>
  <c r="CT2" i="100"/>
  <c r="CS2" i="100"/>
  <c r="CR2" i="100"/>
  <c r="DD2" i="100" s="1"/>
  <c r="CQ2" i="100"/>
  <c r="CP2" i="100"/>
  <c r="AU2" i="100"/>
  <c r="AT2" i="100"/>
  <c r="AS2" i="100"/>
  <c r="AR2" i="100"/>
  <c r="AQ2" i="100"/>
  <c r="AP2" i="100"/>
  <c r="BB2" i="100" s="1"/>
  <c r="AO2" i="100"/>
  <c r="BA2" i="100" s="1"/>
  <c r="AN2" i="100"/>
  <c r="AM2" i="100"/>
  <c r="AL2" i="100"/>
  <c r="K2" i="100"/>
  <c r="DK2" i="100" s="1"/>
  <c r="J2" i="100"/>
  <c r="I2" i="100"/>
  <c r="DI2" i="100" s="1"/>
  <c r="H2" i="100"/>
  <c r="G2" i="100"/>
  <c r="F2" i="100"/>
  <c r="E2" i="100"/>
  <c r="D2" i="100"/>
  <c r="AZ2" i="100" s="1"/>
  <c r="C2" i="100"/>
  <c r="B2" i="100"/>
  <c r="BH61" i="99"/>
  <c r="BG61" i="99"/>
  <c r="BF61" i="99"/>
  <c r="BE61" i="99"/>
  <c r="BD61" i="99"/>
  <c r="BC61" i="99"/>
  <c r="BB61" i="99"/>
  <c r="BA61" i="99"/>
  <c r="AZ61" i="99"/>
  <c r="AY61" i="99"/>
  <c r="AV61" i="99"/>
  <c r="AU61" i="99"/>
  <c r="AT61" i="99"/>
  <c r="AS61" i="99"/>
  <c r="AR61" i="99"/>
  <c r="AQ61" i="99"/>
  <c r="AP61" i="99"/>
  <c r="AO61" i="99"/>
  <c r="AN61" i="99"/>
  <c r="AM61" i="99"/>
  <c r="AJ61" i="99"/>
  <c r="AI61" i="99"/>
  <c r="AH61" i="99"/>
  <c r="AG61" i="99"/>
  <c r="AF61" i="99"/>
  <c r="AE61" i="99"/>
  <c r="AD61" i="99"/>
  <c r="AC61" i="99"/>
  <c r="AB61" i="99"/>
  <c r="AA61" i="99"/>
  <c r="X61" i="99"/>
  <c r="W61" i="99"/>
  <c r="V61" i="99"/>
  <c r="U61" i="99"/>
  <c r="T61" i="99"/>
  <c r="S61" i="99"/>
  <c r="R61" i="99"/>
  <c r="Q61" i="99"/>
  <c r="P61" i="99"/>
  <c r="O61" i="99"/>
  <c r="L61" i="99"/>
  <c r="K61" i="99"/>
  <c r="BH60" i="99"/>
  <c r="BG60" i="99"/>
  <c r="BF60" i="99"/>
  <c r="BE60" i="99"/>
  <c r="BD60" i="99"/>
  <c r="BC60" i="99"/>
  <c r="BB60" i="99"/>
  <c r="BA60" i="99"/>
  <c r="AZ60" i="99"/>
  <c r="AY60" i="99"/>
  <c r="AV60" i="99"/>
  <c r="AU60" i="99"/>
  <c r="AT60" i="99"/>
  <c r="AS60" i="99"/>
  <c r="AR60" i="99"/>
  <c r="AQ60" i="99"/>
  <c r="AP60" i="99"/>
  <c r="AO60" i="99"/>
  <c r="AN60" i="99"/>
  <c r="AM60" i="99"/>
  <c r="AJ60" i="99"/>
  <c r="AI60" i="99"/>
  <c r="AH60" i="99"/>
  <c r="AG60" i="99"/>
  <c r="AF60" i="99"/>
  <c r="AE60" i="99"/>
  <c r="AD60" i="99"/>
  <c r="AC60" i="99"/>
  <c r="AB60" i="99"/>
  <c r="AA60" i="99"/>
  <c r="X60" i="99"/>
  <c r="W60" i="99"/>
  <c r="V60" i="99"/>
  <c r="U60" i="99"/>
  <c r="T60" i="99"/>
  <c r="S60" i="99"/>
  <c r="R60" i="99"/>
  <c r="Q60" i="99"/>
  <c r="P60" i="99"/>
  <c r="O60" i="99"/>
  <c r="L60" i="99"/>
  <c r="K60" i="99"/>
  <c r="BH59" i="99"/>
  <c r="BG59" i="99"/>
  <c r="BF59" i="99"/>
  <c r="BE59" i="99"/>
  <c r="BD59" i="99"/>
  <c r="BC59" i="99"/>
  <c r="BB59" i="99"/>
  <c r="BA59" i="99"/>
  <c r="AZ59" i="99"/>
  <c r="AY59" i="99"/>
  <c r="AV59" i="99"/>
  <c r="AU59" i="99"/>
  <c r="AT59" i="99"/>
  <c r="AS59" i="99"/>
  <c r="AR59" i="99"/>
  <c r="AQ59" i="99"/>
  <c r="AP59" i="99"/>
  <c r="AO59" i="99"/>
  <c r="AN59" i="99"/>
  <c r="AM59" i="99"/>
  <c r="AJ59" i="99"/>
  <c r="AI59" i="99"/>
  <c r="AH59" i="99"/>
  <c r="AG59" i="99"/>
  <c r="AF59" i="99"/>
  <c r="AE59" i="99"/>
  <c r="AD59" i="99"/>
  <c r="AC59" i="99"/>
  <c r="AB59" i="99"/>
  <c r="AA59" i="99"/>
  <c r="X59" i="99"/>
  <c r="W59" i="99"/>
  <c r="V59" i="99"/>
  <c r="U59" i="99"/>
  <c r="T59" i="99"/>
  <c r="S59" i="99"/>
  <c r="R59" i="99"/>
  <c r="Q59" i="99"/>
  <c r="P59" i="99"/>
  <c r="O59" i="99"/>
  <c r="L59" i="99"/>
  <c r="K59" i="99"/>
  <c r="BH58" i="99"/>
  <c r="BG58" i="99"/>
  <c r="BF58" i="99"/>
  <c r="BE58" i="99"/>
  <c r="BD58" i="99"/>
  <c r="BC58" i="99"/>
  <c r="BB58" i="99"/>
  <c r="BA58" i="99"/>
  <c r="AZ58" i="99"/>
  <c r="AY58" i="99"/>
  <c r="AV58" i="99"/>
  <c r="AU58" i="99"/>
  <c r="AT58" i="99"/>
  <c r="AS58" i="99"/>
  <c r="AR58" i="99"/>
  <c r="AQ58" i="99"/>
  <c r="AP58" i="99"/>
  <c r="AO58" i="99"/>
  <c r="AN58" i="99"/>
  <c r="AM58" i="99"/>
  <c r="AJ58" i="99"/>
  <c r="AI58" i="99"/>
  <c r="AH58" i="99"/>
  <c r="AG58" i="99"/>
  <c r="AF58" i="99"/>
  <c r="AE58" i="99"/>
  <c r="AD58" i="99"/>
  <c r="AC58" i="99"/>
  <c r="AB58" i="99"/>
  <c r="AA58" i="99"/>
  <c r="X58" i="99"/>
  <c r="W58" i="99"/>
  <c r="V58" i="99"/>
  <c r="U58" i="99"/>
  <c r="T58" i="99"/>
  <c r="S58" i="99"/>
  <c r="R58" i="99"/>
  <c r="Q58" i="99"/>
  <c r="P58" i="99"/>
  <c r="O58" i="99"/>
  <c r="L58" i="99"/>
  <c r="K58" i="99"/>
  <c r="BH57" i="99"/>
  <c r="BG57" i="99"/>
  <c r="BF57" i="99"/>
  <c r="BE57" i="99"/>
  <c r="BD57" i="99"/>
  <c r="BC57" i="99"/>
  <c r="BB57" i="99"/>
  <c r="BA57" i="99"/>
  <c r="AZ57" i="99"/>
  <c r="AY57" i="99"/>
  <c r="AV57" i="99"/>
  <c r="AU57" i="99"/>
  <c r="AT57" i="99"/>
  <c r="AS57" i="99"/>
  <c r="AR57" i="99"/>
  <c r="AQ57" i="99"/>
  <c r="AP57" i="99"/>
  <c r="AO57" i="99"/>
  <c r="AN57" i="99"/>
  <c r="AM57" i="99"/>
  <c r="AJ57" i="99"/>
  <c r="AI57" i="99"/>
  <c r="AH57" i="99"/>
  <c r="AG57" i="99"/>
  <c r="AF57" i="99"/>
  <c r="AE57" i="99"/>
  <c r="AD57" i="99"/>
  <c r="AC57" i="99"/>
  <c r="AB57" i="99"/>
  <c r="AA57" i="99"/>
  <c r="X57" i="99"/>
  <c r="W57" i="99"/>
  <c r="V57" i="99"/>
  <c r="U57" i="99"/>
  <c r="T57" i="99"/>
  <c r="S57" i="99"/>
  <c r="R57" i="99"/>
  <c r="Q57" i="99"/>
  <c r="P57" i="99"/>
  <c r="O57" i="99"/>
  <c r="L57" i="99"/>
  <c r="K57" i="99"/>
  <c r="BH56" i="99"/>
  <c r="BG56" i="99"/>
  <c r="BF56" i="99"/>
  <c r="BE56" i="99"/>
  <c r="BD56" i="99"/>
  <c r="BC56" i="99"/>
  <c r="BB56" i="99"/>
  <c r="BA56" i="99"/>
  <c r="AZ56" i="99"/>
  <c r="AY56" i="99"/>
  <c r="AV56" i="99"/>
  <c r="AU56" i="99"/>
  <c r="AT56" i="99"/>
  <c r="AS56" i="99"/>
  <c r="AR56" i="99"/>
  <c r="AQ56" i="99"/>
  <c r="AP56" i="99"/>
  <c r="AO56" i="99"/>
  <c r="AN56" i="99"/>
  <c r="AM56" i="99"/>
  <c r="AJ56" i="99"/>
  <c r="AI56" i="99"/>
  <c r="AH56" i="99"/>
  <c r="AG56" i="99"/>
  <c r="AF56" i="99"/>
  <c r="AE56" i="99"/>
  <c r="AD56" i="99"/>
  <c r="AC56" i="99"/>
  <c r="AB56" i="99"/>
  <c r="AA56" i="99"/>
  <c r="X56" i="99"/>
  <c r="W56" i="99"/>
  <c r="V56" i="99"/>
  <c r="U56" i="99"/>
  <c r="T56" i="99"/>
  <c r="S56" i="99"/>
  <c r="R56" i="99"/>
  <c r="Q56" i="99"/>
  <c r="P56" i="99"/>
  <c r="O56" i="99"/>
  <c r="L56" i="99"/>
  <c r="K56" i="99"/>
  <c r="BH55" i="99"/>
  <c r="BG55" i="99"/>
  <c r="BF55" i="99"/>
  <c r="BE55" i="99"/>
  <c r="BD55" i="99"/>
  <c r="BC55" i="99"/>
  <c r="BB55" i="99"/>
  <c r="BA55" i="99"/>
  <c r="AZ55" i="99"/>
  <c r="AY55" i="99"/>
  <c r="AV55" i="99"/>
  <c r="AU55" i="99"/>
  <c r="AT55" i="99"/>
  <c r="AS55" i="99"/>
  <c r="AR55" i="99"/>
  <c r="AQ55" i="99"/>
  <c r="AP55" i="99"/>
  <c r="AO55" i="99"/>
  <c r="AN55" i="99"/>
  <c r="AM55" i="99"/>
  <c r="AJ55" i="99"/>
  <c r="AI55" i="99"/>
  <c r="AH55" i="99"/>
  <c r="AG55" i="99"/>
  <c r="AF55" i="99"/>
  <c r="AE55" i="99"/>
  <c r="AD55" i="99"/>
  <c r="AC55" i="99"/>
  <c r="AB55" i="99"/>
  <c r="AA55" i="99"/>
  <c r="X55" i="99"/>
  <c r="W55" i="99"/>
  <c r="V55" i="99"/>
  <c r="U55" i="99"/>
  <c r="T55" i="99"/>
  <c r="S55" i="99"/>
  <c r="R55" i="99"/>
  <c r="Q55" i="99"/>
  <c r="P55" i="99"/>
  <c r="O55" i="99"/>
  <c r="L55" i="99"/>
  <c r="K55" i="99"/>
  <c r="BH54" i="99"/>
  <c r="BG54" i="99"/>
  <c r="BF54" i="99"/>
  <c r="BE54" i="99"/>
  <c r="BD54" i="99"/>
  <c r="BC54" i="99"/>
  <c r="BB54" i="99"/>
  <c r="BA54" i="99"/>
  <c r="AZ54" i="99"/>
  <c r="AY54" i="99"/>
  <c r="AV54" i="99"/>
  <c r="AU54" i="99"/>
  <c r="AT54" i="99"/>
  <c r="AS54" i="99"/>
  <c r="AR54" i="99"/>
  <c r="AQ54" i="99"/>
  <c r="AP54" i="99"/>
  <c r="AO54" i="99"/>
  <c r="AN54" i="99"/>
  <c r="AM54" i="99"/>
  <c r="AJ54" i="99"/>
  <c r="AI54" i="99"/>
  <c r="AH54" i="99"/>
  <c r="AG54" i="99"/>
  <c r="AF54" i="99"/>
  <c r="AE54" i="99"/>
  <c r="AD54" i="99"/>
  <c r="AC54" i="99"/>
  <c r="AB54" i="99"/>
  <c r="AA54" i="99"/>
  <c r="X54" i="99"/>
  <c r="W54" i="99"/>
  <c r="V54" i="99"/>
  <c r="U54" i="99"/>
  <c r="T54" i="99"/>
  <c r="S54" i="99"/>
  <c r="R54" i="99"/>
  <c r="Q54" i="99"/>
  <c r="P54" i="99"/>
  <c r="O54" i="99"/>
  <c r="L54" i="99"/>
  <c r="K54" i="99"/>
  <c r="BH53" i="99"/>
  <c r="BG53" i="99"/>
  <c r="BF53" i="99"/>
  <c r="BE53" i="99"/>
  <c r="BD53" i="99"/>
  <c r="BC53" i="99"/>
  <c r="BB53" i="99"/>
  <c r="BA53" i="99"/>
  <c r="AZ53" i="99"/>
  <c r="AY53" i="99"/>
  <c r="AV53" i="99"/>
  <c r="AU53" i="99"/>
  <c r="AT53" i="99"/>
  <c r="AS53" i="99"/>
  <c r="AR53" i="99"/>
  <c r="AQ53" i="99"/>
  <c r="AP53" i="99"/>
  <c r="AO53" i="99"/>
  <c r="AN53" i="99"/>
  <c r="AM53" i="99"/>
  <c r="AJ53" i="99"/>
  <c r="AI53" i="99"/>
  <c r="AH53" i="99"/>
  <c r="AG53" i="99"/>
  <c r="AF53" i="99"/>
  <c r="AE53" i="99"/>
  <c r="AD53" i="99"/>
  <c r="AC53" i="99"/>
  <c r="AB53" i="99"/>
  <c r="AA53" i="99"/>
  <c r="X53" i="99"/>
  <c r="W53" i="99"/>
  <c r="V53" i="99"/>
  <c r="U53" i="99"/>
  <c r="T53" i="99"/>
  <c r="S53" i="99"/>
  <c r="R53" i="99"/>
  <c r="Q53" i="99"/>
  <c r="P53" i="99"/>
  <c r="O53" i="99"/>
  <c r="L53" i="99"/>
  <c r="K53" i="99"/>
  <c r="BH52" i="99"/>
  <c r="BG52" i="99"/>
  <c r="BF52" i="99"/>
  <c r="BE52" i="99"/>
  <c r="BD52" i="99"/>
  <c r="BC52" i="99"/>
  <c r="BB52" i="99"/>
  <c r="BA52" i="99"/>
  <c r="AZ52" i="99"/>
  <c r="AY52" i="99"/>
  <c r="AV52" i="99"/>
  <c r="AU52" i="99"/>
  <c r="AT52" i="99"/>
  <c r="AS52" i="99"/>
  <c r="AR52" i="99"/>
  <c r="AQ52" i="99"/>
  <c r="AP52" i="99"/>
  <c r="AO52" i="99"/>
  <c r="AN52" i="99"/>
  <c r="AM52" i="99"/>
  <c r="AJ52" i="99"/>
  <c r="AI52" i="99"/>
  <c r="AH52" i="99"/>
  <c r="AG52" i="99"/>
  <c r="AF52" i="99"/>
  <c r="AE52" i="99"/>
  <c r="AD52" i="99"/>
  <c r="AC52" i="99"/>
  <c r="AB52" i="99"/>
  <c r="AA52" i="99"/>
  <c r="X52" i="99"/>
  <c r="W52" i="99"/>
  <c r="V52" i="99"/>
  <c r="U52" i="99"/>
  <c r="T52" i="99"/>
  <c r="S52" i="99"/>
  <c r="R52" i="99"/>
  <c r="Q52" i="99"/>
  <c r="P52" i="99"/>
  <c r="O52" i="99"/>
  <c r="L52" i="99"/>
  <c r="K52" i="99"/>
  <c r="BH51" i="99"/>
  <c r="BG51" i="99"/>
  <c r="BF51" i="99"/>
  <c r="BE51" i="99"/>
  <c r="BD51" i="99"/>
  <c r="BC51" i="99"/>
  <c r="BB51" i="99"/>
  <c r="BA51" i="99"/>
  <c r="AZ51" i="99"/>
  <c r="AY51" i="99"/>
  <c r="AV51" i="99"/>
  <c r="AU51" i="99"/>
  <c r="AT51" i="99"/>
  <c r="AS51" i="99"/>
  <c r="AR51" i="99"/>
  <c r="AQ51" i="99"/>
  <c r="AP51" i="99"/>
  <c r="AO51" i="99"/>
  <c r="AN51" i="99"/>
  <c r="AM51" i="99"/>
  <c r="AJ51" i="99"/>
  <c r="AI51" i="99"/>
  <c r="AH51" i="99"/>
  <c r="AG51" i="99"/>
  <c r="AF51" i="99"/>
  <c r="AE51" i="99"/>
  <c r="AD51" i="99"/>
  <c r="AC51" i="99"/>
  <c r="AB51" i="99"/>
  <c r="AA51" i="99"/>
  <c r="X51" i="99"/>
  <c r="W51" i="99"/>
  <c r="V51" i="99"/>
  <c r="U51" i="99"/>
  <c r="T51" i="99"/>
  <c r="S51" i="99"/>
  <c r="R51" i="99"/>
  <c r="Q51" i="99"/>
  <c r="P51" i="99"/>
  <c r="O51" i="99"/>
  <c r="L51" i="99"/>
  <c r="K51" i="99"/>
  <c r="BH50" i="99"/>
  <c r="BG50" i="99"/>
  <c r="BF50" i="99"/>
  <c r="BE50" i="99"/>
  <c r="BD50" i="99"/>
  <c r="BC50" i="99"/>
  <c r="BB50" i="99"/>
  <c r="BA50" i="99"/>
  <c r="AZ50" i="99"/>
  <c r="AY50" i="99"/>
  <c r="AV50" i="99"/>
  <c r="AU50" i="99"/>
  <c r="AT50" i="99"/>
  <c r="AS50" i="99"/>
  <c r="AR50" i="99"/>
  <c r="AQ50" i="99"/>
  <c r="AP50" i="99"/>
  <c r="AO50" i="99"/>
  <c r="AN50" i="99"/>
  <c r="AM50" i="99"/>
  <c r="AJ50" i="99"/>
  <c r="AI50" i="99"/>
  <c r="AH50" i="99"/>
  <c r="AG50" i="99"/>
  <c r="AF50" i="99"/>
  <c r="AE50" i="99"/>
  <c r="AD50" i="99"/>
  <c r="AC50" i="99"/>
  <c r="AB50" i="99"/>
  <c r="AA50" i="99"/>
  <c r="X50" i="99"/>
  <c r="W50" i="99"/>
  <c r="V50" i="99"/>
  <c r="U50" i="99"/>
  <c r="T50" i="99"/>
  <c r="S50" i="99"/>
  <c r="R50" i="99"/>
  <c r="Q50" i="99"/>
  <c r="P50" i="99"/>
  <c r="O50" i="99"/>
  <c r="L50" i="99"/>
  <c r="K50" i="99"/>
  <c r="BH49" i="99"/>
  <c r="BG49" i="99"/>
  <c r="BF49" i="99"/>
  <c r="BE49" i="99"/>
  <c r="BD49" i="99"/>
  <c r="BC49" i="99"/>
  <c r="BB49" i="99"/>
  <c r="BA49" i="99"/>
  <c r="AZ49" i="99"/>
  <c r="AY49" i="99"/>
  <c r="AV49" i="99"/>
  <c r="AU49" i="99"/>
  <c r="AT49" i="99"/>
  <c r="AS49" i="99"/>
  <c r="AR49" i="99"/>
  <c r="AQ49" i="99"/>
  <c r="AP49" i="99"/>
  <c r="AO49" i="99"/>
  <c r="AN49" i="99"/>
  <c r="AM49" i="99"/>
  <c r="AJ49" i="99"/>
  <c r="AI49" i="99"/>
  <c r="AH49" i="99"/>
  <c r="AG49" i="99"/>
  <c r="AF49" i="99"/>
  <c r="AE49" i="99"/>
  <c r="AD49" i="99"/>
  <c r="AC49" i="99"/>
  <c r="AB49" i="99"/>
  <c r="AA49" i="99"/>
  <c r="X49" i="99"/>
  <c r="W49" i="99"/>
  <c r="V49" i="99"/>
  <c r="U49" i="99"/>
  <c r="T49" i="99"/>
  <c r="S49" i="99"/>
  <c r="R49" i="99"/>
  <c r="Q49" i="99"/>
  <c r="P49" i="99"/>
  <c r="O49" i="99"/>
  <c r="L49" i="99"/>
  <c r="K49" i="99"/>
  <c r="BH48" i="99"/>
  <c r="BG48" i="99"/>
  <c r="BF48" i="99"/>
  <c r="BE48" i="99"/>
  <c r="BD48" i="99"/>
  <c r="BC48" i="99"/>
  <c r="BB48" i="99"/>
  <c r="BA48" i="99"/>
  <c r="AZ48" i="99"/>
  <c r="AY48" i="99"/>
  <c r="AV48" i="99"/>
  <c r="AU48" i="99"/>
  <c r="AT48" i="99"/>
  <c r="AS48" i="99"/>
  <c r="AR48" i="99"/>
  <c r="AQ48" i="99"/>
  <c r="AP48" i="99"/>
  <c r="AO48" i="99"/>
  <c r="AN48" i="99"/>
  <c r="AM48" i="99"/>
  <c r="AJ48" i="99"/>
  <c r="AI48" i="99"/>
  <c r="AH48" i="99"/>
  <c r="AG48" i="99"/>
  <c r="AF48" i="99"/>
  <c r="AE48" i="99"/>
  <c r="AD48" i="99"/>
  <c r="AC48" i="99"/>
  <c r="AB48" i="99"/>
  <c r="AA48" i="99"/>
  <c r="X48" i="99"/>
  <c r="W48" i="99"/>
  <c r="V48" i="99"/>
  <c r="U48" i="99"/>
  <c r="T48" i="99"/>
  <c r="S48" i="99"/>
  <c r="R48" i="99"/>
  <c r="Q48" i="99"/>
  <c r="P48" i="99"/>
  <c r="O48" i="99"/>
  <c r="L48" i="99"/>
  <c r="K48" i="99"/>
  <c r="BH47" i="99"/>
  <c r="BG47" i="99"/>
  <c r="BF47" i="99"/>
  <c r="BE47" i="99"/>
  <c r="BD47" i="99"/>
  <c r="BC47" i="99"/>
  <c r="BB47" i="99"/>
  <c r="BA47" i="99"/>
  <c r="AZ47" i="99"/>
  <c r="AY47" i="99"/>
  <c r="AV47" i="99"/>
  <c r="AU47" i="99"/>
  <c r="AT47" i="99"/>
  <c r="AS47" i="99"/>
  <c r="AR47" i="99"/>
  <c r="AQ47" i="99"/>
  <c r="AP47" i="99"/>
  <c r="AO47" i="99"/>
  <c r="AN47" i="99"/>
  <c r="AM47" i="99"/>
  <c r="AJ47" i="99"/>
  <c r="AI47" i="99"/>
  <c r="AH47" i="99"/>
  <c r="AG47" i="99"/>
  <c r="AF47" i="99"/>
  <c r="AE47" i="99"/>
  <c r="AD47" i="99"/>
  <c r="AC47" i="99"/>
  <c r="AB47" i="99"/>
  <c r="AA47" i="99"/>
  <c r="X47" i="99"/>
  <c r="W47" i="99"/>
  <c r="V47" i="99"/>
  <c r="U47" i="99"/>
  <c r="T47" i="99"/>
  <c r="S47" i="99"/>
  <c r="R47" i="99"/>
  <c r="Q47" i="99"/>
  <c r="P47" i="99"/>
  <c r="O47" i="99"/>
  <c r="L47" i="99"/>
  <c r="K47" i="99"/>
  <c r="BH46" i="99"/>
  <c r="BG46" i="99"/>
  <c r="BF46" i="99"/>
  <c r="BE46" i="99"/>
  <c r="BD46" i="99"/>
  <c r="BC46" i="99"/>
  <c r="BB46" i="99"/>
  <c r="BA46" i="99"/>
  <c r="AZ46" i="99"/>
  <c r="AY46" i="99"/>
  <c r="AV46" i="99"/>
  <c r="AU46" i="99"/>
  <c r="AT46" i="99"/>
  <c r="AS46" i="99"/>
  <c r="AR46" i="99"/>
  <c r="AQ46" i="99"/>
  <c r="AP46" i="99"/>
  <c r="AO46" i="99"/>
  <c r="AN46" i="99"/>
  <c r="AM46" i="99"/>
  <c r="AJ46" i="99"/>
  <c r="AI46" i="99"/>
  <c r="AH46" i="99"/>
  <c r="AG46" i="99"/>
  <c r="AF46" i="99"/>
  <c r="AE46" i="99"/>
  <c r="AD46" i="99"/>
  <c r="AC46" i="99"/>
  <c r="AB46" i="99"/>
  <c r="AA46" i="99"/>
  <c r="X46" i="99"/>
  <c r="W46" i="99"/>
  <c r="V46" i="99"/>
  <c r="U46" i="99"/>
  <c r="T46" i="99"/>
  <c r="S46" i="99"/>
  <c r="R46" i="99"/>
  <c r="Q46" i="99"/>
  <c r="P46" i="99"/>
  <c r="O46" i="99"/>
  <c r="L46" i="99"/>
  <c r="K46" i="99"/>
  <c r="BH45" i="99"/>
  <c r="BG45" i="99"/>
  <c r="BF45" i="99"/>
  <c r="BE45" i="99"/>
  <c r="BD45" i="99"/>
  <c r="BC45" i="99"/>
  <c r="BB45" i="99"/>
  <c r="BA45" i="99"/>
  <c r="AZ45" i="99"/>
  <c r="AY45" i="99"/>
  <c r="AV45" i="99"/>
  <c r="AU45" i="99"/>
  <c r="AT45" i="99"/>
  <c r="AS45" i="99"/>
  <c r="AR45" i="99"/>
  <c r="AQ45" i="99"/>
  <c r="AP45" i="99"/>
  <c r="AO45" i="99"/>
  <c r="AN45" i="99"/>
  <c r="AM45" i="99"/>
  <c r="AJ45" i="99"/>
  <c r="AI45" i="99"/>
  <c r="AH45" i="99"/>
  <c r="AG45" i="99"/>
  <c r="AF45" i="99"/>
  <c r="AE45" i="99"/>
  <c r="AD45" i="99"/>
  <c r="AC45" i="99"/>
  <c r="AB45" i="99"/>
  <c r="AA45" i="99"/>
  <c r="X45" i="99"/>
  <c r="W45" i="99"/>
  <c r="V45" i="99"/>
  <c r="U45" i="99"/>
  <c r="T45" i="99"/>
  <c r="S45" i="99"/>
  <c r="R45" i="99"/>
  <c r="Q45" i="99"/>
  <c r="P45" i="99"/>
  <c r="O45" i="99"/>
  <c r="L45" i="99"/>
  <c r="K45" i="99"/>
  <c r="BH44" i="99"/>
  <c r="BG44" i="99"/>
  <c r="BF44" i="99"/>
  <c r="BE44" i="99"/>
  <c r="BD44" i="99"/>
  <c r="BC44" i="99"/>
  <c r="BB44" i="99"/>
  <c r="BA44" i="99"/>
  <c r="AZ44" i="99"/>
  <c r="AY44" i="99"/>
  <c r="AV44" i="99"/>
  <c r="AU44" i="99"/>
  <c r="AT44" i="99"/>
  <c r="AS44" i="99"/>
  <c r="AR44" i="99"/>
  <c r="AQ44" i="99"/>
  <c r="AP44" i="99"/>
  <c r="AO44" i="99"/>
  <c r="AN44" i="99"/>
  <c r="AM44" i="99"/>
  <c r="AJ44" i="99"/>
  <c r="AI44" i="99"/>
  <c r="AH44" i="99"/>
  <c r="AG44" i="99"/>
  <c r="AF44" i="99"/>
  <c r="AE44" i="99"/>
  <c r="AD44" i="99"/>
  <c r="AC44" i="99"/>
  <c r="AB44" i="99"/>
  <c r="AA44" i="99"/>
  <c r="X44" i="99"/>
  <c r="W44" i="99"/>
  <c r="V44" i="99"/>
  <c r="U44" i="99"/>
  <c r="T44" i="99"/>
  <c r="S44" i="99"/>
  <c r="R44" i="99"/>
  <c r="Q44" i="99"/>
  <c r="P44" i="99"/>
  <c r="O44" i="99"/>
  <c r="L44" i="99"/>
  <c r="K44" i="99"/>
  <c r="BH43" i="99"/>
  <c r="BG43" i="99"/>
  <c r="BF43" i="99"/>
  <c r="BE43" i="99"/>
  <c r="BD43" i="99"/>
  <c r="BC43" i="99"/>
  <c r="BB43" i="99"/>
  <c r="BA43" i="99"/>
  <c r="AZ43" i="99"/>
  <c r="AY43" i="99"/>
  <c r="AV43" i="99"/>
  <c r="AU43" i="99"/>
  <c r="AT43" i="99"/>
  <c r="AS43" i="99"/>
  <c r="AR43" i="99"/>
  <c r="AQ43" i="99"/>
  <c r="AP43" i="99"/>
  <c r="AO43" i="99"/>
  <c r="AN43" i="99"/>
  <c r="AM43" i="99"/>
  <c r="AJ43" i="99"/>
  <c r="AI43" i="99"/>
  <c r="AH43" i="99"/>
  <c r="AG43" i="99"/>
  <c r="AF43" i="99"/>
  <c r="AE43" i="99"/>
  <c r="AD43" i="99"/>
  <c r="AC43" i="99"/>
  <c r="AB43" i="99"/>
  <c r="AA43" i="99"/>
  <c r="X43" i="99"/>
  <c r="W43" i="99"/>
  <c r="V43" i="99"/>
  <c r="U43" i="99"/>
  <c r="T43" i="99"/>
  <c r="S43" i="99"/>
  <c r="R43" i="99"/>
  <c r="Q43" i="99"/>
  <c r="P43" i="99"/>
  <c r="O43" i="99"/>
  <c r="L43" i="99"/>
  <c r="K43" i="99"/>
  <c r="BH42" i="99"/>
  <c r="BG42" i="99"/>
  <c r="BF42" i="99"/>
  <c r="BE42" i="99"/>
  <c r="BD42" i="99"/>
  <c r="BC42" i="99"/>
  <c r="BB42" i="99"/>
  <c r="BA42" i="99"/>
  <c r="AZ42" i="99"/>
  <c r="AY42" i="99"/>
  <c r="AV42" i="99"/>
  <c r="AU42" i="99"/>
  <c r="AT42" i="99"/>
  <c r="AS42" i="99"/>
  <c r="AR42" i="99"/>
  <c r="AQ42" i="99"/>
  <c r="AP42" i="99"/>
  <c r="AO42" i="99"/>
  <c r="AN42" i="99"/>
  <c r="AM42" i="99"/>
  <c r="AJ42" i="99"/>
  <c r="AI42" i="99"/>
  <c r="AH42" i="99"/>
  <c r="AG42" i="99"/>
  <c r="AF42" i="99"/>
  <c r="AE42" i="99"/>
  <c r="AD42" i="99"/>
  <c r="AC42" i="99"/>
  <c r="AB42" i="99"/>
  <c r="AA42" i="99"/>
  <c r="X42" i="99"/>
  <c r="W42" i="99"/>
  <c r="V42" i="99"/>
  <c r="U42" i="99"/>
  <c r="T42" i="99"/>
  <c r="S42" i="99"/>
  <c r="R42" i="99"/>
  <c r="Q42" i="99"/>
  <c r="P42" i="99"/>
  <c r="O42" i="99"/>
  <c r="L42" i="99"/>
  <c r="K42" i="99"/>
  <c r="BH41" i="99"/>
  <c r="BG41" i="99"/>
  <c r="BF41" i="99"/>
  <c r="BE41" i="99"/>
  <c r="BD41" i="99"/>
  <c r="BC41" i="99"/>
  <c r="BB41" i="99"/>
  <c r="BA41" i="99"/>
  <c r="AZ41" i="99"/>
  <c r="AY41" i="99"/>
  <c r="AV41" i="99"/>
  <c r="AU41" i="99"/>
  <c r="AT41" i="99"/>
  <c r="AS41" i="99"/>
  <c r="AR41" i="99"/>
  <c r="AQ41" i="99"/>
  <c r="AP41" i="99"/>
  <c r="AO41" i="99"/>
  <c r="AN41" i="99"/>
  <c r="AM41" i="99"/>
  <c r="AJ41" i="99"/>
  <c r="AI41" i="99"/>
  <c r="AH41" i="99"/>
  <c r="AG41" i="99"/>
  <c r="AF41" i="99"/>
  <c r="AE41" i="99"/>
  <c r="AD41" i="99"/>
  <c r="AC41" i="99"/>
  <c r="AB41" i="99"/>
  <c r="AA41" i="99"/>
  <c r="X41" i="99"/>
  <c r="W41" i="99"/>
  <c r="V41" i="99"/>
  <c r="U41" i="99"/>
  <c r="T41" i="99"/>
  <c r="S41" i="99"/>
  <c r="R41" i="99"/>
  <c r="Q41" i="99"/>
  <c r="P41" i="99"/>
  <c r="O41" i="99"/>
  <c r="L41" i="99"/>
  <c r="K41" i="99"/>
  <c r="BH40" i="99"/>
  <c r="BG40" i="99"/>
  <c r="BF40" i="99"/>
  <c r="BE40" i="99"/>
  <c r="BD40" i="99"/>
  <c r="BC40" i="99"/>
  <c r="BB40" i="99"/>
  <c r="BA40" i="99"/>
  <c r="AZ40" i="99"/>
  <c r="AY40" i="99"/>
  <c r="AV40" i="99"/>
  <c r="AU40" i="99"/>
  <c r="AT40" i="99"/>
  <c r="AS40" i="99"/>
  <c r="AR40" i="99"/>
  <c r="AQ40" i="99"/>
  <c r="AP40" i="99"/>
  <c r="AO40" i="99"/>
  <c r="AN40" i="99"/>
  <c r="AM40" i="99"/>
  <c r="AJ40" i="99"/>
  <c r="AI40" i="99"/>
  <c r="AH40" i="99"/>
  <c r="AG40" i="99"/>
  <c r="AF40" i="99"/>
  <c r="AE40" i="99"/>
  <c r="AD40" i="99"/>
  <c r="AC40" i="99"/>
  <c r="AB40" i="99"/>
  <c r="AA40" i="99"/>
  <c r="X40" i="99"/>
  <c r="W40" i="99"/>
  <c r="V40" i="99"/>
  <c r="U40" i="99"/>
  <c r="T40" i="99"/>
  <c r="S40" i="99"/>
  <c r="R40" i="99"/>
  <c r="Q40" i="99"/>
  <c r="P40" i="99"/>
  <c r="O40" i="99"/>
  <c r="L40" i="99"/>
  <c r="K40" i="99"/>
  <c r="BH39" i="99"/>
  <c r="BG39" i="99"/>
  <c r="BF39" i="99"/>
  <c r="BE39" i="99"/>
  <c r="BD39" i="99"/>
  <c r="BC39" i="99"/>
  <c r="BB39" i="99"/>
  <c r="BA39" i="99"/>
  <c r="AZ39" i="99"/>
  <c r="AY39" i="99"/>
  <c r="AV39" i="99"/>
  <c r="AU39" i="99"/>
  <c r="AT39" i="99"/>
  <c r="AS39" i="99"/>
  <c r="AR39" i="99"/>
  <c r="AQ39" i="99"/>
  <c r="AP39" i="99"/>
  <c r="AO39" i="99"/>
  <c r="AN39" i="99"/>
  <c r="AM39" i="99"/>
  <c r="AJ39" i="99"/>
  <c r="AI39" i="99"/>
  <c r="AH39" i="99"/>
  <c r="AG39" i="99"/>
  <c r="AF39" i="99"/>
  <c r="AE39" i="99"/>
  <c r="AD39" i="99"/>
  <c r="AC39" i="99"/>
  <c r="AB39" i="99"/>
  <c r="AA39" i="99"/>
  <c r="X39" i="99"/>
  <c r="W39" i="99"/>
  <c r="V39" i="99"/>
  <c r="U39" i="99"/>
  <c r="T39" i="99"/>
  <c r="S39" i="99"/>
  <c r="R39" i="99"/>
  <c r="Q39" i="99"/>
  <c r="P39" i="99"/>
  <c r="O39" i="99"/>
  <c r="L39" i="99"/>
  <c r="K39" i="99"/>
  <c r="BH38" i="99"/>
  <c r="BG38" i="99"/>
  <c r="BF38" i="99"/>
  <c r="BE38" i="99"/>
  <c r="BD38" i="99"/>
  <c r="BC38" i="99"/>
  <c r="BB38" i="99"/>
  <c r="BA38" i="99"/>
  <c r="AZ38" i="99"/>
  <c r="AY38" i="99"/>
  <c r="AV38" i="99"/>
  <c r="AU38" i="99"/>
  <c r="AT38" i="99"/>
  <c r="AS38" i="99"/>
  <c r="AR38" i="99"/>
  <c r="AQ38" i="99"/>
  <c r="AP38" i="99"/>
  <c r="AO38" i="99"/>
  <c r="AN38" i="99"/>
  <c r="AM38" i="99"/>
  <c r="AJ38" i="99"/>
  <c r="AI38" i="99"/>
  <c r="AH38" i="99"/>
  <c r="AG38" i="99"/>
  <c r="AF38" i="99"/>
  <c r="AE38" i="99"/>
  <c r="AD38" i="99"/>
  <c r="AC38" i="99"/>
  <c r="AB38" i="99"/>
  <c r="AA38" i="99"/>
  <c r="X38" i="99"/>
  <c r="W38" i="99"/>
  <c r="V38" i="99"/>
  <c r="U38" i="99"/>
  <c r="T38" i="99"/>
  <c r="S38" i="99"/>
  <c r="R38" i="99"/>
  <c r="Q38" i="99"/>
  <c r="P38" i="99"/>
  <c r="O38" i="99"/>
  <c r="L38" i="99"/>
  <c r="K38" i="99"/>
  <c r="BH37" i="99"/>
  <c r="BG37" i="99"/>
  <c r="BF37" i="99"/>
  <c r="BE37" i="99"/>
  <c r="BD37" i="99"/>
  <c r="BC37" i="99"/>
  <c r="BB37" i="99"/>
  <c r="BA37" i="99"/>
  <c r="AZ37" i="99"/>
  <c r="AY37" i="99"/>
  <c r="AV37" i="99"/>
  <c r="AU37" i="99"/>
  <c r="AT37" i="99"/>
  <c r="AS37" i="99"/>
  <c r="AR37" i="99"/>
  <c r="AQ37" i="99"/>
  <c r="AP37" i="99"/>
  <c r="AO37" i="99"/>
  <c r="AN37" i="99"/>
  <c r="AM37" i="99"/>
  <c r="AJ37" i="99"/>
  <c r="AI37" i="99"/>
  <c r="AH37" i="99"/>
  <c r="AG37" i="99"/>
  <c r="AF37" i="99"/>
  <c r="AE37" i="99"/>
  <c r="AD37" i="99"/>
  <c r="AC37" i="99"/>
  <c r="AB37" i="99"/>
  <c r="AA37" i="99"/>
  <c r="X37" i="99"/>
  <c r="W37" i="99"/>
  <c r="V37" i="99"/>
  <c r="U37" i="99"/>
  <c r="T37" i="99"/>
  <c r="S37" i="99"/>
  <c r="R37" i="99"/>
  <c r="Q37" i="99"/>
  <c r="P37" i="99"/>
  <c r="O37" i="99"/>
  <c r="L37" i="99"/>
  <c r="K37" i="99"/>
  <c r="BH36" i="99"/>
  <c r="BG36" i="99"/>
  <c r="BF36" i="99"/>
  <c r="BE36" i="99"/>
  <c r="BD36" i="99"/>
  <c r="BC36" i="99"/>
  <c r="BB36" i="99"/>
  <c r="BA36" i="99"/>
  <c r="AZ36" i="99"/>
  <c r="AY36" i="99"/>
  <c r="AV36" i="99"/>
  <c r="AU36" i="99"/>
  <c r="AT36" i="99"/>
  <c r="AS36" i="99"/>
  <c r="AR36" i="99"/>
  <c r="AQ36" i="99"/>
  <c r="AP36" i="99"/>
  <c r="AO36" i="99"/>
  <c r="AN36" i="99"/>
  <c r="AM36" i="99"/>
  <c r="AJ36" i="99"/>
  <c r="AI36" i="99"/>
  <c r="AH36" i="99"/>
  <c r="AG36" i="99"/>
  <c r="AF36" i="99"/>
  <c r="AE36" i="99"/>
  <c r="AD36" i="99"/>
  <c r="AC36" i="99"/>
  <c r="AB36" i="99"/>
  <c r="AA36" i="99"/>
  <c r="X36" i="99"/>
  <c r="W36" i="99"/>
  <c r="V36" i="99"/>
  <c r="U36" i="99"/>
  <c r="T36" i="99"/>
  <c r="S36" i="99"/>
  <c r="R36" i="99"/>
  <c r="Q36" i="99"/>
  <c r="P36" i="99"/>
  <c r="O36" i="99"/>
  <c r="L36" i="99"/>
  <c r="K36" i="99"/>
  <c r="BH35" i="99"/>
  <c r="BG35" i="99"/>
  <c r="BF35" i="99"/>
  <c r="BE35" i="99"/>
  <c r="BD35" i="99"/>
  <c r="BC35" i="99"/>
  <c r="BB35" i="99"/>
  <c r="BA35" i="99"/>
  <c r="AZ35" i="99"/>
  <c r="AY35" i="99"/>
  <c r="AV35" i="99"/>
  <c r="AU35" i="99"/>
  <c r="AT35" i="99"/>
  <c r="AS35" i="99"/>
  <c r="AR35" i="99"/>
  <c r="AQ35" i="99"/>
  <c r="AP35" i="99"/>
  <c r="AO35" i="99"/>
  <c r="AN35" i="99"/>
  <c r="AM35" i="99"/>
  <c r="AJ35" i="99"/>
  <c r="AI35" i="99"/>
  <c r="AH35" i="99"/>
  <c r="AG35" i="99"/>
  <c r="AF35" i="99"/>
  <c r="AE35" i="99"/>
  <c r="AD35" i="99"/>
  <c r="AC35" i="99"/>
  <c r="AB35" i="99"/>
  <c r="AA35" i="99"/>
  <c r="X35" i="99"/>
  <c r="W35" i="99"/>
  <c r="V35" i="99"/>
  <c r="U35" i="99"/>
  <c r="T35" i="99"/>
  <c r="S35" i="99"/>
  <c r="R35" i="99"/>
  <c r="Q35" i="99"/>
  <c r="P35" i="99"/>
  <c r="O35" i="99"/>
  <c r="L35" i="99"/>
  <c r="K35" i="99"/>
  <c r="BH34" i="99"/>
  <c r="BG34" i="99"/>
  <c r="BF34" i="99"/>
  <c r="BE34" i="99"/>
  <c r="BD34" i="99"/>
  <c r="BC34" i="99"/>
  <c r="BB34" i="99"/>
  <c r="BA34" i="99"/>
  <c r="AZ34" i="99"/>
  <c r="AY34" i="99"/>
  <c r="AV34" i="99"/>
  <c r="AU34" i="99"/>
  <c r="AT34" i="99"/>
  <c r="AS34" i="99"/>
  <c r="AR34" i="99"/>
  <c r="AQ34" i="99"/>
  <c r="AP34" i="99"/>
  <c r="AO34" i="99"/>
  <c r="AN34" i="99"/>
  <c r="AM34" i="99"/>
  <c r="AJ34" i="99"/>
  <c r="AI34" i="99"/>
  <c r="AH34" i="99"/>
  <c r="AG34" i="99"/>
  <c r="AF34" i="99"/>
  <c r="AE34" i="99"/>
  <c r="AD34" i="99"/>
  <c r="AC34" i="99"/>
  <c r="AB34" i="99"/>
  <c r="AA34" i="99"/>
  <c r="X34" i="99"/>
  <c r="W34" i="99"/>
  <c r="V34" i="99"/>
  <c r="U34" i="99"/>
  <c r="T34" i="99"/>
  <c r="S34" i="99"/>
  <c r="R34" i="99"/>
  <c r="Q34" i="99"/>
  <c r="P34" i="99"/>
  <c r="O34" i="99"/>
  <c r="L34" i="99"/>
  <c r="K34" i="99"/>
  <c r="BH33" i="99"/>
  <c r="BG33" i="99"/>
  <c r="BF33" i="99"/>
  <c r="BE33" i="99"/>
  <c r="BD33" i="99"/>
  <c r="BC33" i="99"/>
  <c r="BB33" i="99"/>
  <c r="BA33" i="99"/>
  <c r="AZ33" i="99"/>
  <c r="AY33" i="99"/>
  <c r="AV33" i="99"/>
  <c r="AU33" i="99"/>
  <c r="AT33" i="99"/>
  <c r="AS33" i="99"/>
  <c r="AR33" i="99"/>
  <c r="AQ33" i="99"/>
  <c r="AP33" i="99"/>
  <c r="AO33" i="99"/>
  <c r="AN33" i="99"/>
  <c r="AM33" i="99"/>
  <c r="AJ33" i="99"/>
  <c r="AI33" i="99"/>
  <c r="AH33" i="99"/>
  <c r="AG33" i="99"/>
  <c r="AF33" i="99"/>
  <c r="AE33" i="99"/>
  <c r="AD33" i="99"/>
  <c r="AC33" i="99"/>
  <c r="AB33" i="99"/>
  <c r="AA33" i="99"/>
  <c r="X33" i="99"/>
  <c r="W33" i="99"/>
  <c r="V33" i="99"/>
  <c r="U33" i="99"/>
  <c r="T33" i="99"/>
  <c r="S33" i="99"/>
  <c r="R33" i="99"/>
  <c r="Q33" i="99"/>
  <c r="P33" i="99"/>
  <c r="O33" i="99"/>
  <c r="K33" i="99"/>
  <c r="BH30" i="99"/>
  <c r="BG30" i="99"/>
  <c r="BF30" i="99"/>
  <c r="BE30" i="99"/>
  <c r="BD30" i="99"/>
  <c r="BC30" i="99"/>
  <c r="BB30" i="99"/>
  <c r="BA30" i="99"/>
  <c r="AZ30" i="99"/>
  <c r="AY30" i="99"/>
  <c r="AV30" i="99"/>
  <c r="AU30" i="99"/>
  <c r="AT30" i="99"/>
  <c r="AS30" i="99"/>
  <c r="AR30" i="99"/>
  <c r="AQ30" i="99"/>
  <c r="AP30" i="99"/>
  <c r="AO30" i="99"/>
  <c r="AN30" i="99"/>
  <c r="AM30" i="99"/>
  <c r="AJ30" i="99"/>
  <c r="AI30" i="99"/>
  <c r="AH30" i="99"/>
  <c r="AG30" i="99"/>
  <c r="AF30" i="99"/>
  <c r="AE30" i="99"/>
  <c r="AD30" i="99"/>
  <c r="AC30" i="99"/>
  <c r="AB30" i="99"/>
  <c r="AA30" i="99"/>
  <c r="X30" i="99"/>
  <c r="W30" i="99"/>
  <c r="V30" i="99"/>
  <c r="U30" i="99"/>
  <c r="T30" i="99"/>
  <c r="S30" i="99"/>
  <c r="R30" i="99"/>
  <c r="Q30" i="99"/>
  <c r="P30" i="99"/>
  <c r="O30" i="99"/>
  <c r="L30" i="99"/>
  <c r="K30" i="99"/>
  <c r="BH29" i="99"/>
  <c r="BG29" i="99"/>
  <c r="BF29" i="99"/>
  <c r="BE29" i="99"/>
  <c r="BD29" i="99"/>
  <c r="BC29" i="99"/>
  <c r="BB29" i="99"/>
  <c r="BA29" i="99"/>
  <c r="AZ29" i="99"/>
  <c r="AY29" i="99"/>
  <c r="AV29" i="99"/>
  <c r="AU29" i="99"/>
  <c r="AT29" i="99"/>
  <c r="AS29" i="99"/>
  <c r="AR29" i="99"/>
  <c r="AQ29" i="99"/>
  <c r="AP29" i="99"/>
  <c r="AO29" i="99"/>
  <c r="AN29" i="99"/>
  <c r="AM29" i="99"/>
  <c r="AJ29" i="99"/>
  <c r="AI29" i="99"/>
  <c r="AH29" i="99"/>
  <c r="AG29" i="99"/>
  <c r="AF29" i="99"/>
  <c r="AE29" i="99"/>
  <c r="AD29" i="99"/>
  <c r="AC29" i="99"/>
  <c r="AB29" i="99"/>
  <c r="AA29" i="99"/>
  <c r="X29" i="99"/>
  <c r="W29" i="99"/>
  <c r="V29" i="99"/>
  <c r="U29" i="99"/>
  <c r="T29" i="99"/>
  <c r="S29" i="99"/>
  <c r="R29" i="99"/>
  <c r="Q29" i="99"/>
  <c r="P29" i="99"/>
  <c r="O29" i="99"/>
  <c r="L29" i="99"/>
  <c r="K29" i="99"/>
  <c r="BH28" i="99"/>
  <c r="BG28" i="99"/>
  <c r="BF28" i="99"/>
  <c r="BE28" i="99"/>
  <c r="BD28" i="99"/>
  <c r="BC28" i="99"/>
  <c r="BB28" i="99"/>
  <c r="BA28" i="99"/>
  <c r="AZ28" i="99"/>
  <c r="AY28" i="99"/>
  <c r="AV28" i="99"/>
  <c r="AU28" i="99"/>
  <c r="AT28" i="99"/>
  <c r="AS28" i="99"/>
  <c r="AR28" i="99"/>
  <c r="AQ28" i="99"/>
  <c r="AP28" i="99"/>
  <c r="AO28" i="99"/>
  <c r="AN28" i="99"/>
  <c r="AM28" i="99"/>
  <c r="AJ28" i="99"/>
  <c r="AI28" i="99"/>
  <c r="AH28" i="99"/>
  <c r="AG28" i="99"/>
  <c r="AF28" i="99"/>
  <c r="AE28" i="99"/>
  <c r="AD28" i="99"/>
  <c r="AC28" i="99"/>
  <c r="AB28" i="99"/>
  <c r="AA28" i="99"/>
  <c r="X28" i="99"/>
  <c r="W28" i="99"/>
  <c r="V28" i="99"/>
  <c r="U28" i="99"/>
  <c r="T28" i="99"/>
  <c r="S28" i="99"/>
  <c r="R28" i="99"/>
  <c r="Q28" i="99"/>
  <c r="P28" i="99"/>
  <c r="O28" i="99"/>
  <c r="L28" i="99"/>
  <c r="K28" i="99"/>
  <c r="BH27" i="99"/>
  <c r="BG27" i="99"/>
  <c r="BF27" i="99"/>
  <c r="BE27" i="99"/>
  <c r="BD27" i="99"/>
  <c r="BC27" i="99"/>
  <c r="BB27" i="99"/>
  <c r="BA27" i="99"/>
  <c r="AZ27" i="99"/>
  <c r="AY27" i="99"/>
  <c r="AV27" i="99"/>
  <c r="AU27" i="99"/>
  <c r="AT27" i="99"/>
  <c r="AS27" i="99"/>
  <c r="AR27" i="99"/>
  <c r="AQ27" i="99"/>
  <c r="AP27" i="99"/>
  <c r="AO27" i="99"/>
  <c r="AN27" i="99"/>
  <c r="AM27" i="99"/>
  <c r="AJ27" i="99"/>
  <c r="AI27" i="99"/>
  <c r="AH27" i="99"/>
  <c r="AG27" i="99"/>
  <c r="AF27" i="99"/>
  <c r="AE27" i="99"/>
  <c r="AD27" i="99"/>
  <c r="AC27" i="99"/>
  <c r="AB27" i="99"/>
  <c r="AA27" i="99"/>
  <c r="X27" i="99"/>
  <c r="W27" i="99"/>
  <c r="V27" i="99"/>
  <c r="U27" i="99"/>
  <c r="T27" i="99"/>
  <c r="S27" i="99"/>
  <c r="R27" i="99"/>
  <c r="Q27" i="99"/>
  <c r="P27" i="99"/>
  <c r="O27" i="99"/>
  <c r="L27" i="99"/>
  <c r="K27" i="99"/>
  <c r="BH26" i="99"/>
  <c r="BG26" i="99"/>
  <c r="BF26" i="99"/>
  <c r="BE26" i="99"/>
  <c r="BD26" i="99"/>
  <c r="BC26" i="99"/>
  <c r="BB26" i="99"/>
  <c r="BA26" i="99"/>
  <c r="AZ26" i="99"/>
  <c r="AY26" i="99"/>
  <c r="AV26" i="99"/>
  <c r="AU26" i="99"/>
  <c r="AT26" i="99"/>
  <c r="AS26" i="99"/>
  <c r="AR26" i="99"/>
  <c r="AQ26" i="99"/>
  <c r="AP26" i="99"/>
  <c r="AO26" i="99"/>
  <c r="AN26" i="99"/>
  <c r="AM26" i="99"/>
  <c r="AJ26" i="99"/>
  <c r="AI26" i="99"/>
  <c r="AH26" i="99"/>
  <c r="AG26" i="99"/>
  <c r="AF26" i="99"/>
  <c r="AE26" i="99"/>
  <c r="AD26" i="99"/>
  <c r="AC26" i="99"/>
  <c r="AB26" i="99"/>
  <c r="AA26" i="99"/>
  <c r="X26" i="99"/>
  <c r="W26" i="99"/>
  <c r="V26" i="99"/>
  <c r="U26" i="99"/>
  <c r="T26" i="99"/>
  <c r="S26" i="99"/>
  <c r="R26" i="99"/>
  <c r="Q26" i="99"/>
  <c r="P26" i="99"/>
  <c r="O26" i="99"/>
  <c r="L26" i="99"/>
  <c r="K26" i="99"/>
  <c r="BH25" i="99"/>
  <c r="BG25" i="99"/>
  <c r="BF25" i="99"/>
  <c r="BE25" i="99"/>
  <c r="BD25" i="99"/>
  <c r="BC25" i="99"/>
  <c r="BB25" i="99"/>
  <c r="BA25" i="99"/>
  <c r="AZ25" i="99"/>
  <c r="AY25" i="99"/>
  <c r="AV25" i="99"/>
  <c r="AU25" i="99"/>
  <c r="AT25" i="99"/>
  <c r="AS25" i="99"/>
  <c r="AR25" i="99"/>
  <c r="AQ25" i="99"/>
  <c r="AP25" i="99"/>
  <c r="AO25" i="99"/>
  <c r="AN25" i="99"/>
  <c r="AM25" i="99"/>
  <c r="AJ25" i="99"/>
  <c r="AI25" i="99"/>
  <c r="AH25" i="99"/>
  <c r="AG25" i="99"/>
  <c r="AF25" i="99"/>
  <c r="AE25" i="99"/>
  <c r="AD25" i="99"/>
  <c r="AC25" i="99"/>
  <c r="AB25" i="99"/>
  <c r="AA25" i="99"/>
  <c r="X25" i="99"/>
  <c r="W25" i="99"/>
  <c r="V25" i="99"/>
  <c r="U25" i="99"/>
  <c r="T25" i="99"/>
  <c r="S25" i="99"/>
  <c r="R25" i="99"/>
  <c r="Q25" i="99"/>
  <c r="P25" i="99"/>
  <c r="O25" i="99"/>
  <c r="L25" i="99"/>
  <c r="K25" i="99"/>
  <c r="BH24" i="99"/>
  <c r="BG24" i="99"/>
  <c r="BF24" i="99"/>
  <c r="BE24" i="99"/>
  <c r="BD24" i="99"/>
  <c r="BC24" i="99"/>
  <c r="BB24" i="99"/>
  <c r="BA24" i="99"/>
  <c r="AZ24" i="99"/>
  <c r="AY24" i="99"/>
  <c r="AV24" i="99"/>
  <c r="AU24" i="99"/>
  <c r="AT24" i="99"/>
  <c r="AS24" i="99"/>
  <c r="AR24" i="99"/>
  <c r="AQ24" i="99"/>
  <c r="AP24" i="99"/>
  <c r="AO24" i="99"/>
  <c r="AN24" i="99"/>
  <c r="AM24" i="99"/>
  <c r="AJ24" i="99"/>
  <c r="AI24" i="99"/>
  <c r="AH24" i="99"/>
  <c r="AG24" i="99"/>
  <c r="AF24" i="99"/>
  <c r="AE24" i="99"/>
  <c r="AD24" i="99"/>
  <c r="AC24" i="99"/>
  <c r="AB24" i="99"/>
  <c r="AA24" i="99"/>
  <c r="X24" i="99"/>
  <c r="W24" i="99"/>
  <c r="V24" i="99"/>
  <c r="U24" i="99"/>
  <c r="T24" i="99"/>
  <c r="S24" i="99"/>
  <c r="R24" i="99"/>
  <c r="Q24" i="99"/>
  <c r="P24" i="99"/>
  <c r="O24" i="99"/>
  <c r="L24" i="99"/>
  <c r="K24" i="99"/>
  <c r="BH23" i="99"/>
  <c r="BG23" i="99"/>
  <c r="BF23" i="99"/>
  <c r="BE23" i="99"/>
  <c r="BD23" i="99"/>
  <c r="BC23" i="99"/>
  <c r="BB23" i="99"/>
  <c r="BA23" i="99"/>
  <c r="AZ23" i="99"/>
  <c r="AY23" i="99"/>
  <c r="AV23" i="99"/>
  <c r="AU23" i="99"/>
  <c r="AT23" i="99"/>
  <c r="AS23" i="99"/>
  <c r="AR23" i="99"/>
  <c r="AQ23" i="99"/>
  <c r="AP23" i="99"/>
  <c r="AO23" i="99"/>
  <c r="AN23" i="99"/>
  <c r="AM23" i="99"/>
  <c r="AJ23" i="99"/>
  <c r="AI23" i="99"/>
  <c r="AH23" i="99"/>
  <c r="AG23" i="99"/>
  <c r="AF23" i="99"/>
  <c r="AE23" i="99"/>
  <c r="AD23" i="99"/>
  <c r="AC23" i="99"/>
  <c r="AB23" i="99"/>
  <c r="AA23" i="99"/>
  <c r="X23" i="99"/>
  <c r="W23" i="99"/>
  <c r="V23" i="99"/>
  <c r="U23" i="99"/>
  <c r="T23" i="99"/>
  <c r="S23" i="99"/>
  <c r="R23" i="99"/>
  <c r="Q23" i="99"/>
  <c r="P23" i="99"/>
  <c r="O23" i="99"/>
  <c r="L23" i="99"/>
  <c r="K23" i="99"/>
  <c r="BH22" i="99"/>
  <c r="BG22" i="99"/>
  <c r="BF22" i="99"/>
  <c r="BE22" i="99"/>
  <c r="BD22" i="99"/>
  <c r="BC22" i="99"/>
  <c r="BB22" i="99"/>
  <c r="BA22" i="99"/>
  <c r="AZ22" i="99"/>
  <c r="AY22" i="99"/>
  <c r="AV22" i="99"/>
  <c r="AU22" i="99"/>
  <c r="AT22" i="99"/>
  <c r="AS22" i="99"/>
  <c r="AR22" i="99"/>
  <c r="AQ22" i="99"/>
  <c r="AP22" i="99"/>
  <c r="AO22" i="99"/>
  <c r="AN22" i="99"/>
  <c r="AM22" i="99"/>
  <c r="AJ22" i="99"/>
  <c r="AI22" i="99"/>
  <c r="AH22" i="99"/>
  <c r="AG22" i="99"/>
  <c r="AF22" i="99"/>
  <c r="AE22" i="99"/>
  <c r="AD22" i="99"/>
  <c r="AC22" i="99"/>
  <c r="AB22" i="99"/>
  <c r="AA22" i="99"/>
  <c r="X22" i="99"/>
  <c r="W22" i="99"/>
  <c r="V22" i="99"/>
  <c r="U22" i="99"/>
  <c r="T22" i="99"/>
  <c r="S22" i="99"/>
  <c r="R22" i="99"/>
  <c r="Q22" i="99"/>
  <c r="P22" i="99"/>
  <c r="O22" i="99"/>
  <c r="L22" i="99"/>
  <c r="K22" i="99"/>
  <c r="BH21" i="99"/>
  <c r="BG21" i="99"/>
  <c r="BF21" i="99"/>
  <c r="BE21" i="99"/>
  <c r="BD21" i="99"/>
  <c r="BC21" i="99"/>
  <c r="BB21" i="99"/>
  <c r="BA21" i="99"/>
  <c r="AZ21" i="99"/>
  <c r="AY21" i="99"/>
  <c r="AV21" i="99"/>
  <c r="AU21" i="99"/>
  <c r="AT21" i="99"/>
  <c r="AS21" i="99"/>
  <c r="AR21" i="99"/>
  <c r="AQ21" i="99"/>
  <c r="AP21" i="99"/>
  <c r="AO21" i="99"/>
  <c r="AN21" i="99"/>
  <c r="AM21" i="99"/>
  <c r="AJ21" i="99"/>
  <c r="AI21" i="99"/>
  <c r="AH21" i="99"/>
  <c r="AG21" i="99"/>
  <c r="AF21" i="99"/>
  <c r="AE21" i="99"/>
  <c r="AD21" i="99"/>
  <c r="AC21" i="99"/>
  <c r="AB21" i="99"/>
  <c r="AA21" i="99"/>
  <c r="X21" i="99"/>
  <c r="W21" i="99"/>
  <c r="V21" i="99"/>
  <c r="U21" i="99"/>
  <c r="T21" i="99"/>
  <c r="S21" i="99"/>
  <c r="R21" i="99"/>
  <c r="Q21" i="99"/>
  <c r="P21" i="99"/>
  <c r="O21" i="99"/>
  <c r="L21" i="99"/>
  <c r="K21" i="99"/>
  <c r="BH20" i="99"/>
  <c r="BG20" i="99"/>
  <c r="BF20" i="99"/>
  <c r="BE20" i="99"/>
  <c r="BD20" i="99"/>
  <c r="BC20" i="99"/>
  <c r="BB20" i="99"/>
  <c r="BA20" i="99"/>
  <c r="AZ20" i="99"/>
  <c r="AY20" i="99"/>
  <c r="AV20" i="99"/>
  <c r="AU20" i="99"/>
  <c r="AT20" i="99"/>
  <c r="AS20" i="99"/>
  <c r="AR20" i="99"/>
  <c r="AQ20" i="99"/>
  <c r="AP20" i="99"/>
  <c r="AO20" i="99"/>
  <c r="AN20" i="99"/>
  <c r="AM20" i="99"/>
  <c r="AJ20" i="99"/>
  <c r="AI20" i="99"/>
  <c r="AH20" i="99"/>
  <c r="AG20" i="99"/>
  <c r="AF20" i="99"/>
  <c r="AE20" i="99"/>
  <c r="AD20" i="99"/>
  <c r="AC20" i="99"/>
  <c r="AB20" i="99"/>
  <c r="AA20" i="99"/>
  <c r="X20" i="99"/>
  <c r="W20" i="99"/>
  <c r="V20" i="99"/>
  <c r="U20" i="99"/>
  <c r="T20" i="99"/>
  <c r="S20" i="99"/>
  <c r="R20" i="99"/>
  <c r="Q20" i="99"/>
  <c r="P20" i="99"/>
  <c r="O20" i="99"/>
  <c r="L20" i="99"/>
  <c r="K20" i="99"/>
  <c r="BH19" i="99"/>
  <c r="BG19" i="99"/>
  <c r="BF19" i="99"/>
  <c r="BE19" i="99"/>
  <c r="BD19" i="99"/>
  <c r="BC19" i="99"/>
  <c r="BB19" i="99"/>
  <c r="BA19" i="99"/>
  <c r="AZ19" i="99"/>
  <c r="AY19" i="99"/>
  <c r="AV19" i="99"/>
  <c r="AU19" i="99"/>
  <c r="AT19" i="99"/>
  <c r="AS19" i="99"/>
  <c r="AR19" i="99"/>
  <c r="AQ19" i="99"/>
  <c r="AP19" i="99"/>
  <c r="AO19" i="99"/>
  <c r="AN19" i="99"/>
  <c r="AM19" i="99"/>
  <c r="AJ19" i="99"/>
  <c r="AI19" i="99"/>
  <c r="AH19" i="99"/>
  <c r="AG19" i="99"/>
  <c r="AF19" i="99"/>
  <c r="AE19" i="99"/>
  <c r="AD19" i="99"/>
  <c r="AC19" i="99"/>
  <c r="AB19" i="99"/>
  <c r="AA19" i="99"/>
  <c r="X19" i="99"/>
  <c r="W19" i="99"/>
  <c r="V19" i="99"/>
  <c r="U19" i="99"/>
  <c r="T19" i="99"/>
  <c r="S19" i="99"/>
  <c r="R19" i="99"/>
  <c r="Q19" i="99"/>
  <c r="P19" i="99"/>
  <c r="O19" i="99"/>
  <c r="L19" i="99"/>
  <c r="K19" i="99"/>
  <c r="BH18" i="99"/>
  <c r="BG18" i="99"/>
  <c r="BF18" i="99"/>
  <c r="BE18" i="99"/>
  <c r="BD18" i="99"/>
  <c r="BC18" i="99"/>
  <c r="BB18" i="99"/>
  <c r="BA18" i="99"/>
  <c r="AZ18" i="99"/>
  <c r="AY18" i="99"/>
  <c r="AV18" i="99"/>
  <c r="AU18" i="99"/>
  <c r="AT18" i="99"/>
  <c r="AS18" i="99"/>
  <c r="AR18" i="99"/>
  <c r="AQ18" i="99"/>
  <c r="AP18" i="99"/>
  <c r="AO18" i="99"/>
  <c r="AN18" i="99"/>
  <c r="AM18" i="99"/>
  <c r="AJ18" i="99"/>
  <c r="AI18" i="99"/>
  <c r="AH18" i="99"/>
  <c r="AG18" i="99"/>
  <c r="AF18" i="99"/>
  <c r="AE18" i="99"/>
  <c r="AD18" i="99"/>
  <c r="AC18" i="99"/>
  <c r="AB18" i="99"/>
  <c r="AA18" i="99"/>
  <c r="X18" i="99"/>
  <c r="W18" i="99"/>
  <c r="V18" i="99"/>
  <c r="U18" i="99"/>
  <c r="T18" i="99"/>
  <c r="S18" i="99"/>
  <c r="R18" i="99"/>
  <c r="Q18" i="99"/>
  <c r="P18" i="99"/>
  <c r="O18" i="99"/>
  <c r="L18" i="99"/>
  <c r="K18" i="99"/>
  <c r="BH17" i="99"/>
  <c r="BG17" i="99"/>
  <c r="BF17" i="99"/>
  <c r="BE17" i="99"/>
  <c r="BD17" i="99"/>
  <c r="BC17" i="99"/>
  <c r="BB17" i="99"/>
  <c r="BA17" i="99"/>
  <c r="AZ17" i="99"/>
  <c r="AY17" i="99"/>
  <c r="AV17" i="99"/>
  <c r="AU17" i="99"/>
  <c r="AT17" i="99"/>
  <c r="AS17" i="99"/>
  <c r="AR17" i="99"/>
  <c r="AQ17" i="99"/>
  <c r="AP17" i="99"/>
  <c r="AO17" i="99"/>
  <c r="AN17" i="99"/>
  <c r="AM17" i="99"/>
  <c r="AJ17" i="99"/>
  <c r="AI17" i="99"/>
  <c r="AH17" i="99"/>
  <c r="AG17" i="99"/>
  <c r="AF17" i="99"/>
  <c r="AE17" i="99"/>
  <c r="AD17" i="99"/>
  <c r="AC17" i="99"/>
  <c r="AB17" i="99"/>
  <c r="AA17" i="99"/>
  <c r="X17" i="99"/>
  <c r="W17" i="99"/>
  <c r="V17" i="99"/>
  <c r="U17" i="99"/>
  <c r="T17" i="99"/>
  <c r="S17" i="99"/>
  <c r="R17" i="99"/>
  <c r="Q17" i="99"/>
  <c r="P17" i="99"/>
  <c r="O17" i="99"/>
  <c r="L17" i="99"/>
  <c r="K17" i="99"/>
  <c r="BH16" i="99"/>
  <c r="BG16" i="99"/>
  <c r="BF16" i="99"/>
  <c r="BE16" i="99"/>
  <c r="BD16" i="99"/>
  <c r="BC16" i="99"/>
  <c r="BB16" i="99"/>
  <c r="BA16" i="99"/>
  <c r="AZ16" i="99"/>
  <c r="AY16" i="99"/>
  <c r="AV16" i="99"/>
  <c r="AU16" i="99"/>
  <c r="AT16" i="99"/>
  <c r="AS16" i="99"/>
  <c r="AR16" i="99"/>
  <c r="AQ16" i="99"/>
  <c r="AP16" i="99"/>
  <c r="AO16" i="99"/>
  <c r="AN16" i="99"/>
  <c r="AM16" i="99"/>
  <c r="AJ16" i="99"/>
  <c r="AI16" i="99"/>
  <c r="AH16" i="99"/>
  <c r="AG16" i="99"/>
  <c r="AF16" i="99"/>
  <c r="AE16" i="99"/>
  <c r="AD16" i="99"/>
  <c r="AC16" i="99"/>
  <c r="AB16" i="99"/>
  <c r="AA16" i="99"/>
  <c r="X16" i="99"/>
  <c r="W16" i="99"/>
  <c r="V16" i="99"/>
  <c r="U16" i="99"/>
  <c r="T16" i="99"/>
  <c r="S16" i="99"/>
  <c r="R16" i="99"/>
  <c r="Q16" i="99"/>
  <c r="P16" i="99"/>
  <c r="O16" i="99"/>
  <c r="L16" i="99"/>
  <c r="K16" i="99"/>
  <c r="BH15" i="99"/>
  <c r="BG15" i="99"/>
  <c r="BF15" i="99"/>
  <c r="BE15" i="99"/>
  <c r="BD15" i="99"/>
  <c r="BC15" i="99"/>
  <c r="BB15" i="99"/>
  <c r="BA15" i="99"/>
  <c r="AZ15" i="99"/>
  <c r="AY15" i="99"/>
  <c r="AV15" i="99"/>
  <c r="AU15" i="99"/>
  <c r="AT15" i="99"/>
  <c r="AS15" i="99"/>
  <c r="AR15" i="99"/>
  <c r="AQ15" i="99"/>
  <c r="AP15" i="99"/>
  <c r="AO15" i="99"/>
  <c r="AN15" i="99"/>
  <c r="AM15" i="99"/>
  <c r="AJ15" i="99"/>
  <c r="AI15" i="99"/>
  <c r="AH15" i="99"/>
  <c r="AG15" i="99"/>
  <c r="AF15" i="99"/>
  <c r="AE15" i="99"/>
  <c r="AD15" i="99"/>
  <c r="AC15" i="99"/>
  <c r="AB15" i="99"/>
  <c r="AA15" i="99"/>
  <c r="X15" i="99"/>
  <c r="W15" i="99"/>
  <c r="V15" i="99"/>
  <c r="U15" i="99"/>
  <c r="T15" i="99"/>
  <c r="S15" i="99"/>
  <c r="R15" i="99"/>
  <c r="Q15" i="99"/>
  <c r="P15" i="99"/>
  <c r="O15" i="99"/>
  <c r="L15" i="99"/>
  <c r="K15" i="99"/>
  <c r="BH14" i="99"/>
  <c r="BG14" i="99"/>
  <c r="BF14" i="99"/>
  <c r="BE14" i="99"/>
  <c r="BD14" i="99"/>
  <c r="BC14" i="99"/>
  <c r="BB14" i="99"/>
  <c r="BA14" i="99"/>
  <c r="AZ14" i="99"/>
  <c r="AY14" i="99"/>
  <c r="AV14" i="99"/>
  <c r="AU14" i="99"/>
  <c r="AT14" i="99"/>
  <c r="AS14" i="99"/>
  <c r="AR14" i="99"/>
  <c r="AQ14" i="99"/>
  <c r="AP14" i="99"/>
  <c r="AO14" i="99"/>
  <c r="AN14" i="99"/>
  <c r="AM14" i="99"/>
  <c r="AJ14" i="99"/>
  <c r="AI14" i="99"/>
  <c r="AH14" i="99"/>
  <c r="AG14" i="99"/>
  <c r="AF14" i="99"/>
  <c r="AE14" i="99"/>
  <c r="AD14" i="99"/>
  <c r="AC14" i="99"/>
  <c r="AB14" i="99"/>
  <c r="AA14" i="99"/>
  <c r="X14" i="99"/>
  <c r="W14" i="99"/>
  <c r="V14" i="99"/>
  <c r="U14" i="99"/>
  <c r="T14" i="99"/>
  <c r="S14" i="99"/>
  <c r="R14" i="99"/>
  <c r="Q14" i="99"/>
  <c r="P14" i="99"/>
  <c r="O14" i="99"/>
  <c r="L14" i="99"/>
  <c r="K14" i="99"/>
  <c r="BH13" i="99"/>
  <c r="BG13" i="99"/>
  <c r="BF13" i="99"/>
  <c r="BE13" i="99"/>
  <c r="BD13" i="99"/>
  <c r="BC13" i="99"/>
  <c r="BB13" i="99"/>
  <c r="BA13" i="99"/>
  <c r="AZ13" i="99"/>
  <c r="AY13" i="99"/>
  <c r="AV13" i="99"/>
  <c r="AU13" i="99"/>
  <c r="AT13" i="99"/>
  <c r="AS13" i="99"/>
  <c r="AR13" i="99"/>
  <c r="AQ13" i="99"/>
  <c r="AP13" i="99"/>
  <c r="AO13" i="99"/>
  <c r="AN13" i="99"/>
  <c r="AM13" i="99"/>
  <c r="AJ13" i="99"/>
  <c r="AI13" i="99"/>
  <c r="AH13" i="99"/>
  <c r="AG13" i="99"/>
  <c r="AF13" i="99"/>
  <c r="AE13" i="99"/>
  <c r="AD13" i="99"/>
  <c r="AC13" i="99"/>
  <c r="AB13" i="99"/>
  <c r="AA13" i="99"/>
  <c r="X13" i="99"/>
  <c r="W13" i="99"/>
  <c r="V13" i="99"/>
  <c r="U13" i="99"/>
  <c r="T13" i="99"/>
  <c r="S13" i="99"/>
  <c r="R13" i="99"/>
  <c r="Q13" i="99"/>
  <c r="P13" i="99"/>
  <c r="O13" i="99"/>
  <c r="L13" i="99"/>
  <c r="K13" i="99"/>
  <c r="BH12" i="99"/>
  <c r="BG12" i="99"/>
  <c r="BF12" i="99"/>
  <c r="BE12" i="99"/>
  <c r="BD12" i="99"/>
  <c r="BC12" i="99"/>
  <c r="BB12" i="99"/>
  <c r="BA12" i="99"/>
  <c r="AZ12" i="99"/>
  <c r="AY12" i="99"/>
  <c r="AV12" i="99"/>
  <c r="AU12" i="99"/>
  <c r="AT12" i="99"/>
  <c r="AS12" i="99"/>
  <c r="AR12" i="99"/>
  <c r="AQ12" i="99"/>
  <c r="AP12" i="99"/>
  <c r="AO12" i="99"/>
  <c r="AN12" i="99"/>
  <c r="AM12" i="99"/>
  <c r="AJ12" i="99"/>
  <c r="AI12" i="99"/>
  <c r="AH12" i="99"/>
  <c r="AG12" i="99"/>
  <c r="AF12" i="99"/>
  <c r="AE12" i="99"/>
  <c r="AD12" i="99"/>
  <c r="AC12" i="99"/>
  <c r="AB12" i="99"/>
  <c r="AA12" i="99"/>
  <c r="X12" i="99"/>
  <c r="W12" i="99"/>
  <c r="V12" i="99"/>
  <c r="U12" i="99"/>
  <c r="T12" i="99"/>
  <c r="S12" i="99"/>
  <c r="R12" i="99"/>
  <c r="Q12" i="99"/>
  <c r="P12" i="99"/>
  <c r="O12" i="99"/>
  <c r="L12" i="99"/>
  <c r="K12" i="99"/>
  <c r="BH11" i="99"/>
  <c r="BG11" i="99"/>
  <c r="BF11" i="99"/>
  <c r="BE11" i="99"/>
  <c r="BD11" i="99"/>
  <c r="BC11" i="99"/>
  <c r="BB11" i="99"/>
  <c r="BA11" i="99"/>
  <c r="AZ11" i="99"/>
  <c r="AY11" i="99"/>
  <c r="AV11" i="99"/>
  <c r="AU11" i="99"/>
  <c r="AT11" i="99"/>
  <c r="AS11" i="99"/>
  <c r="AR11" i="99"/>
  <c r="AQ11" i="99"/>
  <c r="AP11" i="99"/>
  <c r="AO11" i="99"/>
  <c r="AN11" i="99"/>
  <c r="AM11" i="99"/>
  <c r="AJ11" i="99"/>
  <c r="AI11" i="99"/>
  <c r="AH11" i="99"/>
  <c r="AG11" i="99"/>
  <c r="AF11" i="99"/>
  <c r="AE11" i="99"/>
  <c r="AD11" i="99"/>
  <c r="AC11" i="99"/>
  <c r="AB11" i="99"/>
  <c r="AA11" i="99"/>
  <c r="X11" i="99"/>
  <c r="W11" i="99"/>
  <c r="V11" i="99"/>
  <c r="U11" i="99"/>
  <c r="T11" i="99"/>
  <c r="S11" i="99"/>
  <c r="R11" i="99"/>
  <c r="Q11" i="99"/>
  <c r="P11" i="99"/>
  <c r="O11" i="99"/>
  <c r="L11" i="99"/>
  <c r="K11" i="99"/>
  <c r="BH10" i="99"/>
  <c r="BG10" i="99"/>
  <c r="BF10" i="99"/>
  <c r="BE10" i="99"/>
  <c r="BD10" i="99"/>
  <c r="BC10" i="99"/>
  <c r="BB10" i="99"/>
  <c r="BA10" i="99"/>
  <c r="AZ10" i="99"/>
  <c r="AY10" i="99"/>
  <c r="AV10" i="99"/>
  <c r="AU10" i="99"/>
  <c r="AT10" i="99"/>
  <c r="AS10" i="99"/>
  <c r="AR10" i="99"/>
  <c r="AQ10" i="99"/>
  <c r="AP10" i="99"/>
  <c r="AO10" i="99"/>
  <c r="AN10" i="99"/>
  <c r="AM10" i="99"/>
  <c r="AJ10" i="99"/>
  <c r="AI10" i="99"/>
  <c r="AH10" i="99"/>
  <c r="AG10" i="99"/>
  <c r="AF10" i="99"/>
  <c r="AE10" i="99"/>
  <c r="AD10" i="99"/>
  <c r="AC10" i="99"/>
  <c r="AB10" i="99"/>
  <c r="AA10" i="99"/>
  <c r="X10" i="99"/>
  <c r="W10" i="99"/>
  <c r="V10" i="99"/>
  <c r="U10" i="99"/>
  <c r="T10" i="99"/>
  <c r="S10" i="99"/>
  <c r="R10" i="99"/>
  <c r="Q10" i="99"/>
  <c r="P10" i="99"/>
  <c r="O10" i="99"/>
  <c r="L10" i="99"/>
  <c r="K10" i="99"/>
  <c r="BH9" i="99"/>
  <c r="BG9" i="99"/>
  <c r="BF9" i="99"/>
  <c r="BE9" i="99"/>
  <c r="BD9" i="99"/>
  <c r="BC9" i="99"/>
  <c r="BB9" i="99"/>
  <c r="BA9" i="99"/>
  <c r="AZ9" i="99"/>
  <c r="AY9" i="99"/>
  <c r="AV9" i="99"/>
  <c r="AU9" i="99"/>
  <c r="AT9" i="99"/>
  <c r="AS9" i="99"/>
  <c r="AR9" i="99"/>
  <c r="AQ9" i="99"/>
  <c r="AP9" i="99"/>
  <c r="AO9" i="99"/>
  <c r="AN9" i="99"/>
  <c r="AM9" i="99"/>
  <c r="AJ9" i="99"/>
  <c r="AI9" i="99"/>
  <c r="AH9" i="99"/>
  <c r="AG9" i="99"/>
  <c r="AF9" i="99"/>
  <c r="AE9" i="99"/>
  <c r="AD9" i="99"/>
  <c r="AC9" i="99"/>
  <c r="AB9" i="99"/>
  <c r="AA9" i="99"/>
  <c r="X9" i="99"/>
  <c r="W9" i="99"/>
  <c r="V9" i="99"/>
  <c r="U9" i="99"/>
  <c r="T9" i="99"/>
  <c r="S9" i="99"/>
  <c r="R9" i="99"/>
  <c r="Q9" i="99"/>
  <c r="P9" i="99"/>
  <c r="O9" i="99"/>
  <c r="L9" i="99"/>
  <c r="K9" i="99"/>
  <c r="BH8" i="99"/>
  <c r="BG8" i="99"/>
  <c r="BF8" i="99"/>
  <c r="BE8" i="99"/>
  <c r="BD8" i="99"/>
  <c r="BC8" i="99"/>
  <c r="BB8" i="99"/>
  <c r="BA8" i="99"/>
  <c r="AZ8" i="99"/>
  <c r="AY8" i="99"/>
  <c r="AV8" i="99"/>
  <c r="AU8" i="99"/>
  <c r="AT8" i="99"/>
  <c r="AS8" i="99"/>
  <c r="AR8" i="99"/>
  <c r="AQ8" i="99"/>
  <c r="AP8" i="99"/>
  <c r="AO8" i="99"/>
  <c r="AN8" i="99"/>
  <c r="AM8" i="99"/>
  <c r="AJ8" i="99"/>
  <c r="AI8" i="99"/>
  <c r="AH8" i="99"/>
  <c r="AG8" i="99"/>
  <c r="AF8" i="99"/>
  <c r="AE8" i="99"/>
  <c r="AD8" i="99"/>
  <c r="AC8" i="99"/>
  <c r="AB8" i="99"/>
  <c r="AA8" i="99"/>
  <c r="X8" i="99"/>
  <c r="W8" i="99"/>
  <c r="V8" i="99"/>
  <c r="U8" i="99"/>
  <c r="T8" i="99"/>
  <c r="S8" i="99"/>
  <c r="R8" i="99"/>
  <c r="Q8" i="99"/>
  <c r="P8" i="99"/>
  <c r="O8" i="99"/>
  <c r="L8" i="99"/>
  <c r="K8" i="99"/>
  <c r="BH7" i="99"/>
  <c r="BG7" i="99"/>
  <c r="BF7" i="99"/>
  <c r="BE7" i="99"/>
  <c r="BD7" i="99"/>
  <c r="BC7" i="99"/>
  <c r="BB7" i="99"/>
  <c r="BA7" i="99"/>
  <c r="AZ7" i="99"/>
  <c r="AY7" i="99"/>
  <c r="AV7" i="99"/>
  <c r="AU7" i="99"/>
  <c r="AT7" i="99"/>
  <c r="AS7" i="99"/>
  <c r="AR7" i="99"/>
  <c r="AQ7" i="99"/>
  <c r="AP7" i="99"/>
  <c r="AO7" i="99"/>
  <c r="AN7" i="99"/>
  <c r="AM7" i="99"/>
  <c r="AJ7" i="99"/>
  <c r="AI7" i="99"/>
  <c r="AH7" i="99"/>
  <c r="AG7" i="99"/>
  <c r="AF7" i="99"/>
  <c r="AE7" i="99"/>
  <c r="AD7" i="99"/>
  <c r="AC7" i="99"/>
  <c r="AB7" i="99"/>
  <c r="AA7" i="99"/>
  <c r="X7" i="99"/>
  <c r="W7" i="99"/>
  <c r="V7" i="99"/>
  <c r="U7" i="99"/>
  <c r="T7" i="99"/>
  <c r="S7" i="99"/>
  <c r="R7" i="99"/>
  <c r="Q7" i="99"/>
  <c r="P7" i="99"/>
  <c r="O7" i="99"/>
  <c r="L7" i="99"/>
  <c r="K7" i="99"/>
  <c r="BH6" i="99"/>
  <c r="BG6" i="99"/>
  <c r="BF6" i="99"/>
  <c r="BE6" i="99"/>
  <c r="BD6" i="99"/>
  <c r="BC6" i="99"/>
  <c r="BB6" i="99"/>
  <c r="BA6" i="99"/>
  <c r="AZ6" i="99"/>
  <c r="AY6" i="99"/>
  <c r="AV6" i="99"/>
  <c r="AU6" i="99"/>
  <c r="AT6" i="99"/>
  <c r="AS6" i="99"/>
  <c r="AR6" i="99"/>
  <c r="AQ6" i="99"/>
  <c r="AP6" i="99"/>
  <c r="AO6" i="99"/>
  <c r="AN6" i="99"/>
  <c r="AM6" i="99"/>
  <c r="AJ6" i="99"/>
  <c r="AI6" i="99"/>
  <c r="AH6" i="99"/>
  <c r="AG6" i="99"/>
  <c r="AF6" i="99"/>
  <c r="AE6" i="99"/>
  <c r="AD6" i="99"/>
  <c r="AC6" i="99"/>
  <c r="AB6" i="99"/>
  <c r="AA6" i="99"/>
  <c r="X6" i="99"/>
  <c r="W6" i="99"/>
  <c r="V6" i="99"/>
  <c r="U6" i="99"/>
  <c r="T6" i="99"/>
  <c r="S6" i="99"/>
  <c r="R6" i="99"/>
  <c r="Q6" i="99"/>
  <c r="P6" i="99"/>
  <c r="O6" i="99"/>
  <c r="L6" i="99"/>
  <c r="K6" i="99"/>
  <c r="BH5" i="99"/>
  <c r="BG5" i="99"/>
  <c r="BF5" i="99"/>
  <c r="BE5" i="99"/>
  <c r="BD5" i="99"/>
  <c r="BC5" i="99"/>
  <c r="BB5" i="99"/>
  <c r="BA5" i="99"/>
  <c r="AZ5" i="99"/>
  <c r="AY5" i="99"/>
  <c r="AV5" i="99"/>
  <c r="AU5" i="99"/>
  <c r="AT5" i="99"/>
  <c r="AS5" i="99"/>
  <c r="AR5" i="99"/>
  <c r="AQ5" i="99"/>
  <c r="AP5" i="99"/>
  <c r="AO5" i="99"/>
  <c r="AN5" i="99"/>
  <c r="AM5" i="99"/>
  <c r="AJ5" i="99"/>
  <c r="AI5" i="99"/>
  <c r="AH5" i="99"/>
  <c r="AG5" i="99"/>
  <c r="AF5" i="99"/>
  <c r="AE5" i="99"/>
  <c r="AD5" i="99"/>
  <c r="AC5" i="99"/>
  <c r="AB5" i="99"/>
  <c r="AA5" i="99"/>
  <c r="X5" i="99"/>
  <c r="W5" i="99"/>
  <c r="V5" i="99"/>
  <c r="U5" i="99"/>
  <c r="T5" i="99"/>
  <c r="S5" i="99"/>
  <c r="R5" i="99"/>
  <c r="Q5" i="99"/>
  <c r="P5" i="99"/>
  <c r="O5" i="99"/>
  <c r="L5" i="99"/>
  <c r="K5" i="99"/>
  <c r="BH4" i="99"/>
  <c r="BG4" i="99"/>
  <c r="BF4" i="99"/>
  <c r="BE4" i="99"/>
  <c r="BD4" i="99"/>
  <c r="BC4" i="99"/>
  <c r="BB4" i="99"/>
  <c r="BA4" i="99"/>
  <c r="AZ4" i="99"/>
  <c r="AY4" i="99"/>
  <c r="AV4" i="99"/>
  <c r="AU4" i="99"/>
  <c r="AT4" i="99"/>
  <c r="AS4" i="99"/>
  <c r="AR4" i="99"/>
  <c r="AQ4" i="99"/>
  <c r="AP4" i="99"/>
  <c r="AO4" i="99"/>
  <c r="AN4" i="99"/>
  <c r="AM4" i="99"/>
  <c r="AJ4" i="99"/>
  <c r="AI4" i="99"/>
  <c r="AH4" i="99"/>
  <c r="AG4" i="99"/>
  <c r="AF4" i="99"/>
  <c r="AE4" i="99"/>
  <c r="AD4" i="99"/>
  <c r="AC4" i="99"/>
  <c r="AB4" i="99"/>
  <c r="AA4" i="99"/>
  <c r="X4" i="99"/>
  <c r="W4" i="99"/>
  <c r="V4" i="99"/>
  <c r="U4" i="99"/>
  <c r="T4" i="99"/>
  <c r="S4" i="99"/>
  <c r="R4" i="99"/>
  <c r="Q4" i="99"/>
  <c r="P4" i="99"/>
  <c r="O4" i="99"/>
  <c r="L4" i="99"/>
  <c r="K4" i="99"/>
  <c r="BH3" i="99"/>
  <c r="BG3" i="99"/>
  <c r="BF3" i="99"/>
  <c r="BE3" i="99"/>
  <c r="BD3" i="99"/>
  <c r="BC3" i="99"/>
  <c r="BB3" i="99"/>
  <c r="BA3" i="99"/>
  <c r="AZ3" i="99"/>
  <c r="AY3" i="99"/>
  <c r="AV3" i="99"/>
  <c r="AU3" i="99"/>
  <c r="AT3" i="99"/>
  <c r="AS3" i="99"/>
  <c r="AR3" i="99"/>
  <c r="AQ3" i="99"/>
  <c r="AP3" i="99"/>
  <c r="AO3" i="99"/>
  <c r="AN3" i="99"/>
  <c r="AM3" i="99"/>
  <c r="AJ3" i="99"/>
  <c r="AI3" i="99"/>
  <c r="AH3" i="99"/>
  <c r="AG3" i="99"/>
  <c r="AF3" i="99"/>
  <c r="AE3" i="99"/>
  <c r="AD3" i="99"/>
  <c r="AC3" i="99"/>
  <c r="AB3" i="99"/>
  <c r="AA3" i="99"/>
  <c r="X3" i="99"/>
  <c r="W3" i="99"/>
  <c r="V3" i="99"/>
  <c r="U3" i="99"/>
  <c r="T3" i="99"/>
  <c r="S3" i="99"/>
  <c r="R3" i="99"/>
  <c r="Q3" i="99"/>
  <c r="P3" i="99"/>
  <c r="O3" i="99"/>
  <c r="L3" i="99"/>
  <c r="K3" i="99"/>
  <c r="BH2" i="99"/>
  <c r="BG2" i="99"/>
  <c r="BF2" i="99"/>
  <c r="BE2" i="99"/>
  <c r="BD2" i="99"/>
  <c r="BC2" i="99"/>
  <c r="BB2" i="99"/>
  <c r="BA2" i="99"/>
  <c r="AZ2" i="99"/>
  <c r="AY2" i="99"/>
  <c r="AV2" i="99"/>
  <c r="AU2" i="99"/>
  <c r="AT2" i="99"/>
  <c r="AS2" i="99"/>
  <c r="AR2" i="99"/>
  <c r="AQ2" i="99"/>
  <c r="AP2" i="99"/>
  <c r="AO2" i="99"/>
  <c r="AN2" i="99"/>
  <c r="AM2" i="99"/>
  <c r="AJ2" i="99"/>
  <c r="AI2" i="99"/>
  <c r="AH2" i="99"/>
  <c r="AG2" i="99"/>
  <c r="AF2" i="99"/>
  <c r="AE2" i="99"/>
  <c r="AD2" i="99"/>
  <c r="AC2" i="99"/>
  <c r="AB2" i="99"/>
  <c r="AA2" i="99"/>
  <c r="X2" i="99"/>
  <c r="W2" i="99"/>
  <c r="V2" i="99"/>
  <c r="U2" i="99"/>
  <c r="T2" i="99"/>
  <c r="S2" i="99"/>
  <c r="R2" i="99"/>
  <c r="Q2" i="99"/>
  <c r="P2" i="99"/>
  <c r="O2" i="99"/>
  <c r="L2" i="99"/>
  <c r="K2" i="99"/>
  <c r="A2" i="99"/>
  <c r="D59" i="99" s="1"/>
  <c r="H59" i="99" s="1"/>
  <c r="AO29" i="98"/>
  <c r="AG29" i="98"/>
  <c r="AD29" i="98"/>
  <c r="AC29" i="98"/>
  <c r="AB29" i="98"/>
  <c r="AA29" i="98"/>
  <c r="Z29" i="98"/>
  <c r="Y29" i="98"/>
  <c r="X29" i="98"/>
  <c r="W29" i="98"/>
  <c r="V29" i="98"/>
  <c r="U29" i="98"/>
  <c r="R29" i="98"/>
  <c r="AP29" i="98" s="1"/>
  <c r="Q29" i="98"/>
  <c r="P29" i="98"/>
  <c r="AN29" i="98" s="1"/>
  <c r="O29" i="98"/>
  <c r="AM29" i="98" s="1"/>
  <c r="N29" i="98"/>
  <c r="AL29" i="98" s="1"/>
  <c r="M29" i="98"/>
  <c r="AK29" i="98" s="1"/>
  <c r="L29" i="98"/>
  <c r="AJ29" i="98" s="1"/>
  <c r="K29" i="98"/>
  <c r="AI29" i="98" s="1"/>
  <c r="J29" i="98"/>
  <c r="AH29" i="98" s="1"/>
  <c r="I29" i="98"/>
  <c r="F29" i="98"/>
  <c r="AI28" i="98"/>
  <c r="AD28" i="98"/>
  <c r="AC28" i="98"/>
  <c r="AB28" i="98"/>
  <c r="AA28" i="98"/>
  <c r="Z28" i="98"/>
  <c r="Y28" i="98"/>
  <c r="X28" i="98"/>
  <c r="W28" i="98"/>
  <c r="V28" i="98"/>
  <c r="U28" i="98"/>
  <c r="R28" i="98"/>
  <c r="AP28" i="98" s="1"/>
  <c r="Q28" i="98"/>
  <c r="AO28" i="98" s="1"/>
  <c r="P28" i="98"/>
  <c r="AN28" i="98" s="1"/>
  <c r="O28" i="98"/>
  <c r="AM28" i="98" s="1"/>
  <c r="N28" i="98"/>
  <c r="AL28" i="98" s="1"/>
  <c r="M28" i="98"/>
  <c r="AK28" i="98" s="1"/>
  <c r="L28" i="98"/>
  <c r="AJ28" i="98" s="1"/>
  <c r="K28" i="98"/>
  <c r="J28" i="98"/>
  <c r="AH28" i="98" s="1"/>
  <c r="I28" i="98"/>
  <c r="AG28" i="98" s="1"/>
  <c r="F28" i="98"/>
  <c r="AK27" i="98"/>
  <c r="AD27" i="98"/>
  <c r="AC27" i="98"/>
  <c r="AB27" i="98"/>
  <c r="AA27" i="98"/>
  <c r="Z27" i="98"/>
  <c r="Y27" i="98"/>
  <c r="X27" i="98"/>
  <c r="W27" i="98"/>
  <c r="V27" i="98"/>
  <c r="U27" i="98"/>
  <c r="R27" i="98"/>
  <c r="AP27" i="98" s="1"/>
  <c r="Q27" i="98"/>
  <c r="AO27" i="98" s="1"/>
  <c r="P27" i="98"/>
  <c r="AN27" i="98" s="1"/>
  <c r="O27" i="98"/>
  <c r="N27" i="98"/>
  <c r="AL27" i="98" s="1"/>
  <c r="M27" i="98"/>
  <c r="L27" i="98"/>
  <c r="AJ27" i="98" s="1"/>
  <c r="K27" i="98"/>
  <c r="AI27" i="98" s="1"/>
  <c r="J27" i="98"/>
  <c r="AH27" i="98" s="1"/>
  <c r="I27" i="98"/>
  <c r="AG27" i="98" s="1"/>
  <c r="F27" i="98"/>
  <c r="AM26" i="98"/>
  <c r="AD26" i="98"/>
  <c r="AC26" i="98"/>
  <c r="AB26" i="98"/>
  <c r="AA26" i="98"/>
  <c r="Z26" i="98"/>
  <c r="Y26" i="98"/>
  <c r="X26" i="98"/>
  <c r="W26" i="98"/>
  <c r="V26" i="98"/>
  <c r="U26" i="98"/>
  <c r="R26" i="98"/>
  <c r="AP26" i="98" s="1"/>
  <c r="Q26" i="98"/>
  <c r="AO26" i="98" s="1"/>
  <c r="P26" i="98"/>
  <c r="AN26" i="98" s="1"/>
  <c r="O26" i="98"/>
  <c r="N26" i="98"/>
  <c r="AL26" i="98" s="1"/>
  <c r="M26" i="98"/>
  <c r="AK26" i="98" s="1"/>
  <c r="L26" i="98"/>
  <c r="AJ26" i="98" s="1"/>
  <c r="K26" i="98"/>
  <c r="AI26" i="98" s="1"/>
  <c r="J26" i="98"/>
  <c r="AH26" i="98" s="1"/>
  <c r="I26" i="98"/>
  <c r="AG26" i="98" s="1"/>
  <c r="F26" i="98"/>
  <c r="AO25" i="98"/>
  <c r="AG25" i="98"/>
  <c r="AD25" i="98"/>
  <c r="AC25" i="98"/>
  <c r="AB25" i="98"/>
  <c r="AA25" i="98"/>
  <c r="Z25" i="98"/>
  <c r="Y25" i="98"/>
  <c r="X25" i="98"/>
  <c r="W25" i="98"/>
  <c r="V25" i="98"/>
  <c r="U25" i="98"/>
  <c r="R25" i="98"/>
  <c r="AP25" i="98" s="1"/>
  <c r="Q25" i="98"/>
  <c r="P25" i="98"/>
  <c r="AN25" i="98" s="1"/>
  <c r="O25" i="98"/>
  <c r="AM25" i="98" s="1"/>
  <c r="N25" i="98"/>
  <c r="AL25" i="98" s="1"/>
  <c r="M25" i="98"/>
  <c r="AK25" i="98" s="1"/>
  <c r="L25" i="98"/>
  <c r="AJ25" i="98" s="1"/>
  <c r="K25" i="98"/>
  <c r="AI25" i="98" s="1"/>
  <c r="J25" i="98"/>
  <c r="AH25" i="98" s="1"/>
  <c r="I25" i="98"/>
  <c r="F25" i="98"/>
  <c r="AI24" i="98"/>
  <c r="AD24" i="98"/>
  <c r="AC24" i="98"/>
  <c r="AB24" i="98"/>
  <c r="AA24" i="98"/>
  <c r="Z24" i="98"/>
  <c r="Y24" i="98"/>
  <c r="X24" i="98"/>
  <c r="W24" i="98"/>
  <c r="V24" i="98"/>
  <c r="U24" i="98"/>
  <c r="R24" i="98"/>
  <c r="AP24" i="98" s="1"/>
  <c r="Q24" i="98"/>
  <c r="AO24" i="98" s="1"/>
  <c r="P24" i="98"/>
  <c r="AN24" i="98" s="1"/>
  <c r="O24" i="98"/>
  <c r="AM24" i="98" s="1"/>
  <c r="N24" i="98"/>
  <c r="AL24" i="98" s="1"/>
  <c r="M24" i="98"/>
  <c r="AK24" i="98" s="1"/>
  <c r="L24" i="98"/>
  <c r="AJ24" i="98" s="1"/>
  <c r="K24" i="98"/>
  <c r="J24" i="98"/>
  <c r="AH24" i="98" s="1"/>
  <c r="I24" i="98"/>
  <c r="AG24" i="98" s="1"/>
  <c r="F24" i="98"/>
  <c r="AK23" i="98"/>
  <c r="AD23" i="98"/>
  <c r="AC23" i="98"/>
  <c r="AB23" i="98"/>
  <c r="AA23" i="98"/>
  <c r="Z23" i="98"/>
  <c r="Y23" i="98"/>
  <c r="X23" i="98"/>
  <c r="W23" i="98"/>
  <c r="V23" i="98"/>
  <c r="U23" i="98"/>
  <c r="R23" i="98"/>
  <c r="AP23" i="98" s="1"/>
  <c r="Q23" i="98"/>
  <c r="AO23" i="98" s="1"/>
  <c r="P23" i="98"/>
  <c r="AN23" i="98" s="1"/>
  <c r="O23" i="98"/>
  <c r="AM23" i="98" s="1"/>
  <c r="N23" i="98"/>
  <c r="AL23" i="98" s="1"/>
  <c r="M23" i="98"/>
  <c r="L23" i="98"/>
  <c r="AJ23" i="98" s="1"/>
  <c r="K23" i="98"/>
  <c r="AI23" i="98" s="1"/>
  <c r="J23" i="98"/>
  <c r="AH23" i="98" s="1"/>
  <c r="I23" i="98"/>
  <c r="AG23" i="98" s="1"/>
  <c r="F23" i="98"/>
  <c r="AM22" i="98"/>
  <c r="AD22" i="98"/>
  <c r="AC22" i="98"/>
  <c r="AB22" i="98"/>
  <c r="AA22" i="98"/>
  <c r="Z22" i="98"/>
  <c r="Y22" i="98"/>
  <c r="X22" i="98"/>
  <c r="W22" i="98"/>
  <c r="V22" i="98"/>
  <c r="U22" i="98"/>
  <c r="AG22" i="98" s="1"/>
  <c r="R22" i="98"/>
  <c r="Q22" i="98"/>
  <c r="P22" i="98"/>
  <c r="AN22" i="98" s="1"/>
  <c r="O22" i="98"/>
  <c r="N22" i="98"/>
  <c r="AL22" i="98" s="1"/>
  <c r="M22" i="98"/>
  <c r="AK22" i="98" s="1"/>
  <c r="L22" i="98"/>
  <c r="K22" i="98"/>
  <c r="AI22" i="98" s="1"/>
  <c r="J22" i="98"/>
  <c r="I22" i="98"/>
  <c r="F22" i="98"/>
  <c r="AO21" i="98"/>
  <c r="AJ21" i="98"/>
  <c r="AG21" i="98"/>
  <c r="AD21" i="98"/>
  <c r="AC21" i="98"/>
  <c r="AB21" i="98"/>
  <c r="AA21" i="98"/>
  <c r="Z21" i="98"/>
  <c r="AL21" i="98" s="1"/>
  <c r="Y21" i="98"/>
  <c r="X21" i="98"/>
  <c r="W21" i="98"/>
  <c r="AI21" i="98" s="1"/>
  <c r="V21" i="98"/>
  <c r="U21" i="98"/>
  <c r="R21" i="98"/>
  <c r="AP21" i="98" s="1"/>
  <c r="Q21" i="98"/>
  <c r="P21" i="98"/>
  <c r="AN21" i="98" s="1"/>
  <c r="O21" i="98"/>
  <c r="AM21" i="98" s="1"/>
  <c r="N21" i="98"/>
  <c r="M21" i="98"/>
  <c r="AK21" i="98" s="1"/>
  <c r="L21" i="98"/>
  <c r="K21" i="98"/>
  <c r="J21" i="98"/>
  <c r="AH21" i="98" s="1"/>
  <c r="I21" i="98"/>
  <c r="F21" i="98"/>
  <c r="AL20" i="98"/>
  <c r="AI20" i="98"/>
  <c r="AD20" i="98"/>
  <c r="AC20" i="98"/>
  <c r="AB20" i="98"/>
  <c r="AN20" i="98" s="1"/>
  <c r="AA20" i="98"/>
  <c r="Z20" i="98"/>
  <c r="Y20" i="98"/>
  <c r="AK20" i="98" s="1"/>
  <c r="X20" i="98"/>
  <c r="W20" i="98"/>
  <c r="V20" i="98"/>
  <c r="U20" i="98"/>
  <c r="R20" i="98"/>
  <c r="AP20" i="98" s="1"/>
  <c r="Q20" i="98"/>
  <c r="AO20" i="98" s="1"/>
  <c r="P20" i="98"/>
  <c r="O20" i="98"/>
  <c r="AM20" i="98" s="1"/>
  <c r="N20" i="98"/>
  <c r="M20" i="98"/>
  <c r="L20" i="98"/>
  <c r="AJ20" i="98" s="1"/>
  <c r="K20" i="98"/>
  <c r="J20" i="98"/>
  <c r="AH20" i="98" s="1"/>
  <c r="I20" i="98"/>
  <c r="AG20" i="98" s="1"/>
  <c r="F20" i="98"/>
  <c r="AN19" i="98"/>
  <c r="AK19" i="98"/>
  <c r="AD19" i="98"/>
  <c r="AP19" i="98" s="1"/>
  <c r="AC19" i="98"/>
  <c r="AB19" i="98"/>
  <c r="AA19" i="98"/>
  <c r="AM19" i="98" s="1"/>
  <c r="Z19" i="98"/>
  <c r="Y19" i="98"/>
  <c r="X19" i="98"/>
  <c r="W19" i="98"/>
  <c r="V19" i="98"/>
  <c r="AH19" i="98" s="1"/>
  <c r="U19" i="98"/>
  <c r="R19" i="98"/>
  <c r="Q19" i="98"/>
  <c r="AO19" i="98" s="1"/>
  <c r="P19" i="98"/>
  <c r="O19" i="98"/>
  <c r="N19" i="98"/>
  <c r="AL19" i="98" s="1"/>
  <c r="M19" i="98"/>
  <c r="L19" i="98"/>
  <c r="AJ19" i="98" s="1"/>
  <c r="K19" i="98"/>
  <c r="AI19" i="98" s="1"/>
  <c r="J19" i="98"/>
  <c r="I19" i="98"/>
  <c r="AG19" i="98" s="1"/>
  <c r="F19" i="98"/>
  <c r="AP18" i="98"/>
  <c r="AM18" i="98"/>
  <c r="AH18" i="98"/>
  <c r="AD18" i="98"/>
  <c r="AC18" i="98"/>
  <c r="AO18" i="98" s="1"/>
  <c r="AB18" i="98"/>
  <c r="AA18" i="98"/>
  <c r="Z18" i="98"/>
  <c r="Y18" i="98"/>
  <c r="X18" i="98"/>
  <c r="AJ18" i="98" s="1"/>
  <c r="W18" i="98"/>
  <c r="V18" i="98"/>
  <c r="U18" i="98"/>
  <c r="AG18" i="98" s="1"/>
  <c r="R18" i="98"/>
  <c r="Q18" i="98"/>
  <c r="P18" i="98"/>
  <c r="AN18" i="98" s="1"/>
  <c r="O18" i="98"/>
  <c r="N18" i="98"/>
  <c r="AL18" i="98" s="1"/>
  <c r="M18" i="98"/>
  <c r="AK18" i="98" s="1"/>
  <c r="L18" i="98"/>
  <c r="K18" i="98"/>
  <c r="AI18" i="98" s="1"/>
  <c r="J18" i="98"/>
  <c r="I18" i="98"/>
  <c r="F18" i="98"/>
  <c r="AO17" i="98"/>
  <c r="AJ17" i="98"/>
  <c r="AG17" i="98"/>
  <c r="AD17" i="98"/>
  <c r="AC17" i="98"/>
  <c r="AB17" i="98"/>
  <c r="AA17" i="98"/>
  <c r="Z17" i="98"/>
  <c r="AL17" i="98" s="1"/>
  <c r="Y17" i="98"/>
  <c r="X17" i="98"/>
  <c r="W17" i="98"/>
  <c r="AI17" i="98" s="1"/>
  <c r="V17" i="98"/>
  <c r="U17" i="98"/>
  <c r="R17" i="98"/>
  <c r="AP17" i="98" s="1"/>
  <c r="Q17" i="98"/>
  <c r="P17" i="98"/>
  <c r="AN17" i="98" s="1"/>
  <c r="O17" i="98"/>
  <c r="AM17" i="98" s="1"/>
  <c r="N17" i="98"/>
  <c r="M17" i="98"/>
  <c r="AK17" i="98" s="1"/>
  <c r="L17" i="98"/>
  <c r="K17" i="98"/>
  <c r="J17" i="98"/>
  <c r="AH17" i="98" s="1"/>
  <c r="I17" i="98"/>
  <c r="F17" i="98"/>
  <c r="AL16" i="98"/>
  <c r="AI16" i="98"/>
  <c r="AD16" i="98"/>
  <c r="AC16" i="98"/>
  <c r="AB16" i="98"/>
  <c r="AN16" i="98" s="1"/>
  <c r="AA16" i="98"/>
  <c r="Z16" i="98"/>
  <c r="Y16" i="98"/>
  <c r="AK16" i="98" s="1"/>
  <c r="X16" i="98"/>
  <c r="W16" i="98"/>
  <c r="V16" i="98"/>
  <c r="U16" i="98"/>
  <c r="R16" i="98"/>
  <c r="AP16" i="98" s="1"/>
  <c r="Q16" i="98"/>
  <c r="AO16" i="98" s="1"/>
  <c r="P16" i="98"/>
  <c r="O16" i="98"/>
  <c r="AM16" i="98" s="1"/>
  <c r="N16" i="98"/>
  <c r="M16" i="98"/>
  <c r="L16" i="98"/>
  <c r="AJ16" i="98" s="1"/>
  <c r="K16" i="98"/>
  <c r="J16" i="98"/>
  <c r="AH16" i="98" s="1"/>
  <c r="I16" i="98"/>
  <c r="AG16" i="98" s="1"/>
  <c r="F16" i="98"/>
  <c r="AN15" i="98"/>
  <c r="AK15" i="98"/>
  <c r="AD15" i="98"/>
  <c r="AP15" i="98" s="1"/>
  <c r="AC15" i="98"/>
  <c r="AB15" i="98"/>
  <c r="AA15" i="98"/>
  <c r="AM15" i="98" s="1"/>
  <c r="Z15" i="98"/>
  <c r="Y15" i="98"/>
  <c r="X15" i="98"/>
  <c r="W15" i="98"/>
  <c r="V15" i="98"/>
  <c r="AH15" i="98" s="1"/>
  <c r="U15" i="98"/>
  <c r="R15" i="98"/>
  <c r="Q15" i="98"/>
  <c r="AO15" i="98" s="1"/>
  <c r="P15" i="98"/>
  <c r="O15" i="98"/>
  <c r="N15" i="98"/>
  <c r="AL15" i="98" s="1"/>
  <c r="M15" i="98"/>
  <c r="L15" i="98"/>
  <c r="AJ15" i="98" s="1"/>
  <c r="K15" i="98"/>
  <c r="AI15" i="98" s="1"/>
  <c r="J15" i="98"/>
  <c r="I15" i="98"/>
  <c r="AG15" i="98" s="1"/>
  <c r="F15" i="98"/>
  <c r="AP14" i="98"/>
  <c r="AM14" i="98"/>
  <c r="AH14" i="98"/>
  <c r="AD14" i="98"/>
  <c r="AC14" i="98"/>
  <c r="AO14" i="98" s="1"/>
  <c r="AB14" i="98"/>
  <c r="AA14" i="98"/>
  <c r="Z14" i="98"/>
  <c r="Y14" i="98"/>
  <c r="X14" i="98"/>
  <c r="AJ14" i="98" s="1"/>
  <c r="W14" i="98"/>
  <c r="V14" i="98"/>
  <c r="U14" i="98"/>
  <c r="AG14" i="98" s="1"/>
  <c r="R14" i="98"/>
  <c r="Q14" i="98"/>
  <c r="P14" i="98"/>
  <c r="AN14" i="98" s="1"/>
  <c r="O14" i="98"/>
  <c r="N14" i="98"/>
  <c r="AL14" i="98" s="1"/>
  <c r="M14" i="98"/>
  <c r="AK14" i="98" s="1"/>
  <c r="L14" i="98"/>
  <c r="K14" i="98"/>
  <c r="AI14" i="98" s="1"/>
  <c r="J14" i="98"/>
  <c r="I14" i="98"/>
  <c r="F14" i="98"/>
  <c r="AO13" i="98"/>
  <c r="AJ13" i="98"/>
  <c r="AG13" i="98"/>
  <c r="AD13" i="98"/>
  <c r="AC13" i="98"/>
  <c r="AB13" i="98"/>
  <c r="AA13" i="98"/>
  <c r="Z13" i="98"/>
  <c r="AL13" i="98" s="1"/>
  <c r="Y13" i="98"/>
  <c r="X13" i="98"/>
  <c r="W13" i="98"/>
  <c r="AI13" i="98" s="1"/>
  <c r="V13" i="98"/>
  <c r="U13" i="98"/>
  <c r="R13" i="98"/>
  <c r="AP13" i="98" s="1"/>
  <c r="Q13" i="98"/>
  <c r="P13" i="98"/>
  <c r="AN13" i="98" s="1"/>
  <c r="O13" i="98"/>
  <c r="AM13" i="98" s="1"/>
  <c r="N13" i="98"/>
  <c r="M13" i="98"/>
  <c r="AK13" i="98" s="1"/>
  <c r="L13" i="98"/>
  <c r="K13" i="98"/>
  <c r="J13" i="98"/>
  <c r="AH13" i="98" s="1"/>
  <c r="I13" i="98"/>
  <c r="F13" i="98"/>
  <c r="AL12" i="98"/>
  <c r="AI12" i="98"/>
  <c r="AD12" i="98"/>
  <c r="AC12" i="98"/>
  <c r="AB12" i="98"/>
  <c r="AN12" i="98" s="1"/>
  <c r="AA12" i="98"/>
  <c r="Z12" i="98"/>
  <c r="Y12" i="98"/>
  <c r="AK12" i="98" s="1"/>
  <c r="X12" i="98"/>
  <c r="W12" i="98"/>
  <c r="V12" i="98"/>
  <c r="U12" i="98"/>
  <c r="R12" i="98"/>
  <c r="AP12" i="98" s="1"/>
  <c r="Q12" i="98"/>
  <c r="AO12" i="98" s="1"/>
  <c r="P12" i="98"/>
  <c r="O12" i="98"/>
  <c r="AM12" i="98" s="1"/>
  <c r="N12" i="98"/>
  <c r="M12" i="98"/>
  <c r="L12" i="98"/>
  <c r="AJ12" i="98" s="1"/>
  <c r="K12" i="98"/>
  <c r="J12" i="98"/>
  <c r="AH12" i="98" s="1"/>
  <c r="I12" i="98"/>
  <c r="AG12" i="98" s="1"/>
  <c r="F12" i="98"/>
  <c r="AN11" i="98"/>
  <c r="AK11" i="98"/>
  <c r="AD11" i="98"/>
  <c r="AP11" i="98" s="1"/>
  <c r="AC11" i="98"/>
  <c r="AB11" i="98"/>
  <c r="AA11" i="98"/>
  <c r="AM11" i="98" s="1"/>
  <c r="Z11" i="98"/>
  <c r="Y11" i="98"/>
  <c r="X11" i="98"/>
  <c r="W11" i="98"/>
  <c r="V11" i="98"/>
  <c r="AH11" i="98" s="1"/>
  <c r="U11" i="98"/>
  <c r="R11" i="98"/>
  <c r="Q11" i="98"/>
  <c r="AO11" i="98" s="1"/>
  <c r="P11" i="98"/>
  <c r="O11" i="98"/>
  <c r="N11" i="98"/>
  <c r="AL11" i="98" s="1"/>
  <c r="M11" i="98"/>
  <c r="L11" i="98"/>
  <c r="AJ11" i="98" s="1"/>
  <c r="K11" i="98"/>
  <c r="AI11" i="98" s="1"/>
  <c r="J11" i="98"/>
  <c r="I11" i="98"/>
  <c r="AG11" i="98" s="1"/>
  <c r="F11" i="98"/>
  <c r="AP10" i="98"/>
  <c r="AM10" i="98"/>
  <c r="AH10" i="98"/>
  <c r="AD10" i="98"/>
  <c r="AC10" i="98"/>
  <c r="AO10" i="98" s="1"/>
  <c r="AB10" i="98"/>
  <c r="AA10" i="98"/>
  <c r="Z10" i="98"/>
  <c r="Y10" i="98"/>
  <c r="X10" i="98"/>
  <c r="AJ10" i="98" s="1"/>
  <c r="W10" i="98"/>
  <c r="V10" i="98"/>
  <c r="U10" i="98"/>
  <c r="AG10" i="98" s="1"/>
  <c r="R10" i="98"/>
  <c r="Q10" i="98"/>
  <c r="P10" i="98"/>
  <c r="AN10" i="98" s="1"/>
  <c r="O10" i="98"/>
  <c r="N10" i="98"/>
  <c r="AL10" i="98" s="1"/>
  <c r="M10" i="98"/>
  <c r="AK10" i="98" s="1"/>
  <c r="L10" i="98"/>
  <c r="K10" i="98"/>
  <c r="AI10" i="98" s="1"/>
  <c r="J10" i="98"/>
  <c r="I10" i="98"/>
  <c r="F10" i="98"/>
  <c r="AO9" i="98"/>
  <c r="AJ9" i="98"/>
  <c r="AG9" i="98"/>
  <c r="AD9" i="98"/>
  <c r="AC9" i="98"/>
  <c r="AB9" i="98"/>
  <c r="AA9" i="98"/>
  <c r="Z9" i="98"/>
  <c r="AL9" i="98" s="1"/>
  <c r="Y9" i="98"/>
  <c r="X9" i="98"/>
  <c r="W9" i="98"/>
  <c r="V9" i="98"/>
  <c r="U9" i="98"/>
  <c r="R9" i="98"/>
  <c r="AP9" i="98" s="1"/>
  <c r="Q9" i="98"/>
  <c r="P9" i="98"/>
  <c r="AN9" i="98" s="1"/>
  <c r="O9" i="98"/>
  <c r="AM9" i="98" s="1"/>
  <c r="N9" i="98"/>
  <c r="M9" i="98"/>
  <c r="AK9" i="98" s="1"/>
  <c r="L9" i="98"/>
  <c r="K9" i="98"/>
  <c r="AI9" i="98" s="1"/>
  <c r="J9" i="98"/>
  <c r="AH9" i="98" s="1"/>
  <c r="I9" i="98"/>
  <c r="F9" i="98"/>
  <c r="AL8" i="98"/>
  <c r="AI8" i="98"/>
  <c r="AD8" i="98"/>
  <c r="AC8" i="98"/>
  <c r="AB8" i="98"/>
  <c r="AN8" i="98" s="1"/>
  <c r="AA8" i="98"/>
  <c r="Z8" i="98"/>
  <c r="Y8" i="98"/>
  <c r="X8" i="98"/>
  <c r="W8" i="98"/>
  <c r="V8" i="98"/>
  <c r="U8" i="98"/>
  <c r="R8" i="98"/>
  <c r="AP8" i="98" s="1"/>
  <c r="Q8" i="98"/>
  <c r="AO8" i="98" s="1"/>
  <c r="P8" i="98"/>
  <c r="O8" i="98"/>
  <c r="AM8" i="98" s="1"/>
  <c r="N8" i="98"/>
  <c r="M8" i="98"/>
  <c r="AK8" i="98" s="1"/>
  <c r="L8" i="98"/>
  <c r="AJ8" i="98" s="1"/>
  <c r="K8" i="98"/>
  <c r="J8" i="98"/>
  <c r="AH8" i="98" s="1"/>
  <c r="I8" i="98"/>
  <c r="AG8" i="98" s="1"/>
  <c r="F8" i="98"/>
  <c r="AN7" i="98"/>
  <c r="AK7" i="98"/>
  <c r="AD7" i="98"/>
  <c r="AC7" i="98"/>
  <c r="AB7" i="98"/>
  <c r="AA7" i="98"/>
  <c r="Z7" i="98"/>
  <c r="Y7" i="98"/>
  <c r="X7" i="98"/>
  <c r="W7" i="98"/>
  <c r="V7" i="98"/>
  <c r="U7" i="98"/>
  <c r="R7" i="98"/>
  <c r="AP7" i="98" s="1"/>
  <c r="Q7" i="98"/>
  <c r="AO7" i="98" s="1"/>
  <c r="P7" i="98"/>
  <c r="O7" i="98"/>
  <c r="AM7" i="98" s="1"/>
  <c r="N7" i="98"/>
  <c r="AL7" i="98" s="1"/>
  <c r="M7" i="98"/>
  <c r="L7" i="98"/>
  <c r="AJ7" i="98" s="1"/>
  <c r="K7" i="98"/>
  <c r="AI7" i="98" s="1"/>
  <c r="J7" i="98"/>
  <c r="AH7" i="98" s="1"/>
  <c r="I7" i="98"/>
  <c r="AG7" i="98" s="1"/>
  <c r="F7" i="98"/>
  <c r="AP6" i="98"/>
  <c r="AM6" i="98"/>
  <c r="AH6" i="98"/>
  <c r="AD6" i="98"/>
  <c r="AC6" i="98"/>
  <c r="AB6" i="98"/>
  <c r="AA6" i="98"/>
  <c r="Z6" i="98"/>
  <c r="Y6" i="98"/>
  <c r="X6" i="98"/>
  <c r="W6" i="98"/>
  <c r="V6" i="98"/>
  <c r="U6" i="98"/>
  <c r="R6" i="98"/>
  <c r="Q6" i="98"/>
  <c r="AO6" i="98" s="1"/>
  <c r="P6" i="98"/>
  <c r="AN6" i="98" s="1"/>
  <c r="O6" i="98"/>
  <c r="N6" i="98"/>
  <c r="AL6" i="98" s="1"/>
  <c r="M6" i="98"/>
  <c r="AK6" i="98" s="1"/>
  <c r="L6" i="98"/>
  <c r="AJ6" i="98" s="1"/>
  <c r="K6" i="98"/>
  <c r="AI6" i="98" s="1"/>
  <c r="J6" i="98"/>
  <c r="I6" i="98"/>
  <c r="AG6" i="98" s="1"/>
  <c r="F6" i="98"/>
  <c r="AO5" i="98"/>
  <c r="AJ5" i="98"/>
  <c r="AG5" i="98"/>
  <c r="AD5" i="98"/>
  <c r="AC5" i="98"/>
  <c r="AB5" i="98"/>
  <c r="AA5" i="98"/>
  <c r="Z5" i="98"/>
  <c r="Y5" i="98"/>
  <c r="X5" i="98"/>
  <c r="W5" i="98"/>
  <c r="V5" i="98"/>
  <c r="U5" i="98"/>
  <c r="R5" i="98"/>
  <c r="AP5" i="98" s="1"/>
  <c r="Q5" i="98"/>
  <c r="P5" i="98"/>
  <c r="AN5" i="98" s="1"/>
  <c r="O5" i="98"/>
  <c r="AM5" i="98" s="1"/>
  <c r="N5" i="98"/>
  <c r="AL5" i="98" s="1"/>
  <c r="M5" i="98"/>
  <c r="AK5" i="98" s="1"/>
  <c r="L5" i="98"/>
  <c r="K5" i="98"/>
  <c r="AI5" i="98" s="1"/>
  <c r="J5" i="98"/>
  <c r="AH5" i="98" s="1"/>
  <c r="I5" i="98"/>
  <c r="F5" i="98"/>
  <c r="AL4" i="98"/>
  <c r="AI4" i="98"/>
  <c r="AD4" i="98"/>
  <c r="AC4" i="98"/>
  <c r="AB4" i="98"/>
  <c r="AA4" i="98"/>
  <c r="Z4" i="98"/>
  <c r="Y4" i="98"/>
  <c r="X4" i="98"/>
  <c r="W4" i="98"/>
  <c r="V4" i="98"/>
  <c r="U4" i="98"/>
  <c r="R4" i="98"/>
  <c r="AP4" i="98" s="1"/>
  <c r="Q4" i="98"/>
  <c r="AO4" i="98" s="1"/>
  <c r="P4" i="98"/>
  <c r="AN4" i="98" s="1"/>
  <c r="O4" i="98"/>
  <c r="AM4" i="98" s="1"/>
  <c r="N4" i="98"/>
  <c r="M4" i="98"/>
  <c r="AK4" i="98" s="1"/>
  <c r="L4" i="98"/>
  <c r="AJ4" i="98" s="1"/>
  <c r="K4" i="98"/>
  <c r="J4" i="98"/>
  <c r="AH4" i="98" s="1"/>
  <c r="I4" i="98"/>
  <c r="AG4" i="98" s="1"/>
  <c r="F4" i="98"/>
  <c r="AN3" i="98"/>
  <c r="AK3" i="98"/>
  <c r="AD3" i="98"/>
  <c r="AC3" i="98"/>
  <c r="AB3" i="98"/>
  <c r="AA3" i="98"/>
  <c r="Z3" i="98"/>
  <c r="Y3" i="98"/>
  <c r="X3" i="98"/>
  <c r="W3" i="98"/>
  <c r="V3" i="98"/>
  <c r="U3" i="98"/>
  <c r="R3" i="98"/>
  <c r="AP3" i="98" s="1"/>
  <c r="Q3" i="98"/>
  <c r="AO3" i="98" s="1"/>
  <c r="P3" i="98"/>
  <c r="O3" i="98"/>
  <c r="AM3" i="98" s="1"/>
  <c r="N3" i="98"/>
  <c r="AL3" i="98" s="1"/>
  <c r="M3" i="98"/>
  <c r="L3" i="98"/>
  <c r="AJ3" i="98" s="1"/>
  <c r="K3" i="98"/>
  <c r="AI3" i="98" s="1"/>
  <c r="J3" i="98"/>
  <c r="AH3" i="98" s="1"/>
  <c r="I3" i="98"/>
  <c r="AG3" i="98" s="1"/>
  <c r="F3" i="98"/>
  <c r="AP2" i="98"/>
  <c r="AM2" i="98"/>
  <c r="AH2" i="98"/>
  <c r="AD2" i="98"/>
  <c r="AC2" i="98"/>
  <c r="AB2" i="98"/>
  <c r="AA2" i="98"/>
  <c r="Z2" i="98"/>
  <c r="Y2" i="98"/>
  <c r="X2" i="98"/>
  <c r="W2" i="98"/>
  <c r="V2" i="98"/>
  <c r="U2" i="98"/>
  <c r="R2" i="98"/>
  <c r="Q2" i="98"/>
  <c r="AO2" i="98" s="1"/>
  <c r="P2" i="98"/>
  <c r="AN2" i="98" s="1"/>
  <c r="O2" i="98"/>
  <c r="N2" i="98"/>
  <c r="AL2" i="98" s="1"/>
  <c r="M2" i="98"/>
  <c r="AK2" i="98" s="1"/>
  <c r="L2" i="98"/>
  <c r="AJ2" i="98" s="1"/>
  <c r="K2" i="98"/>
  <c r="AI2" i="98" s="1"/>
  <c r="J2" i="98"/>
  <c r="I2" i="98"/>
  <c r="AG2" i="98" s="1"/>
  <c r="F2" i="98"/>
  <c r="A2" i="97"/>
  <c r="C28" i="97" s="1" a="1"/>
  <c r="C28" i="97" s="1"/>
  <c r="BG30" i="96"/>
  <c r="BF30" i="96"/>
  <c r="BE30" i="96"/>
  <c r="BD30" i="96"/>
  <c r="BC30" i="96"/>
  <c r="BB30" i="96"/>
  <c r="BA30" i="96"/>
  <c r="AZ30" i="96"/>
  <c r="AY30" i="96"/>
  <c r="AX30" i="96"/>
  <c r="AU30" i="96"/>
  <c r="AT30" i="96"/>
  <c r="AS30" i="96"/>
  <c r="AR30" i="96"/>
  <c r="AQ30" i="96"/>
  <c r="AP30" i="96"/>
  <c r="AO30" i="96"/>
  <c r="AN30" i="96"/>
  <c r="AM30" i="96"/>
  <c r="AL30" i="96"/>
  <c r="AH30" i="96"/>
  <c r="AG30" i="96"/>
  <c r="AF30" i="96"/>
  <c r="AE30" i="96"/>
  <c r="AD30" i="96"/>
  <c r="AC30" i="96"/>
  <c r="AB30" i="96"/>
  <c r="AA30" i="96"/>
  <c r="Z30" i="96"/>
  <c r="Y30" i="96"/>
  <c r="V30" i="96"/>
  <c r="U30" i="96"/>
  <c r="T30" i="96"/>
  <c r="S30" i="96"/>
  <c r="R30" i="96"/>
  <c r="Q30" i="96"/>
  <c r="P30" i="96"/>
  <c r="O30" i="96"/>
  <c r="N30" i="96"/>
  <c r="M30" i="96"/>
  <c r="I30" i="96" s="1"/>
  <c r="BG29" i="96"/>
  <c r="BF29" i="96"/>
  <c r="BE29" i="96"/>
  <c r="BD29" i="96"/>
  <c r="BC29" i="96"/>
  <c r="BB29" i="96"/>
  <c r="BA29" i="96"/>
  <c r="AZ29" i="96"/>
  <c r="AY29" i="96"/>
  <c r="AX29" i="96"/>
  <c r="AU29" i="96"/>
  <c r="AT29" i="96"/>
  <c r="AS29" i="96"/>
  <c r="AR29" i="96"/>
  <c r="AQ29" i="96"/>
  <c r="AP29" i="96"/>
  <c r="AO29" i="96"/>
  <c r="AN29" i="96"/>
  <c r="AM29" i="96"/>
  <c r="AL29" i="96"/>
  <c r="AH29" i="96"/>
  <c r="AG29" i="96"/>
  <c r="AF29" i="96"/>
  <c r="AE29" i="96"/>
  <c r="AD29" i="96"/>
  <c r="AC29" i="96"/>
  <c r="AB29" i="96"/>
  <c r="AA29" i="96"/>
  <c r="Z29" i="96"/>
  <c r="Y29" i="96"/>
  <c r="V29" i="96"/>
  <c r="U29" i="96"/>
  <c r="T29" i="96"/>
  <c r="S29" i="96"/>
  <c r="R29" i="96"/>
  <c r="Q29" i="96"/>
  <c r="P29" i="96"/>
  <c r="O29" i="96"/>
  <c r="N29" i="96"/>
  <c r="M29" i="96"/>
  <c r="I29" i="96" s="1"/>
  <c r="BG28" i="96"/>
  <c r="BF28" i="96"/>
  <c r="BE28" i="96"/>
  <c r="BD28" i="96"/>
  <c r="BC28" i="96"/>
  <c r="BB28" i="96"/>
  <c r="BA28" i="96"/>
  <c r="AZ28" i="96"/>
  <c r="AY28" i="96"/>
  <c r="AX28" i="96"/>
  <c r="AU28" i="96"/>
  <c r="AT28" i="96"/>
  <c r="AS28" i="96"/>
  <c r="AR28" i="96"/>
  <c r="AQ28" i="96"/>
  <c r="AP28" i="96"/>
  <c r="AO28" i="96"/>
  <c r="AN28" i="96"/>
  <c r="AM28" i="96"/>
  <c r="AL28" i="96"/>
  <c r="AH28" i="96"/>
  <c r="AG28" i="96"/>
  <c r="AF28" i="96"/>
  <c r="AE28" i="96"/>
  <c r="AD28" i="96"/>
  <c r="AC28" i="96"/>
  <c r="AB28" i="96"/>
  <c r="AA28" i="96"/>
  <c r="Z28" i="96"/>
  <c r="Y28" i="96"/>
  <c r="V28" i="96"/>
  <c r="U28" i="96"/>
  <c r="T28" i="96"/>
  <c r="S28" i="96"/>
  <c r="R28" i="96"/>
  <c r="Q28" i="96"/>
  <c r="P28" i="96"/>
  <c r="O28" i="96"/>
  <c r="N28" i="96"/>
  <c r="M28" i="96"/>
  <c r="I28" i="96"/>
  <c r="BG27" i="96"/>
  <c r="BF27" i="96"/>
  <c r="BE27" i="96"/>
  <c r="BD27" i="96"/>
  <c r="BC27" i="96"/>
  <c r="BB27" i="96"/>
  <c r="BA27" i="96"/>
  <c r="AZ27" i="96"/>
  <c r="AY27" i="96"/>
  <c r="AX27" i="96"/>
  <c r="AU27" i="96"/>
  <c r="AT27" i="96"/>
  <c r="AS27" i="96"/>
  <c r="AR27" i="96"/>
  <c r="AQ27" i="96"/>
  <c r="AP27" i="96"/>
  <c r="AO27" i="96"/>
  <c r="AN27" i="96"/>
  <c r="AM27" i="96"/>
  <c r="AL27" i="96"/>
  <c r="AH27" i="96"/>
  <c r="AG27" i="96"/>
  <c r="AF27" i="96"/>
  <c r="AE27" i="96"/>
  <c r="AD27" i="96"/>
  <c r="AC27" i="96"/>
  <c r="AB27" i="96"/>
  <c r="AA27" i="96"/>
  <c r="Z27" i="96"/>
  <c r="Y27" i="96"/>
  <c r="V27" i="96"/>
  <c r="U27" i="96"/>
  <c r="T27" i="96"/>
  <c r="S27" i="96"/>
  <c r="R27" i="96"/>
  <c r="Q27" i="96"/>
  <c r="P27" i="96"/>
  <c r="O27" i="96"/>
  <c r="N27" i="96"/>
  <c r="M27" i="96"/>
  <c r="I27" i="96" s="1"/>
  <c r="BG26" i="96"/>
  <c r="BF26" i="96"/>
  <c r="BE26" i="96"/>
  <c r="BD26" i="96"/>
  <c r="BC26" i="96"/>
  <c r="BB26" i="96"/>
  <c r="BA26" i="96"/>
  <c r="AZ26" i="96"/>
  <c r="AY26" i="96"/>
  <c r="AX26" i="96"/>
  <c r="AU26" i="96"/>
  <c r="AT26" i="96"/>
  <c r="AS26" i="96"/>
  <c r="AR26" i="96"/>
  <c r="AQ26" i="96"/>
  <c r="AP26" i="96"/>
  <c r="AO26" i="96"/>
  <c r="AN26" i="96"/>
  <c r="AM26" i="96"/>
  <c r="AL26" i="96"/>
  <c r="AH26" i="96"/>
  <c r="AG26" i="96"/>
  <c r="AF26" i="96"/>
  <c r="AE26" i="96"/>
  <c r="AD26" i="96"/>
  <c r="AC26" i="96"/>
  <c r="AB26" i="96"/>
  <c r="AA26" i="96"/>
  <c r="Z26" i="96"/>
  <c r="Y26" i="96"/>
  <c r="V26" i="96"/>
  <c r="U26" i="96"/>
  <c r="T26" i="96"/>
  <c r="S26" i="96"/>
  <c r="R26" i="96"/>
  <c r="Q26" i="96"/>
  <c r="P26" i="96"/>
  <c r="O26" i="96"/>
  <c r="N26" i="96"/>
  <c r="M26" i="96"/>
  <c r="I26" i="96" s="1"/>
  <c r="BG25" i="96"/>
  <c r="BF25" i="96"/>
  <c r="BE25" i="96"/>
  <c r="BD25" i="96"/>
  <c r="BC25" i="96"/>
  <c r="BB25" i="96"/>
  <c r="BA25" i="96"/>
  <c r="AZ25" i="96"/>
  <c r="AY25" i="96"/>
  <c r="AX25" i="96"/>
  <c r="AU25" i="96"/>
  <c r="AT25" i="96"/>
  <c r="AS25" i="96"/>
  <c r="AR25" i="96"/>
  <c r="AQ25" i="96"/>
  <c r="AP25" i="96"/>
  <c r="AO25" i="96"/>
  <c r="AN25" i="96"/>
  <c r="AM25" i="96"/>
  <c r="AL25" i="96"/>
  <c r="AH25" i="96"/>
  <c r="AG25" i="96"/>
  <c r="AF25" i="96"/>
  <c r="AE25" i="96"/>
  <c r="AD25" i="96"/>
  <c r="AC25" i="96"/>
  <c r="AB25" i="96"/>
  <c r="AA25" i="96"/>
  <c r="Z25" i="96"/>
  <c r="Y25" i="96"/>
  <c r="V25" i="96"/>
  <c r="U25" i="96"/>
  <c r="T25" i="96"/>
  <c r="S25" i="96"/>
  <c r="R25" i="96"/>
  <c r="Q25" i="96"/>
  <c r="P25" i="96"/>
  <c r="O25" i="96"/>
  <c r="N25" i="96"/>
  <c r="M25" i="96"/>
  <c r="BG24" i="96"/>
  <c r="BF24" i="96"/>
  <c r="BE24" i="96"/>
  <c r="BD24" i="96"/>
  <c r="BC24" i="96"/>
  <c r="BB24" i="96"/>
  <c r="BA24" i="96"/>
  <c r="AZ24" i="96"/>
  <c r="AY24" i="96"/>
  <c r="AX24" i="96"/>
  <c r="AU24" i="96"/>
  <c r="AT24" i="96"/>
  <c r="AS24" i="96"/>
  <c r="AR24" i="96"/>
  <c r="AQ24" i="96"/>
  <c r="AP24" i="96"/>
  <c r="AO24" i="96"/>
  <c r="AN24" i="96"/>
  <c r="AM24" i="96"/>
  <c r="AL24" i="96"/>
  <c r="AH24" i="96"/>
  <c r="AG24" i="96"/>
  <c r="AF24" i="96"/>
  <c r="AE24" i="96"/>
  <c r="AD24" i="96"/>
  <c r="AC24" i="96"/>
  <c r="AB24" i="96"/>
  <c r="AA24" i="96"/>
  <c r="Z24" i="96"/>
  <c r="Y24" i="96"/>
  <c r="V24" i="96"/>
  <c r="U24" i="96"/>
  <c r="T24" i="96"/>
  <c r="S24" i="96"/>
  <c r="R24" i="96"/>
  <c r="Q24" i="96"/>
  <c r="P24" i="96"/>
  <c r="O24" i="96"/>
  <c r="N24" i="96"/>
  <c r="M24" i="96"/>
  <c r="I24" i="96" s="1"/>
  <c r="BG23" i="96"/>
  <c r="BF23" i="96"/>
  <c r="BE23" i="96"/>
  <c r="BD23" i="96"/>
  <c r="BC23" i="96"/>
  <c r="BB23" i="96"/>
  <c r="BA23" i="96"/>
  <c r="AZ23" i="96"/>
  <c r="AY23" i="96"/>
  <c r="AX23" i="96"/>
  <c r="AU23" i="96"/>
  <c r="AT23" i="96"/>
  <c r="AS23" i="96"/>
  <c r="AR23" i="96"/>
  <c r="AQ23" i="96"/>
  <c r="AP23" i="96"/>
  <c r="AO23" i="96"/>
  <c r="AN23" i="96"/>
  <c r="AM23" i="96"/>
  <c r="AL23" i="96"/>
  <c r="AH23" i="96"/>
  <c r="AG23" i="96"/>
  <c r="AF23" i="96"/>
  <c r="AE23" i="96"/>
  <c r="AD23" i="96"/>
  <c r="AC23" i="96"/>
  <c r="AB23" i="96"/>
  <c r="AA23" i="96"/>
  <c r="Z23" i="96"/>
  <c r="Y23" i="96"/>
  <c r="V23" i="96"/>
  <c r="U23" i="96"/>
  <c r="T23" i="96"/>
  <c r="S23" i="96"/>
  <c r="R23" i="96"/>
  <c r="Q23" i="96"/>
  <c r="P23" i="96"/>
  <c r="O23" i="96"/>
  <c r="N23" i="96"/>
  <c r="M23" i="96"/>
  <c r="I23" i="96" s="1"/>
  <c r="BG22" i="96"/>
  <c r="BF22" i="96"/>
  <c r="BE22" i="96"/>
  <c r="BD22" i="96"/>
  <c r="BC22" i="96"/>
  <c r="BB22" i="96"/>
  <c r="BA22" i="96"/>
  <c r="AZ22" i="96"/>
  <c r="AY22" i="96"/>
  <c r="AX22" i="96"/>
  <c r="AU22" i="96"/>
  <c r="AT22" i="96"/>
  <c r="AS22" i="96"/>
  <c r="AR22" i="96"/>
  <c r="AQ22" i="96"/>
  <c r="AP22" i="96"/>
  <c r="AO22" i="96"/>
  <c r="AN22" i="96"/>
  <c r="AM22" i="96"/>
  <c r="AL22" i="96"/>
  <c r="AH22" i="96"/>
  <c r="AG22" i="96"/>
  <c r="AF22" i="96"/>
  <c r="AE22" i="96"/>
  <c r="AD22" i="96"/>
  <c r="AC22" i="96"/>
  <c r="AB22" i="96"/>
  <c r="AA22" i="96"/>
  <c r="Z22" i="96"/>
  <c r="Y22" i="96"/>
  <c r="V22" i="96"/>
  <c r="U22" i="96"/>
  <c r="T22" i="96"/>
  <c r="S22" i="96"/>
  <c r="R22" i="96"/>
  <c r="Q22" i="96"/>
  <c r="P22" i="96"/>
  <c r="O22" i="96"/>
  <c r="N22" i="96"/>
  <c r="M22" i="96"/>
  <c r="I22" i="96" s="1"/>
  <c r="BG21" i="96"/>
  <c r="BF21" i="96"/>
  <c r="BE21" i="96"/>
  <c r="BD21" i="96"/>
  <c r="BC21" i="96"/>
  <c r="BB21" i="96"/>
  <c r="BA21" i="96"/>
  <c r="AZ21" i="96"/>
  <c r="AY21" i="96"/>
  <c r="AX21" i="96"/>
  <c r="AU21" i="96"/>
  <c r="AT21" i="96"/>
  <c r="AS21" i="96"/>
  <c r="AR21" i="96"/>
  <c r="AQ21" i="96"/>
  <c r="AP21" i="96"/>
  <c r="AO21" i="96"/>
  <c r="AN21" i="96"/>
  <c r="AM21" i="96"/>
  <c r="AL21" i="96"/>
  <c r="AH21" i="96"/>
  <c r="AG21" i="96"/>
  <c r="AF21" i="96"/>
  <c r="AE21" i="96"/>
  <c r="AD21" i="96"/>
  <c r="AC21" i="96"/>
  <c r="AB21" i="96"/>
  <c r="AA21" i="96"/>
  <c r="Z21" i="96"/>
  <c r="Y21" i="96"/>
  <c r="V21" i="96"/>
  <c r="U21" i="96"/>
  <c r="T21" i="96"/>
  <c r="S21" i="96"/>
  <c r="R21" i="96"/>
  <c r="Q21" i="96"/>
  <c r="P21" i="96"/>
  <c r="O21" i="96"/>
  <c r="N21" i="96"/>
  <c r="M21" i="96"/>
  <c r="BG20" i="96"/>
  <c r="BF20" i="96"/>
  <c r="BE20" i="96"/>
  <c r="BD20" i="96"/>
  <c r="BC20" i="96"/>
  <c r="BB20" i="96"/>
  <c r="BA20" i="96"/>
  <c r="AZ20" i="96"/>
  <c r="AY20" i="96"/>
  <c r="AX20" i="96"/>
  <c r="AU20" i="96"/>
  <c r="AT20" i="96"/>
  <c r="AS20" i="96"/>
  <c r="AR20" i="96"/>
  <c r="AQ20" i="96"/>
  <c r="AP20" i="96"/>
  <c r="AO20" i="96"/>
  <c r="AN20" i="96"/>
  <c r="AM20" i="96"/>
  <c r="AL20" i="96"/>
  <c r="AH20" i="96"/>
  <c r="AG20" i="96"/>
  <c r="AF20" i="96"/>
  <c r="AE20" i="96"/>
  <c r="AD20" i="96"/>
  <c r="AC20" i="96"/>
  <c r="AB20" i="96"/>
  <c r="AA20" i="96"/>
  <c r="Z20" i="96"/>
  <c r="Y20" i="96"/>
  <c r="V20" i="96"/>
  <c r="U20" i="96"/>
  <c r="T20" i="96"/>
  <c r="S20" i="96"/>
  <c r="R20" i="96"/>
  <c r="Q20" i="96"/>
  <c r="P20" i="96"/>
  <c r="O20" i="96"/>
  <c r="N20" i="96"/>
  <c r="M20" i="96"/>
  <c r="I20" i="96" s="1"/>
  <c r="BG19" i="96"/>
  <c r="BF19" i="96"/>
  <c r="BE19" i="96"/>
  <c r="BD19" i="96"/>
  <c r="BC19" i="96"/>
  <c r="BB19" i="96"/>
  <c r="BA19" i="96"/>
  <c r="AZ19" i="96"/>
  <c r="AY19" i="96"/>
  <c r="AX19" i="96"/>
  <c r="AU19" i="96"/>
  <c r="AT19" i="96"/>
  <c r="AS19" i="96"/>
  <c r="AR19" i="96"/>
  <c r="AQ19" i="96"/>
  <c r="AP19" i="96"/>
  <c r="AO19" i="96"/>
  <c r="AN19" i="96"/>
  <c r="AM19" i="96"/>
  <c r="AL19" i="96"/>
  <c r="AH19" i="96"/>
  <c r="AG19" i="96"/>
  <c r="AF19" i="96"/>
  <c r="AE19" i="96"/>
  <c r="AD19" i="96"/>
  <c r="AC19" i="96"/>
  <c r="AB19" i="96"/>
  <c r="AA19" i="96"/>
  <c r="Z19" i="96"/>
  <c r="Y19" i="96"/>
  <c r="V19" i="96"/>
  <c r="U19" i="96"/>
  <c r="T19" i="96"/>
  <c r="S19" i="96"/>
  <c r="R19" i="96"/>
  <c r="Q19" i="96"/>
  <c r="P19" i="96"/>
  <c r="O19" i="96"/>
  <c r="N19" i="96"/>
  <c r="M19" i="96"/>
  <c r="BG18" i="96"/>
  <c r="BF18" i="96"/>
  <c r="BE18" i="96"/>
  <c r="BD18" i="96"/>
  <c r="BC18" i="96"/>
  <c r="BB18" i="96"/>
  <c r="BA18" i="96"/>
  <c r="AZ18" i="96"/>
  <c r="AY18" i="96"/>
  <c r="AX18" i="96"/>
  <c r="AU18" i="96"/>
  <c r="AT18" i="96"/>
  <c r="AS18" i="96"/>
  <c r="AR18" i="96"/>
  <c r="AQ18" i="96"/>
  <c r="AP18" i="96"/>
  <c r="AO18" i="96"/>
  <c r="AN18" i="96"/>
  <c r="AM18" i="96"/>
  <c r="AL18" i="96"/>
  <c r="AH18" i="96"/>
  <c r="AG18" i="96"/>
  <c r="AF18" i="96"/>
  <c r="AE18" i="96"/>
  <c r="AD18" i="96"/>
  <c r="AC18" i="96"/>
  <c r="AB18" i="96"/>
  <c r="AA18" i="96"/>
  <c r="Z18" i="96"/>
  <c r="Y18" i="96"/>
  <c r="V18" i="96"/>
  <c r="U18" i="96"/>
  <c r="T18" i="96"/>
  <c r="S18" i="96"/>
  <c r="R18" i="96"/>
  <c r="Q18" i="96"/>
  <c r="P18" i="96"/>
  <c r="O18" i="96"/>
  <c r="N18" i="96"/>
  <c r="M18" i="96"/>
  <c r="I18" i="96" s="1"/>
  <c r="BG17" i="96"/>
  <c r="BF17" i="96"/>
  <c r="BE17" i="96"/>
  <c r="BD17" i="96"/>
  <c r="BC17" i="96"/>
  <c r="BB17" i="96"/>
  <c r="BA17" i="96"/>
  <c r="AZ17" i="96"/>
  <c r="AY17" i="96"/>
  <c r="AX17" i="96"/>
  <c r="AU17" i="96"/>
  <c r="AT17" i="96"/>
  <c r="AS17" i="96"/>
  <c r="AR17" i="96"/>
  <c r="AQ17" i="96"/>
  <c r="AP17" i="96"/>
  <c r="AO17" i="96"/>
  <c r="AN17" i="96"/>
  <c r="AM17" i="96"/>
  <c r="AL17" i="96"/>
  <c r="AH17" i="96"/>
  <c r="AG17" i="96"/>
  <c r="AF17" i="96"/>
  <c r="AE17" i="96"/>
  <c r="AD17" i="96"/>
  <c r="AC17" i="96"/>
  <c r="AB17" i="96"/>
  <c r="AA17" i="96"/>
  <c r="Z17" i="96"/>
  <c r="Y17" i="96"/>
  <c r="V17" i="96"/>
  <c r="U17" i="96"/>
  <c r="T17" i="96"/>
  <c r="S17" i="96"/>
  <c r="R17" i="96"/>
  <c r="Q17" i="96"/>
  <c r="P17" i="96"/>
  <c r="O17" i="96"/>
  <c r="N17" i="96"/>
  <c r="M17" i="96"/>
  <c r="I17" i="96" s="1"/>
  <c r="BG16" i="96"/>
  <c r="BF16" i="96"/>
  <c r="BE16" i="96"/>
  <c r="BD16" i="96"/>
  <c r="BC16" i="96"/>
  <c r="BB16" i="96"/>
  <c r="BA16" i="96"/>
  <c r="AZ16" i="96"/>
  <c r="AY16" i="96"/>
  <c r="AX16" i="96"/>
  <c r="AU16" i="96"/>
  <c r="AT16" i="96"/>
  <c r="AS16" i="96"/>
  <c r="AR16" i="96"/>
  <c r="AQ16" i="96"/>
  <c r="AP16" i="96"/>
  <c r="AO16" i="96"/>
  <c r="AN16" i="96"/>
  <c r="AM16" i="96"/>
  <c r="AL16" i="96"/>
  <c r="AH16" i="96"/>
  <c r="AG16" i="96"/>
  <c r="AF16" i="96"/>
  <c r="AE16" i="96"/>
  <c r="AD16" i="96"/>
  <c r="AC16" i="96"/>
  <c r="AB16" i="96"/>
  <c r="AA16" i="96"/>
  <c r="Z16" i="96"/>
  <c r="Y16" i="96"/>
  <c r="V16" i="96"/>
  <c r="U16" i="96"/>
  <c r="T16" i="96"/>
  <c r="S16" i="96"/>
  <c r="R16" i="96"/>
  <c r="Q16" i="96"/>
  <c r="P16" i="96"/>
  <c r="O16" i="96"/>
  <c r="N16" i="96"/>
  <c r="M16" i="96"/>
  <c r="I16" i="96" s="1"/>
  <c r="BG15" i="96"/>
  <c r="BF15" i="96"/>
  <c r="BE15" i="96"/>
  <c r="BD15" i="96"/>
  <c r="BC15" i="96"/>
  <c r="BB15" i="96"/>
  <c r="BA15" i="96"/>
  <c r="AZ15" i="96"/>
  <c r="AY15" i="96"/>
  <c r="AX15" i="96"/>
  <c r="AU15" i="96"/>
  <c r="AT15" i="96"/>
  <c r="AS15" i="96"/>
  <c r="AR15" i="96"/>
  <c r="AQ15" i="96"/>
  <c r="AP15" i="96"/>
  <c r="AO15" i="96"/>
  <c r="AN15" i="96"/>
  <c r="AM15" i="96"/>
  <c r="AL15" i="96"/>
  <c r="AH15" i="96"/>
  <c r="AG15" i="96"/>
  <c r="AF15" i="96"/>
  <c r="AE15" i="96"/>
  <c r="AD15" i="96"/>
  <c r="AC15" i="96"/>
  <c r="AB15" i="96"/>
  <c r="AA15" i="96"/>
  <c r="Z15" i="96"/>
  <c r="Y15" i="96"/>
  <c r="V15" i="96"/>
  <c r="U15" i="96"/>
  <c r="T15" i="96"/>
  <c r="S15" i="96"/>
  <c r="R15" i="96"/>
  <c r="Q15" i="96"/>
  <c r="P15" i="96"/>
  <c r="O15" i="96"/>
  <c r="N15" i="96"/>
  <c r="M15" i="96"/>
  <c r="I15" i="96" s="1"/>
  <c r="BG14" i="96"/>
  <c r="BF14" i="96"/>
  <c r="BE14" i="96"/>
  <c r="BD14" i="96"/>
  <c r="BC14" i="96"/>
  <c r="BB14" i="96"/>
  <c r="BA14" i="96"/>
  <c r="AZ14" i="96"/>
  <c r="AY14" i="96"/>
  <c r="AX14" i="96"/>
  <c r="AU14" i="96"/>
  <c r="AT14" i="96"/>
  <c r="AS14" i="96"/>
  <c r="AR14" i="96"/>
  <c r="AQ14" i="96"/>
  <c r="AP14" i="96"/>
  <c r="AO14" i="96"/>
  <c r="AN14" i="96"/>
  <c r="AM14" i="96"/>
  <c r="AL14" i="96"/>
  <c r="AH14" i="96"/>
  <c r="AG14" i="96"/>
  <c r="AF14" i="96"/>
  <c r="AE14" i="96"/>
  <c r="AD14" i="96"/>
  <c r="AC14" i="96"/>
  <c r="AB14" i="96"/>
  <c r="AA14" i="96"/>
  <c r="Z14" i="96"/>
  <c r="Y14" i="96"/>
  <c r="V14" i="96"/>
  <c r="U14" i="96"/>
  <c r="T14" i="96"/>
  <c r="S14" i="96"/>
  <c r="R14" i="96"/>
  <c r="Q14" i="96"/>
  <c r="P14" i="96"/>
  <c r="O14" i="96"/>
  <c r="N14" i="96"/>
  <c r="M14" i="96"/>
  <c r="I14" i="96"/>
  <c r="BG13" i="96"/>
  <c r="BF13" i="96"/>
  <c r="BE13" i="96"/>
  <c r="BD13" i="96"/>
  <c r="BC13" i="96"/>
  <c r="BB13" i="96"/>
  <c r="BA13" i="96"/>
  <c r="AZ13" i="96"/>
  <c r="AY13" i="96"/>
  <c r="AX13" i="96"/>
  <c r="AU13" i="96"/>
  <c r="AT13" i="96"/>
  <c r="AS13" i="96"/>
  <c r="AR13" i="96"/>
  <c r="AQ13" i="96"/>
  <c r="AP13" i="96"/>
  <c r="AO13" i="96"/>
  <c r="AN13" i="96"/>
  <c r="AM13" i="96"/>
  <c r="AL13" i="96"/>
  <c r="AH13" i="96"/>
  <c r="AG13" i="96"/>
  <c r="AF13" i="96"/>
  <c r="AE13" i="96"/>
  <c r="AD13" i="96"/>
  <c r="AC13" i="96"/>
  <c r="AB13" i="96"/>
  <c r="AA13" i="96"/>
  <c r="Z13" i="96"/>
  <c r="Y13" i="96"/>
  <c r="V13" i="96"/>
  <c r="U13" i="96"/>
  <c r="T13" i="96"/>
  <c r="S13" i="96"/>
  <c r="R13" i="96"/>
  <c r="Q13" i="96"/>
  <c r="P13" i="96"/>
  <c r="O13" i="96"/>
  <c r="N13" i="96"/>
  <c r="M13" i="96"/>
  <c r="I13" i="96" s="1"/>
  <c r="BG12" i="96"/>
  <c r="BF12" i="96"/>
  <c r="BE12" i="96"/>
  <c r="BD12" i="96"/>
  <c r="BC12" i="96"/>
  <c r="BB12" i="96"/>
  <c r="BA12" i="96"/>
  <c r="AZ12" i="96"/>
  <c r="AY12" i="96"/>
  <c r="AX12" i="96"/>
  <c r="AU12" i="96"/>
  <c r="AT12" i="96"/>
  <c r="AS12" i="96"/>
  <c r="AR12" i="96"/>
  <c r="AQ12" i="96"/>
  <c r="AP12" i="96"/>
  <c r="AO12" i="96"/>
  <c r="AN12" i="96"/>
  <c r="AM12" i="96"/>
  <c r="AL12" i="96"/>
  <c r="AH12" i="96"/>
  <c r="AG12" i="96"/>
  <c r="AF12" i="96"/>
  <c r="AE12" i="96"/>
  <c r="AD12" i="96"/>
  <c r="AC12" i="96"/>
  <c r="AB12" i="96"/>
  <c r="AA12" i="96"/>
  <c r="Z12" i="96"/>
  <c r="Y12" i="96"/>
  <c r="V12" i="96"/>
  <c r="U12" i="96"/>
  <c r="T12" i="96"/>
  <c r="S12" i="96"/>
  <c r="R12" i="96"/>
  <c r="Q12" i="96"/>
  <c r="P12" i="96"/>
  <c r="O12" i="96"/>
  <c r="N12" i="96"/>
  <c r="M12" i="96"/>
  <c r="I12" i="96" s="1"/>
  <c r="BG11" i="96"/>
  <c r="BF11" i="96"/>
  <c r="BE11" i="96"/>
  <c r="BD11" i="96"/>
  <c r="BC11" i="96"/>
  <c r="BB11" i="96"/>
  <c r="BA11" i="96"/>
  <c r="AZ11" i="96"/>
  <c r="AY11" i="96"/>
  <c r="AX11" i="96"/>
  <c r="AU11" i="96"/>
  <c r="AT11" i="96"/>
  <c r="AS11" i="96"/>
  <c r="AR11" i="96"/>
  <c r="AQ11" i="96"/>
  <c r="AP11" i="96"/>
  <c r="AO11" i="96"/>
  <c r="AN11" i="96"/>
  <c r="AM11" i="96"/>
  <c r="AL11" i="96"/>
  <c r="AH11" i="96"/>
  <c r="AG11" i="96"/>
  <c r="AF11" i="96"/>
  <c r="AE11" i="96"/>
  <c r="AD11" i="96"/>
  <c r="AC11" i="96"/>
  <c r="AB11" i="96"/>
  <c r="AA11" i="96"/>
  <c r="Z11" i="96"/>
  <c r="Y11" i="96"/>
  <c r="V11" i="96"/>
  <c r="U11" i="96"/>
  <c r="T11" i="96"/>
  <c r="S11" i="96"/>
  <c r="R11" i="96"/>
  <c r="Q11" i="96"/>
  <c r="P11" i="96"/>
  <c r="O11" i="96"/>
  <c r="N11" i="96"/>
  <c r="M11" i="96"/>
  <c r="BG10" i="96"/>
  <c r="BF10" i="96"/>
  <c r="BE10" i="96"/>
  <c r="BD10" i="96"/>
  <c r="BC10" i="96"/>
  <c r="BB10" i="96"/>
  <c r="BA10" i="96"/>
  <c r="AZ10" i="96"/>
  <c r="AY10" i="96"/>
  <c r="AX10" i="96"/>
  <c r="AU10" i="96"/>
  <c r="AT10" i="96"/>
  <c r="AS10" i="96"/>
  <c r="AR10" i="96"/>
  <c r="AQ10" i="96"/>
  <c r="AP10" i="96"/>
  <c r="AO10" i="96"/>
  <c r="AN10" i="96"/>
  <c r="AM10" i="96"/>
  <c r="AL10" i="96"/>
  <c r="AH10" i="96"/>
  <c r="AG10" i="96"/>
  <c r="AF10" i="96"/>
  <c r="AE10" i="96"/>
  <c r="AD10" i="96"/>
  <c r="AC10" i="96"/>
  <c r="AB10" i="96"/>
  <c r="AA10" i="96"/>
  <c r="Z10" i="96"/>
  <c r="Y10" i="96"/>
  <c r="V10" i="96"/>
  <c r="U10" i="96"/>
  <c r="T10" i="96"/>
  <c r="S10" i="96"/>
  <c r="R10" i="96"/>
  <c r="Q10" i="96"/>
  <c r="P10" i="96"/>
  <c r="O10" i="96"/>
  <c r="N10" i="96"/>
  <c r="M10" i="96"/>
  <c r="I10" i="96"/>
  <c r="BG9" i="96"/>
  <c r="BF9" i="96"/>
  <c r="BE9" i="96"/>
  <c r="BD9" i="96"/>
  <c r="BC9" i="96"/>
  <c r="BB9" i="96"/>
  <c r="BA9" i="96"/>
  <c r="AZ9" i="96"/>
  <c r="AY9" i="96"/>
  <c r="AX9" i="96"/>
  <c r="AU9" i="96"/>
  <c r="AT9" i="96"/>
  <c r="AS9" i="96"/>
  <c r="AR9" i="96"/>
  <c r="AQ9" i="96"/>
  <c r="AP9" i="96"/>
  <c r="AO9" i="96"/>
  <c r="AN9" i="96"/>
  <c r="AM9" i="96"/>
  <c r="AL9" i="96"/>
  <c r="AH9" i="96"/>
  <c r="AG9" i="96"/>
  <c r="AF9" i="96"/>
  <c r="AE9" i="96"/>
  <c r="AD9" i="96"/>
  <c r="AC9" i="96"/>
  <c r="AB9" i="96"/>
  <c r="AA9" i="96"/>
  <c r="Z9" i="96"/>
  <c r="Y9" i="96"/>
  <c r="V9" i="96"/>
  <c r="U9" i="96"/>
  <c r="T9" i="96"/>
  <c r="S9" i="96"/>
  <c r="R9" i="96"/>
  <c r="Q9" i="96"/>
  <c r="P9" i="96"/>
  <c r="O9" i="96"/>
  <c r="N9" i="96"/>
  <c r="M9" i="96"/>
  <c r="I9" i="96" s="1"/>
  <c r="BG8" i="96"/>
  <c r="BF8" i="96"/>
  <c r="BE8" i="96"/>
  <c r="BD8" i="96"/>
  <c r="BC8" i="96"/>
  <c r="BB8" i="96"/>
  <c r="BA8" i="96"/>
  <c r="AZ8" i="96"/>
  <c r="AY8" i="96"/>
  <c r="AX8" i="96"/>
  <c r="AU8" i="96"/>
  <c r="AT8" i="96"/>
  <c r="AS8" i="96"/>
  <c r="AR8" i="96"/>
  <c r="AQ8" i="96"/>
  <c r="AP8" i="96"/>
  <c r="AO8" i="96"/>
  <c r="AN8" i="96"/>
  <c r="AM8" i="96"/>
  <c r="AL8" i="96"/>
  <c r="AH8" i="96"/>
  <c r="AG8" i="96"/>
  <c r="AF8" i="96"/>
  <c r="AE8" i="96"/>
  <c r="AD8" i="96"/>
  <c r="AC8" i="96"/>
  <c r="AB8" i="96"/>
  <c r="AA8" i="96"/>
  <c r="Z8" i="96"/>
  <c r="Y8" i="96"/>
  <c r="V8" i="96"/>
  <c r="U8" i="96"/>
  <c r="T8" i="96"/>
  <c r="S8" i="96"/>
  <c r="R8" i="96"/>
  <c r="Q8" i="96"/>
  <c r="P8" i="96"/>
  <c r="O8" i="96"/>
  <c r="N8" i="96"/>
  <c r="M8" i="96"/>
  <c r="I8" i="96" s="1"/>
  <c r="BG7" i="96"/>
  <c r="BF7" i="96"/>
  <c r="BE7" i="96"/>
  <c r="BD7" i="96"/>
  <c r="BC7" i="96"/>
  <c r="BB7" i="96"/>
  <c r="BA7" i="96"/>
  <c r="AZ7" i="96"/>
  <c r="AY7" i="96"/>
  <c r="AX7" i="96"/>
  <c r="AU7" i="96"/>
  <c r="AT7" i="96"/>
  <c r="AS7" i="96"/>
  <c r="AR7" i="96"/>
  <c r="AQ7" i="96"/>
  <c r="AP7" i="96"/>
  <c r="AO7" i="96"/>
  <c r="AN7" i="96"/>
  <c r="AM7" i="96"/>
  <c r="AL7" i="96"/>
  <c r="AH7" i="96"/>
  <c r="AG7" i="96"/>
  <c r="AF7" i="96"/>
  <c r="AE7" i="96"/>
  <c r="AD7" i="96"/>
  <c r="AC7" i="96"/>
  <c r="AB7" i="96"/>
  <c r="AA7" i="96"/>
  <c r="Z7" i="96"/>
  <c r="Y7" i="96"/>
  <c r="V7" i="96"/>
  <c r="U7" i="96"/>
  <c r="T7" i="96"/>
  <c r="S7" i="96"/>
  <c r="R7" i="96"/>
  <c r="Q7" i="96"/>
  <c r="P7" i="96"/>
  <c r="O7" i="96"/>
  <c r="N7" i="96"/>
  <c r="M7" i="96"/>
  <c r="I7" i="96" s="1"/>
  <c r="BG6" i="96"/>
  <c r="BF6" i="96"/>
  <c r="BE6" i="96"/>
  <c r="BD6" i="96"/>
  <c r="BC6" i="96"/>
  <c r="BB6" i="96"/>
  <c r="BA6" i="96"/>
  <c r="AZ6" i="96"/>
  <c r="AY6" i="96"/>
  <c r="AX6" i="96"/>
  <c r="AU6" i="96"/>
  <c r="AT6" i="96"/>
  <c r="AS6" i="96"/>
  <c r="AR6" i="96"/>
  <c r="AQ6" i="96"/>
  <c r="AP6" i="96"/>
  <c r="AO6" i="96"/>
  <c r="AN6" i="96"/>
  <c r="AM6" i="96"/>
  <c r="AL6" i="96"/>
  <c r="AH6" i="96"/>
  <c r="AG6" i="96"/>
  <c r="AF6" i="96"/>
  <c r="AE6" i="96"/>
  <c r="AD6" i="96"/>
  <c r="AC6" i="96"/>
  <c r="AB6" i="96"/>
  <c r="AA6" i="96"/>
  <c r="Z6" i="96"/>
  <c r="Y6" i="96"/>
  <c r="V6" i="96"/>
  <c r="U6" i="96"/>
  <c r="T6" i="96"/>
  <c r="S6" i="96"/>
  <c r="R6" i="96"/>
  <c r="Q6" i="96"/>
  <c r="P6" i="96"/>
  <c r="O6" i="96"/>
  <c r="N6" i="96"/>
  <c r="M6" i="96"/>
  <c r="I6" i="96" s="1"/>
  <c r="BG5" i="96"/>
  <c r="BF5" i="96"/>
  <c r="BE5" i="96"/>
  <c r="BD5" i="96"/>
  <c r="BC5" i="96"/>
  <c r="BB5" i="96"/>
  <c r="BA5" i="96"/>
  <c r="AZ5" i="96"/>
  <c r="AY5" i="96"/>
  <c r="AX5" i="96"/>
  <c r="AU5" i="96"/>
  <c r="AT5" i="96"/>
  <c r="AS5" i="96"/>
  <c r="AR5" i="96"/>
  <c r="AQ5" i="96"/>
  <c r="AP5" i="96"/>
  <c r="AO5" i="96"/>
  <c r="AN5" i="96"/>
  <c r="AM5" i="96"/>
  <c r="AL5" i="96"/>
  <c r="AH5" i="96"/>
  <c r="AG5" i="96"/>
  <c r="AF5" i="96"/>
  <c r="AE5" i="96"/>
  <c r="AD5" i="96"/>
  <c r="AC5" i="96"/>
  <c r="AB5" i="96"/>
  <c r="AA5" i="96"/>
  <c r="Z5" i="96"/>
  <c r="Y5" i="96"/>
  <c r="V5" i="96"/>
  <c r="U5" i="96"/>
  <c r="T5" i="96"/>
  <c r="S5" i="96"/>
  <c r="R5" i="96"/>
  <c r="Q5" i="96"/>
  <c r="P5" i="96"/>
  <c r="O5" i="96"/>
  <c r="N5" i="96"/>
  <c r="M5" i="96"/>
  <c r="BG4" i="96"/>
  <c r="BF4" i="96"/>
  <c r="BE4" i="96"/>
  <c r="BD4" i="96"/>
  <c r="BC4" i="96"/>
  <c r="BB4" i="96"/>
  <c r="BA4" i="96"/>
  <c r="AZ4" i="96"/>
  <c r="AY4" i="96"/>
  <c r="AX4" i="96"/>
  <c r="AU4" i="96"/>
  <c r="AT4" i="96"/>
  <c r="AS4" i="96"/>
  <c r="AR4" i="96"/>
  <c r="AQ4" i="96"/>
  <c r="AP4" i="96"/>
  <c r="AO4" i="96"/>
  <c r="AN4" i="96"/>
  <c r="AM4" i="96"/>
  <c r="AL4" i="96"/>
  <c r="AH4" i="96"/>
  <c r="AG4" i="96"/>
  <c r="AF4" i="96"/>
  <c r="AE4" i="96"/>
  <c r="AD4" i="96"/>
  <c r="AC4" i="96"/>
  <c r="AB4" i="96"/>
  <c r="AA4" i="96"/>
  <c r="Z4" i="96"/>
  <c r="Y4" i="96"/>
  <c r="V4" i="96"/>
  <c r="U4" i="96"/>
  <c r="T4" i="96"/>
  <c r="S4" i="96"/>
  <c r="R4" i="96"/>
  <c r="Q4" i="96"/>
  <c r="P4" i="96"/>
  <c r="O4" i="96"/>
  <c r="N4" i="96"/>
  <c r="M4" i="96"/>
  <c r="I4" i="96"/>
  <c r="BG3" i="96"/>
  <c r="BF3" i="96"/>
  <c r="BE3" i="96"/>
  <c r="BD3" i="96"/>
  <c r="BC3" i="96"/>
  <c r="BB3" i="96"/>
  <c r="BA3" i="96"/>
  <c r="AZ3" i="96"/>
  <c r="AY3" i="96"/>
  <c r="AX3" i="96"/>
  <c r="AU3" i="96"/>
  <c r="AT3" i="96"/>
  <c r="AS3" i="96"/>
  <c r="AR3" i="96"/>
  <c r="AQ3" i="96"/>
  <c r="AP3" i="96"/>
  <c r="AO3" i="96"/>
  <c r="AN3" i="96"/>
  <c r="AM3" i="96"/>
  <c r="AL3" i="96"/>
  <c r="AH3" i="96"/>
  <c r="AG3" i="96"/>
  <c r="AF3" i="96"/>
  <c r="AE3" i="96"/>
  <c r="AD3" i="96"/>
  <c r="AC3" i="96"/>
  <c r="AB3" i="96"/>
  <c r="AA3" i="96"/>
  <c r="Z3" i="96"/>
  <c r="Y3" i="96"/>
  <c r="V3" i="96"/>
  <c r="U3" i="96"/>
  <c r="T3" i="96"/>
  <c r="S3" i="96"/>
  <c r="R3" i="96"/>
  <c r="Q3" i="96"/>
  <c r="P3" i="96"/>
  <c r="O3" i="96"/>
  <c r="N3" i="96"/>
  <c r="M3" i="96"/>
  <c r="BG2" i="96"/>
  <c r="BF2" i="96"/>
  <c r="BE2" i="96"/>
  <c r="BD2" i="96"/>
  <c r="BC2" i="96"/>
  <c r="BB2" i="96"/>
  <c r="BA2" i="96"/>
  <c r="AZ2" i="96"/>
  <c r="AY2" i="96"/>
  <c r="AX2" i="96"/>
  <c r="AU2" i="96"/>
  <c r="AT2" i="96"/>
  <c r="AS2" i="96"/>
  <c r="AR2" i="96"/>
  <c r="AQ2" i="96"/>
  <c r="AP2" i="96"/>
  <c r="AO2" i="96"/>
  <c r="AN2" i="96"/>
  <c r="AM2" i="96"/>
  <c r="AL2" i="96"/>
  <c r="AH2" i="96"/>
  <c r="AG2" i="96"/>
  <c r="AF2" i="96"/>
  <c r="AE2" i="96"/>
  <c r="AD2" i="96"/>
  <c r="AC2" i="96"/>
  <c r="AB2" i="96"/>
  <c r="AA2" i="96"/>
  <c r="Z2" i="96"/>
  <c r="Y2" i="96"/>
  <c r="V2" i="96"/>
  <c r="U2" i="96"/>
  <c r="T2" i="96"/>
  <c r="S2" i="96"/>
  <c r="R2" i="96"/>
  <c r="Q2" i="96"/>
  <c r="P2" i="96"/>
  <c r="O2" i="96"/>
  <c r="N2" i="96"/>
  <c r="M2" i="96"/>
  <c r="I2" i="96"/>
  <c r="E9" i="91" a="1"/>
  <c r="E8" i="91" a="1"/>
  <c r="E7" i="91" a="1"/>
  <c r="E6" i="91" a="1"/>
  <c r="BN18" i="100" l="1"/>
  <c r="AX23" i="100"/>
  <c r="BF23" i="100"/>
  <c r="BB25" i="100"/>
  <c r="DT30" i="100"/>
  <c r="BG15" i="100"/>
  <c r="BQ15" i="100"/>
  <c r="DK27" i="100"/>
  <c r="DE28" i="100"/>
  <c r="DB4" i="100"/>
  <c r="DN4" i="100" s="1"/>
  <c r="DJ4" i="100"/>
  <c r="DF6" i="100"/>
  <c r="DC9" i="100"/>
  <c r="DO9" i="100" s="1"/>
  <c r="BE13" i="100"/>
  <c r="BQ13" i="100" s="1"/>
  <c r="DG20" i="100"/>
  <c r="BE25" i="100"/>
  <c r="AX13" i="100"/>
  <c r="BJ13" i="100" s="1"/>
  <c r="BB19" i="100"/>
  <c r="AX21" i="100"/>
  <c r="BJ21" i="100" s="1"/>
  <c r="BF21" i="100"/>
  <c r="BD28" i="100"/>
  <c r="BN6" i="100"/>
  <c r="AX12" i="100"/>
  <c r="BJ12" i="100" s="1"/>
  <c r="BF12" i="100"/>
  <c r="BE16" i="100"/>
  <c r="BE24" i="100"/>
  <c r="BA26" i="100"/>
  <c r="AY29" i="100"/>
  <c r="BK29" i="100" s="1"/>
  <c r="BF28" i="100"/>
  <c r="I25" i="96"/>
  <c r="BM6" i="100"/>
  <c r="BQ24" i="100"/>
  <c r="BL26" i="100"/>
  <c r="I19" i="96"/>
  <c r="DF2" i="100"/>
  <c r="BS23" i="100"/>
  <c r="DP24" i="100"/>
  <c r="BC2" i="100"/>
  <c r="DU11" i="100"/>
  <c r="BB12" i="100"/>
  <c r="BL21" i="100"/>
  <c r="I3" i="96"/>
  <c r="BC11" i="100"/>
  <c r="BO11" i="100" s="1"/>
  <c r="BC13" i="100"/>
  <c r="BM18" i="100"/>
  <c r="AX25" i="100"/>
  <c r="BJ25" i="100" s="1"/>
  <c r="BD29" i="100"/>
  <c r="BP29" i="100" s="1"/>
  <c r="I21" i="96"/>
  <c r="AY6" i="100"/>
  <c r="BK6" i="100" s="1"/>
  <c r="DP12" i="100"/>
  <c r="AX2" i="100"/>
  <c r="BF2" i="100"/>
  <c r="DP11" i="100"/>
  <c r="BQ12" i="100"/>
  <c r="BL24" i="100"/>
  <c r="AY26" i="100"/>
  <c r="BK26" i="100" s="1"/>
  <c r="I5" i="96"/>
  <c r="I11" i="96"/>
  <c r="DU9" i="100"/>
  <c r="DV13" i="100"/>
  <c r="BN21" i="100"/>
  <c r="BM25" i="100"/>
  <c r="DO11" i="100"/>
  <c r="DW11" i="100"/>
  <c r="AY18" i="100"/>
  <c r="BK18" i="100" s="1"/>
  <c r="BE5" i="100"/>
  <c r="BQ5" i="100" s="1"/>
  <c r="DI5" i="100"/>
  <c r="DF26" i="100"/>
  <c r="BB26" i="100"/>
  <c r="BN26" i="100" s="1"/>
  <c r="BD2" i="100"/>
  <c r="DC2" i="100"/>
  <c r="BG3" i="100"/>
  <c r="DG6" i="100"/>
  <c r="BO14" i="100"/>
  <c r="BM14" i="100"/>
  <c r="DQ30" i="100"/>
  <c r="BM25" i="101"/>
  <c r="DO3" i="100"/>
  <c r="BB4" i="100"/>
  <c r="BR12" i="100"/>
  <c r="BR17" i="101"/>
  <c r="BO25" i="101"/>
  <c r="BR27" i="101"/>
  <c r="BG2" i="100"/>
  <c r="DP7" i="100"/>
  <c r="DU7" i="100"/>
  <c r="BR14" i="100"/>
  <c r="AX16" i="100"/>
  <c r="BJ16" i="100" s="1"/>
  <c r="DB16" i="100"/>
  <c r="DN16" i="100" s="1"/>
  <c r="BF16" i="100"/>
  <c r="DJ16" i="100"/>
  <c r="DV19" i="100"/>
  <c r="DP19" i="100"/>
  <c r="BP25" i="101"/>
  <c r="DG2" i="100"/>
  <c r="DE3" i="100"/>
  <c r="DQ3" i="100" s="1"/>
  <c r="BC4" i="100"/>
  <c r="BP23" i="100"/>
  <c r="DE29" i="100"/>
  <c r="BE2" i="100"/>
  <c r="BQ2" i="100" s="1"/>
  <c r="BK13" i="100"/>
  <c r="BS13" i="100"/>
  <c r="DI21" i="100"/>
  <c r="BE21" i="100"/>
  <c r="BQ21" i="100" s="1"/>
  <c r="DO30" i="100"/>
  <c r="BK28" i="101"/>
  <c r="BB3" i="100"/>
  <c r="DO4" i="100"/>
  <c r="DW7" i="100"/>
  <c r="DF9" i="100"/>
  <c r="DR9" i="100" s="1"/>
  <c r="BB9" i="100"/>
  <c r="AY22" i="100"/>
  <c r="DC22" i="100"/>
  <c r="DO22" i="100" s="1"/>
  <c r="DK22" i="100"/>
  <c r="BG22" i="100"/>
  <c r="BJ23" i="100"/>
  <c r="BN23" i="100"/>
  <c r="BR23" i="100"/>
  <c r="BM26" i="100"/>
  <c r="DW30" i="100"/>
  <c r="BD5" i="100"/>
  <c r="DD5" i="100"/>
  <c r="BE6" i="100"/>
  <c r="BQ6" i="100" s="1"/>
  <c r="DH6" i="100"/>
  <c r="DC8" i="100"/>
  <c r="DK8" i="100"/>
  <c r="DW8" i="100" s="1"/>
  <c r="BA9" i="100"/>
  <c r="DG9" i="100"/>
  <c r="DS9" i="100" s="1"/>
  <c r="AY12" i="100"/>
  <c r="BK12" i="100" s="1"/>
  <c r="BG12" i="100"/>
  <c r="BS12" i="100" s="1"/>
  <c r="DE12" i="100"/>
  <c r="DQ12" i="100" s="1"/>
  <c r="DG12" i="100"/>
  <c r="DS12" i="100" s="1"/>
  <c r="BN13" i="100"/>
  <c r="AZ13" i="100"/>
  <c r="BL13" i="100" s="1"/>
  <c r="DF13" i="100"/>
  <c r="DR13" i="100" s="1"/>
  <c r="DI13" i="100"/>
  <c r="DU13" i="100" s="1"/>
  <c r="BF15" i="100"/>
  <c r="DH15" i="100"/>
  <c r="BD17" i="100"/>
  <c r="BP17" i="100" s="1"/>
  <c r="DF20" i="100"/>
  <c r="BR21" i="100"/>
  <c r="BD21" i="100"/>
  <c r="BP21" i="100" s="1"/>
  <c r="AX22" i="100"/>
  <c r="BJ22" i="100" s="1"/>
  <c r="BF22" i="100"/>
  <c r="DD22" i="100"/>
  <c r="DP22" i="100" s="1"/>
  <c r="DB23" i="100"/>
  <c r="DN23" i="100" s="1"/>
  <c r="DJ23" i="100"/>
  <c r="BF24" i="100"/>
  <c r="BR24" i="100" s="1"/>
  <c r="BN25" i="100"/>
  <c r="AZ25" i="100"/>
  <c r="BL25" i="100" s="1"/>
  <c r="BC27" i="100"/>
  <c r="BO27" i="100" s="1"/>
  <c r="DB27" i="100"/>
  <c r="DN27" i="100" s="1"/>
  <c r="DJ27" i="100"/>
  <c r="DD28" i="100"/>
  <c r="DC28" i="100"/>
  <c r="DH29" i="100"/>
  <c r="BA30" i="100"/>
  <c r="BQ7" i="101"/>
  <c r="BC10" i="101"/>
  <c r="BO10" i="101" s="1"/>
  <c r="BJ11" i="101"/>
  <c r="BQ12" i="101"/>
  <c r="BQ13" i="101"/>
  <c r="BD15" i="101"/>
  <c r="BC16" i="101"/>
  <c r="BO16" i="101" s="1"/>
  <c r="BC23" i="101"/>
  <c r="BO23" i="101" s="1"/>
  <c r="BM24" i="101"/>
  <c r="BQ28" i="101"/>
  <c r="BR28" i="101"/>
  <c r="BP29" i="101"/>
  <c r="DH4" i="100"/>
  <c r="BC6" i="100"/>
  <c r="BO6" i="100" s="1"/>
  <c r="BG6" i="100"/>
  <c r="BS6" i="100" s="1"/>
  <c r="BD8" i="100"/>
  <c r="DD8" i="100"/>
  <c r="DP8" i="100" s="1"/>
  <c r="DI8" i="100"/>
  <c r="DU8" i="100" s="1"/>
  <c r="BE9" i="100"/>
  <c r="DH9" i="100"/>
  <c r="AX10" i="100"/>
  <c r="BJ10" i="100" s="1"/>
  <c r="BF10" i="100"/>
  <c r="BD11" i="100"/>
  <c r="BP11" i="100" s="1"/>
  <c r="BN12" i="100"/>
  <c r="AZ12" i="100"/>
  <c r="BL12" i="100" s="1"/>
  <c r="DF12" i="100"/>
  <c r="DR12" i="100" s="1"/>
  <c r="DJ12" i="100"/>
  <c r="DV12" i="100" s="1"/>
  <c r="BO13" i="100"/>
  <c r="DH14" i="100"/>
  <c r="BD15" i="100"/>
  <c r="DI15" i="100"/>
  <c r="DD16" i="100"/>
  <c r="DP16" i="100" s="1"/>
  <c r="BE17" i="100"/>
  <c r="BQ17" i="100" s="1"/>
  <c r="BD18" i="100"/>
  <c r="BP18" i="100" s="1"/>
  <c r="AX19" i="100"/>
  <c r="BF19" i="100"/>
  <c r="DC19" i="100"/>
  <c r="DO19" i="100" s="1"/>
  <c r="DK19" i="100"/>
  <c r="DW19" i="100" s="1"/>
  <c r="AY20" i="100"/>
  <c r="BG20" i="100"/>
  <c r="DJ21" i="100"/>
  <c r="AZ23" i="100"/>
  <c r="BL23" i="100" s="1"/>
  <c r="AY24" i="100"/>
  <c r="BG24" i="100"/>
  <c r="DG25" i="100"/>
  <c r="DG26" i="100"/>
  <c r="BD27" i="100"/>
  <c r="AZ28" i="100"/>
  <c r="BA29" i="100"/>
  <c r="BM29" i="100" s="1"/>
  <c r="CB29" i="100" s="1" a="1"/>
  <c r="CB29" i="100" s="1"/>
  <c r="BC30" i="100"/>
  <c r="BF30" i="100"/>
  <c r="DG30" i="100"/>
  <c r="DS30" i="100" s="1"/>
  <c r="DF30" i="100"/>
  <c r="DR30" i="100" s="1"/>
  <c r="BS8" i="101"/>
  <c r="BO9" i="101"/>
  <c r="BR12" i="101"/>
  <c r="BD16" i="101"/>
  <c r="BP16" i="101" s="1"/>
  <c r="BB17" i="101"/>
  <c r="BN17" i="101" s="1"/>
  <c r="BC18" i="101"/>
  <c r="BO18" i="101" s="1"/>
  <c r="BC19" i="101"/>
  <c r="BO19" i="101" s="1"/>
  <c r="BP24" i="101"/>
  <c r="BL25" i="101"/>
  <c r="BN25" i="101"/>
  <c r="BK27" i="101"/>
  <c r="BS27" i="101"/>
  <c r="BQ29" i="101"/>
  <c r="DB6" i="100"/>
  <c r="DN6" i="100" s="1"/>
  <c r="BS10" i="100"/>
  <c r="BQ11" i="100"/>
  <c r="DW12" i="100"/>
  <c r="BR13" i="100"/>
  <c r="DH13" i="100"/>
  <c r="DT13" i="100" s="1"/>
  <c r="BP14" i="100"/>
  <c r="BS15" i="100"/>
  <c r="DE16" i="100"/>
  <c r="DQ16" i="100" s="1"/>
  <c r="DO16" i="100"/>
  <c r="BM23" i="100"/>
  <c r="CB23" i="100" s="1" a="1"/>
  <c r="CB23" i="100" s="1"/>
  <c r="BK23" i="100"/>
  <c r="DD23" i="100"/>
  <c r="DS24" i="100"/>
  <c r="DF24" i="100"/>
  <c r="BS25" i="100"/>
  <c r="DH25" i="100"/>
  <c r="BO26" i="100"/>
  <c r="DC27" i="100"/>
  <c r="DO27" i="100" s="1"/>
  <c r="BD4" i="100"/>
  <c r="AY5" i="100"/>
  <c r="BK5" i="100" s="1"/>
  <c r="BG5" i="100"/>
  <c r="BS5" i="100" s="1"/>
  <c r="DR7" i="100"/>
  <c r="AZ7" i="100"/>
  <c r="BB7" i="100"/>
  <c r="DH7" i="100"/>
  <c r="BD9" i="100"/>
  <c r="AZ10" i="100"/>
  <c r="BB10" i="100"/>
  <c r="DH10" i="100"/>
  <c r="DG11" i="100"/>
  <c r="DS11" i="100" s="1"/>
  <c r="DH12" i="100"/>
  <c r="DT12" i="100" s="1"/>
  <c r="BS14" i="100"/>
  <c r="AZ16" i="100"/>
  <c r="DG16" i="100"/>
  <c r="DS16" i="100" s="1"/>
  <c r="AY17" i="100"/>
  <c r="BK17" i="100" s="1"/>
  <c r="DH17" i="100"/>
  <c r="DK18" i="100"/>
  <c r="BK19" i="100"/>
  <c r="DI19" i="100"/>
  <c r="DU19" i="100" s="1"/>
  <c r="BS21" i="100"/>
  <c r="DD21" i="100"/>
  <c r="DP21" i="100" s="1"/>
  <c r="DB21" i="100"/>
  <c r="DO21" i="100" s="1"/>
  <c r="BP24" i="100"/>
  <c r="BP26" i="100"/>
  <c r="DG28" i="100"/>
  <c r="DK28" i="100"/>
  <c r="BN6" i="101"/>
  <c r="BN8" i="101"/>
  <c r="BM11" i="101"/>
  <c r="BC11" i="101"/>
  <c r="BO11" i="101" s="1"/>
  <c r="BL12" i="101"/>
  <c r="BN13" i="101"/>
  <c r="BQ15" i="101"/>
  <c r="BL19" i="101"/>
  <c r="BQ22" i="101"/>
  <c r="BN26" i="101"/>
  <c r="BO27" i="101"/>
  <c r="BB28" i="101"/>
  <c r="AZ5" i="100"/>
  <c r="BL5" i="100" s="1"/>
  <c r="BB5" i="100"/>
  <c r="BN5" i="100" s="1"/>
  <c r="DH5" i="100"/>
  <c r="DD6" i="100"/>
  <c r="DC6" i="100"/>
  <c r="AY8" i="100"/>
  <c r="BG8" i="100"/>
  <c r="DK9" i="100"/>
  <c r="DW9" i="100" s="1"/>
  <c r="BG11" i="100"/>
  <c r="BS11" i="100" s="1"/>
  <c r="DF11" i="100"/>
  <c r="DR11" i="100" s="1"/>
  <c r="DI12" i="100"/>
  <c r="DU12" i="100" s="1"/>
  <c r="BD13" i="100"/>
  <c r="BP13" i="100" s="1"/>
  <c r="DC14" i="100"/>
  <c r="DK14" i="100"/>
  <c r="DD15" i="100"/>
  <c r="DB15" i="100"/>
  <c r="DN15" i="100" s="1"/>
  <c r="DI16" i="100"/>
  <c r="DU16" i="100" s="1"/>
  <c r="AZ17" i="100"/>
  <c r="BL17" i="100" s="1"/>
  <c r="BG18" i="100"/>
  <c r="DC18" i="100"/>
  <c r="DS19" i="100"/>
  <c r="BA19" i="100"/>
  <c r="DF19" i="100"/>
  <c r="DR19" i="100" s="1"/>
  <c r="BB20" i="100"/>
  <c r="AY21" i="100"/>
  <c r="BK21" i="100" s="1"/>
  <c r="DK23" i="100"/>
  <c r="DW23" i="100" s="1"/>
  <c r="BD25" i="100"/>
  <c r="BP25" i="100" s="1"/>
  <c r="DB25" i="100"/>
  <c r="DU25" i="100" s="1"/>
  <c r="DJ25" i="100"/>
  <c r="BC28" i="100"/>
  <c r="DH28" i="100"/>
  <c r="BL3" i="101"/>
  <c r="BB3" i="101"/>
  <c r="BN3" i="101" s="1"/>
  <c r="BC8" i="101"/>
  <c r="BO8" i="101" s="1"/>
  <c r="BM13" i="101"/>
  <c r="BC13" i="101"/>
  <c r="BO13" i="101" s="1"/>
  <c r="BQ16" i="101"/>
  <c r="BM18" i="101"/>
  <c r="BQ24" i="101"/>
  <c r="BK25" i="101"/>
  <c r="BN27" i="101"/>
  <c r="BP27" i="101"/>
  <c r="BM28" i="101"/>
  <c r="BN29" i="101"/>
  <c r="DD4" i="100"/>
  <c r="DP4" i="100" s="1"/>
  <c r="DE6" i="100"/>
  <c r="AZ8" i="100"/>
  <c r="BB8" i="100"/>
  <c r="DH8" i="100"/>
  <c r="DT8" i="100" s="1"/>
  <c r="DD9" i="100"/>
  <c r="DP9" i="100" s="1"/>
  <c r="DB10" i="100"/>
  <c r="DN10" i="100" s="1"/>
  <c r="DJ10" i="100"/>
  <c r="BN11" i="100"/>
  <c r="AZ11" i="100"/>
  <c r="BL11" i="100" s="1"/>
  <c r="BD12" i="100"/>
  <c r="BP12" i="100" s="1"/>
  <c r="DC13" i="100"/>
  <c r="DO13" i="100" s="1"/>
  <c r="DK13" i="100"/>
  <c r="DW13" i="100" s="1"/>
  <c r="DB14" i="100"/>
  <c r="DN14" i="100" s="1"/>
  <c r="BN15" i="100"/>
  <c r="BL15" i="100"/>
  <c r="DE15" i="100"/>
  <c r="DT16" i="100"/>
  <c r="DB17" i="100"/>
  <c r="DN17" i="100" s="1"/>
  <c r="DJ17" i="100"/>
  <c r="DE18" i="100"/>
  <c r="DC20" i="100"/>
  <c r="DK20" i="100"/>
  <c r="BO21" i="100"/>
  <c r="BC22" i="100"/>
  <c r="BC24" i="100"/>
  <c r="DJ24" i="100"/>
  <c r="DV24" i="100" s="1"/>
  <c r="DK25" i="100"/>
  <c r="DW25" i="100" s="1"/>
  <c r="BF26" i="100"/>
  <c r="BR26" i="100" s="1"/>
  <c r="DK26" i="100"/>
  <c r="DW26" i="100" s="1"/>
  <c r="DG27" i="100"/>
  <c r="BD4" i="101"/>
  <c r="BD5" i="101"/>
  <c r="BD6" i="101"/>
  <c r="BD7" i="101"/>
  <c r="BD12" i="101"/>
  <c r="BP12" i="101" s="1"/>
  <c r="BS15" i="101"/>
  <c r="BQ18" i="101"/>
  <c r="BQ19" i="101"/>
  <c r="BK22" i="101"/>
  <c r="BS22" i="101"/>
  <c r="BD26" i="101"/>
  <c r="BP26" i="101" s="1"/>
  <c r="BM29" i="101"/>
  <c r="BC29" i="101"/>
  <c r="BO29" i="101" s="1"/>
  <c r="BB30" i="101"/>
  <c r="DB5" i="100"/>
  <c r="DN5" i="100" s="1"/>
  <c r="DJ5" i="100"/>
  <c r="BL6" i="100"/>
  <c r="DC7" i="100"/>
  <c r="DO7" i="100" s="1"/>
  <c r="BA8" i="100"/>
  <c r="DO10" i="100"/>
  <c r="BR11" i="100"/>
  <c r="DH11" i="100"/>
  <c r="DC12" i="100"/>
  <c r="DO12" i="100" s="1"/>
  <c r="DD13" i="100"/>
  <c r="DP13" i="100" s="1"/>
  <c r="BL14" i="100"/>
  <c r="BM15" i="100"/>
  <c r="AY15" i="100"/>
  <c r="BK15" i="100" s="1"/>
  <c r="DW16" i="100"/>
  <c r="DT19" i="100"/>
  <c r="DJ22" i="100"/>
  <c r="DV22" i="100" s="1"/>
  <c r="DK24" i="100"/>
  <c r="BR25" i="100"/>
  <c r="DD25" i="100"/>
  <c r="BS26" i="100"/>
  <c r="DP26" i="100"/>
  <c r="DH27" i="100"/>
  <c r="AX30" i="100"/>
  <c r="DD30" i="100"/>
  <c r="DP30" i="100" s="1"/>
  <c r="BR2" i="101"/>
  <c r="BD3" i="101"/>
  <c r="BM9" i="101"/>
  <c r="BB14" i="101"/>
  <c r="BN14" i="101" s="1"/>
  <c r="BR19" i="101"/>
  <c r="BN22" i="101"/>
  <c r="BS24" i="101"/>
  <c r="BQ25" i="101"/>
  <c r="BO28" i="101"/>
  <c r="BC30" i="101"/>
  <c r="E9" i="91"/>
  <c r="E8" i="91"/>
  <c r="E7" i="91"/>
  <c r="E6" i="91"/>
  <c r="BU21" i="101"/>
  <c r="CA20" i="101" s="1" a="1"/>
  <c r="CA20" i="101" s="1"/>
  <c r="A2" i="96"/>
  <c r="D2" i="96" s="1" a="1"/>
  <c r="A2" i="98"/>
  <c r="C21" i="98" s="1"/>
  <c r="F7" i="99"/>
  <c r="J7" i="99" s="1"/>
  <c r="C21" i="97" a="1"/>
  <c r="C21" i="97" s="1"/>
  <c r="E38" i="99"/>
  <c r="I38" i="99" s="1"/>
  <c r="E54" i="99"/>
  <c r="I54" i="99" s="1"/>
  <c r="CB6" i="100" a="1"/>
  <c r="CB6" i="100" s="1"/>
  <c r="E32" i="97" a="1"/>
  <c r="E54" i="97" s="1"/>
  <c r="F23" i="99"/>
  <c r="J23" i="99" s="1"/>
  <c r="C25" i="97" a="1"/>
  <c r="C25" i="97" s="1"/>
  <c r="D4" i="99"/>
  <c r="H4" i="99" s="1"/>
  <c r="D20" i="99"/>
  <c r="H20" i="99" s="1"/>
  <c r="C35" i="99"/>
  <c r="G35" i="99" s="1"/>
  <c r="C51" i="99"/>
  <c r="G51" i="99" s="1"/>
  <c r="C29" i="97" a="1"/>
  <c r="C29" i="97" s="1"/>
  <c r="F11" i="99"/>
  <c r="J11" i="99" s="1"/>
  <c r="F27" i="99"/>
  <c r="J27" i="99" s="1"/>
  <c r="E42" i="99"/>
  <c r="I42" i="99" s="1"/>
  <c r="D8" i="99"/>
  <c r="H8" i="99" s="1"/>
  <c r="D24" i="99"/>
  <c r="H24" i="99" s="1"/>
  <c r="C39" i="99"/>
  <c r="G39" i="99" s="1"/>
  <c r="C55" i="99"/>
  <c r="G55" i="99" s="1"/>
  <c r="C5" i="97" a="1"/>
  <c r="C5" i="97" s="1"/>
  <c r="F15" i="99"/>
  <c r="J15" i="99" s="1"/>
  <c r="F33" i="99"/>
  <c r="J33" i="99" s="1"/>
  <c r="E46" i="99"/>
  <c r="I46" i="99" s="1"/>
  <c r="CB18" i="100" a="1"/>
  <c r="CB18" i="100" s="1"/>
  <c r="C2" i="97" a="1"/>
  <c r="C2" i="97" s="1"/>
  <c r="C9" i="97" a="1"/>
  <c r="C9" i="97" s="1"/>
  <c r="D12" i="99"/>
  <c r="H12" i="99" s="1"/>
  <c r="D28" i="99"/>
  <c r="H28" i="99" s="1"/>
  <c r="C43" i="99"/>
  <c r="G43" i="99" s="1"/>
  <c r="D2" i="97" a="1"/>
  <c r="D24" i="97" s="1"/>
  <c r="C13" i="97" a="1"/>
  <c r="C13" i="97" s="1"/>
  <c r="F3" i="99"/>
  <c r="J3" i="99" s="1"/>
  <c r="F19" i="99"/>
  <c r="J19" i="99" s="1"/>
  <c r="E34" i="99"/>
  <c r="I34" i="99" s="1"/>
  <c r="E50" i="99"/>
  <c r="I50" i="99" s="1"/>
  <c r="E2" i="97" a="1"/>
  <c r="E20" i="97" s="1"/>
  <c r="C17" i="97" a="1"/>
  <c r="C17" i="97" s="1"/>
  <c r="D16" i="99"/>
  <c r="H16" i="99" s="1"/>
  <c r="C47" i="99"/>
  <c r="G47" i="99" s="1"/>
  <c r="BM2" i="100"/>
  <c r="C6" i="97" a="1"/>
  <c r="C6" i="97" s="1"/>
  <c r="C10" i="97" a="1"/>
  <c r="C10" i="97" s="1"/>
  <c r="C14" i="97" a="1"/>
  <c r="C14" i="97" s="1"/>
  <c r="C18" i="97" a="1"/>
  <c r="C18" i="97" s="1"/>
  <c r="C22" i="97" a="1"/>
  <c r="C22" i="97" s="1"/>
  <c r="C26" i="97" a="1"/>
  <c r="C26" i="97" s="1"/>
  <c r="C30" i="97" a="1"/>
  <c r="C30" i="97" s="1"/>
  <c r="D32" i="97" a="1"/>
  <c r="AO22" i="98"/>
  <c r="AM27" i="98"/>
  <c r="DV8" i="100"/>
  <c r="DO8" i="100"/>
  <c r="C3" i="97" a="1"/>
  <c r="C3" i="97" s="1"/>
  <c r="C7" i="97" a="1"/>
  <c r="C7" i="97" s="1"/>
  <c r="C11" i="97" a="1"/>
  <c r="C11" i="97" s="1"/>
  <c r="C15" i="97" a="1"/>
  <c r="C15" i="97" s="1"/>
  <c r="C19" i="97" a="1"/>
  <c r="C19" i="97" s="1"/>
  <c r="C23" i="97" a="1"/>
  <c r="C23" i="97" s="1"/>
  <c r="C27" i="97" a="1"/>
  <c r="C27" i="97" s="1"/>
  <c r="C32" i="97" a="1"/>
  <c r="AH22" i="98"/>
  <c r="AP22" i="98"/>
  <c r="BV19" i="100"/>
  <c r="BJ2" i="100"/>
  <c r="BO2" i="100"/>
  <c r="BR2" i="100"/>
  <c r="BP2" i="100"/>
  <c r="C4" i="97" a="1"/>
  <c r="C4" i="97" s="1"/>
  <c r="C8" i="97" a="1"/>
  <c r="C8" i="97" s="1"/>
  <c r="C12" i="97" a="1"/>
  <c r="C12" i="97" s="1"/>
  <c r="C16" i="97" a="1"/>
  <c r="C16" i="97" s="1"/>
  <c r="C20" i="97" a="1"/>
  <c r="C20" i="97" s="1"/>
  <c r="C24" i="97" a="1"/>
  <c r="C24" i="97" s="1"/>
  <c r="AJ22" i="98"/>
  <c r="DU6" i="100"/>
  <c r="BS2" i="100"/>
  <c r="E4" i="99"/>
  <c r="I4" i="99" s="1"/>
  <c r="C5" i="99"/>
  <c r="G5" i="99" s="1"/>
  <c r="E8" i="99"/>
  <c r="I8" i="99" s="1"/>
  <c r="C9" i="99"/>
  <c r="G9" i="99" s="1"/>
  <c r="E12" i="99"/>
  <c r="I12" i="99" s="1"/>
  <c r="C13" i="99"/>
  <c r="G13" i="99" s="1"/>
  <c r="E16" i="99"/>
  <c r="I16" i="99" s="1"/>
  <c r="C17" i="99"/>
  <c r="G17" i="99" s="1"/>
  <c r="E20" i="99"/>
  <c r="I20" i="99" s="1"/>
  <c r="C21" i="99"/>
  <c r="G21" i="99" s="1"/>
  <c r="E24" i="99"/>
  <c r="I24" i="99" s="1"/>
  <c r="C25" i="99"/>
  <c r="G25" i="99" s="1"/>
  <c r="E28" i="99"/>
  <c r="I28" i="99" s="1"/>
  <c r="C29" i="99"/>
  <c r="G29" i="99" s="1"/>
  <c r="F34" i="99"/>
  <c r="J34" i="99" s="1"/>
  <c r="D35" i="99"/>
  <c r="H35" i="99" s="1"/>
  <c r="F38" i="99"/>
  <c r="J38" i="99" s="1"/>
  <c r="D39" i="99"/>
  <c r="H39" i="99" s="1"/>
  <c r="F42" i="99"/>
  <c r="J42" i="99" s="1"/>
  <c r="D43" i="99"/>
  <c r="H43" i="99" s="1"/>
  <c r="F46" i="99"/>
  <c r="J46" i="99" s="1"/>
  <c r="D47" i="99"/>
  <c r="H47" i="99" s="1"/>
  <c r="F50" i="99"/>
  <c r="J50" i="99" s="1"/>
  <c r="D51" i="99"/>
  <c r="H51" i="99" s="1"/>
  <c r="F54" i="99"/>
  <c r="J54" i="99" s="1"/>
  <c r="D55" i="99"/>
  <c r="H55" i="99" s="1"/>
  <c r="DW3" i="100"/>
  <c r="DQ4" i="100"/>
  <c r="DV9" i="100"/>
  <c r="DT9" i="100"/>
  <c r="BC10" i="100"/>
  <c r="BO10" i="100" s="1"/>
  <c r="DG10" i="100"/>
  <c r="DS10" i="100" s="1"/>
  <c r="C61" i="99"/>
  <c r="G61" i="99" s="1"/>
  <c r="E60" i="99"/>
  <c r="I60" i="99" s="1"/>
  <c r="D60" i="99"/>
  <c r="H60" i="99" s="1"/>
  <c r="F59" i="99"/>
  <c r="J59" i="99" s="1"/>
  <c r="C60" i="99"/>
  <c r="G60" i="99" s="1"/>
  <c r="E59" i="99"/>
  <c r="I59" i="99" s="1"/>
  <c r="C59" i="99"/>
  <c r="G59" i="99" s="1"/>
  <c r="E58" i="99"/>
  <c r="I58" i="99" s="1"/>
  <c r="E61" i="99"/>
  <c r="I61" i="99" s="1"/>
  <c r="C58" i="99"/>
  <c r="G58" i="99" s="1"/>
  <c r="F4" i="99"/>
  <c r="J4" i="99" s="1"/>
  <c r="D5" i="99"/>
  <c r="H5" i="99" s="1"/>
  <c r="F8" i="99"/>
  <c r="J8" i="99" s="1"/>
  <c r="D9" i="99"/>
  <c r="H9" i="99" s="1"/>
  <c r="F12" i="99"/>
  <c r="J12" i="99" s="1"/>
  <c r="D13" i="99"/>
  <c r="H13" i="99" s="1"/>
  <c r="F16" i="99"/>
  <c r="J16" i="99" s="1"/>
  <c r="D17" i="99"/>
  <c r="H17" i="99" s="1"/>
  <c r="F20" i="99"/>
  <c r="J20" i="99" s="1"/>
  <c r="D21" i="99"/>
  <c r="H21" i="99" s="1"/>
  <c r="F24" i="99"/>
  <c r="J24" i="99" s="1"/>
  <c r="D25" i="99"/>
  <c r="H25" i="99" s="1"/>
  <c r="F28" i="99"/>
  <c r="J28" i="99" s="1"/>
  <c r="D29" i="99"/>
  <c r="H29" i="99" s="1"/>
  <c r="E35" i="99"/>
  <c r="I35" i="99" s="1"/>
  <c r="C36" i="99"/>
  <c r="G36" i="99" s="1"/>
  <c r="E39" i="99"/>
  <c r="I39" i="99" s="1"/>
  <c r="C40" i="99"/>
  <c r="G40" i="99" s="1"/>
  <c r="E43" i="99"/>
  <c r="I43" i="99" s="1"/>
  <c r="C44" i="99"/>
  <c r="G44" i="99" s="1"/>
  <c r="E47" i="99"/>
  <c r="I47" i="99" s="1"/>
  <c r="C48" i="99"/>
  <c r="G48" i="99" s="1"/>
  <c r="E51" i="99"/>
  <c r="I51" i="99" s="1"/>
  <c r="C52" i="99"/>
  <c r="G52" i="99" s="1"/>
  <c r="E55" i="99"/>
  <c r="I55" i="99" s="1"/>
  <c r="C56" i="99"/>
  <c r="G56" i="99" s="1"/>
  <c r="BC3" i="100"/>
  <c r="DG3" i="100"/>
  <c r="DS3" i="100" s="1"/>
  <c r="BA5" i="100"/>
  <c r="BM5" i="100" s="1"/>
  <c r="DE5" i="100"/>
  <c r="DQ5" i="100" s="1"/>
  <c r="DR6" i="100"/>
  <c r="DP6" i="100"/>
  <c r="DO6" i="100"/>
  <c r="C2" i="99"/>
  <c r="G2" i="99" s="1"/>
  <c r="E5" i="99"/>
  <c r="I5" i="99" s="1"/>
  <c r="C6" i="99"/>
  <c r="G6" i="99" s="1"/>
  <c r="E9" i="99"/>
  <c r="I9" i="99" s="1"/>
  <c r="C10" i="99"/>
  <c r="G10" i="99" s="1"/>
  <c r="E13" i="99"/>
  <c r="I13" i="99" s="1"/>
  <c r="C14" i="99"/>
  <c r="G14" i="99" s="1"/>
  <c r="E17" i="99"/>
  <c r="I17" i="99" s="1"/>
  <c r="C18" i="99"/>
  <c r="G18" i="99" s="1"/>
  <c r="E21" i="99"/>
  <c r="I21" i="99" s="1"/>
  <c r="C22" i="99"/>
  <c r="G22" i="99" s="1"/>
  <c r="E25" i="99"/>
  <c r="I25" i="99" s="1"/>
  <c r="C26" i="99"/>
  <c r="G26" i="99" s="1"/>
  <c r="E29" i="99"/>
  <c r="I29" i="99" s="1"/>
  <c r="C30" i="99"/>
  <c r="G30" i="99" s="1"/>
  <c r="F35" i="99"/>
  <c r="J35" i="99" s="1"/>
  <c r="D36" i="99"/>
  <c r="H36" i="99" s="1"/>
  <c r="F39" i="99"/>
  <c r="J39" i="99" s="1"/>
  <c r="D40" i="99"/>
  <c r="H40" i="99" s="1"/>
  <c r="F43" i="99"/>
  <c r="J43" i="99" s="1"/>
  <c r="D44" i="99"/>
  <c r="H44" i="99" s="1"/>
  <c r="F47" i="99"/>
  <c r="J47" i="99" s="1"/>
  <c r="D48" i="99"/>
  <c r="H48" i="99" s="1"/>
  <c r="F51" i="99"/>
  <c r="J51" i="99" s="1"/>
  <c r="D52" i="99"/>
  <c r="H52" i="99" s="1"/>
  <c r="F55" i="99"/>
  <c r="J55" i="99" s="1"/>
  <c r="D56" i="99"/>
  <c r="H56" i="99" s="1"/>
  <c r="D61" i="99"/>
  <c r="H61" i="99" s="1"/>
  <c r="CA2" i="100" a="1"/>
  <c r="AY2" i="100"/>
  <c r="DV3" i="100"/>
  <c r="DT3" i="100"/>
  <c r="DQ6" i="100"/>
  <c r="DG15" i="100"/>
  <c r="BC15" i="100"/>
  <c r="BO15" i="100" s="1"/>
  <c r="D2" i="99"/>
  <c r="H2" i="99" s="1"/>
  <c r="F5" i="99"/>
  <c r="J5" i="99" s="1"/>
  <c r="D6" i="99"/>
  <c r="H6" i="99" s="1"/>
  <c r="F9" i="99"/>
  <c r="J9" i="99" s="1"/>
  <c r="D10" i="99"/>
  <c r="H10" i="99" s="1"/>
  <c r="F13" i="99"/>
  <c r="J13" i="99" s="1"/>
  <c r="D14" i="99"/>
  <c r="H14" i="99" s="1"/>
  <c r="F17" i="99"/>
  <c r="J17" i="99" s="1"/>
  <c r="D18" i="99"/>
  <c r="H18" i="99" s="1"/>
  <c r="F21" i="99"/>
  <c r="J21" i="99" s="1"/>
  <c r="D22" i="99"/>
  <c r="H22" i="99" s="1"/>
  <c r="F25" i="99"/>
  <c r="J25" i="99" s="1"/>
  <c r="D26" i="99"/>
  <c r="H26" i="99" s="1"/>
  <c r="F29" i="99"/>
  <c r="J29" i="99" s="1"/>
  <c r="D30" i="99"/>
  <c r="H30" i="99" s="1"/>
  <c r="E36" i="99"/>
  <c r="I36" i="99" s="1"/>
  <c r="C37" i="99"/>
  <c r="G37" i="99" s="1"/>
  <c r="E40" i="99"/>
  <c r="I40" i="99" s="1"/>
  <c r="C41" i="99"/>
  <c r="G41" i="99" s="1"/>
  <c r="E44" i="99"/>
  <c r="I44" i="99" s="1"/>
  <c r="C45" i="99"/>
  <c r="G45" i="99" s="1"/>
  <c r="E48" i="99"/>
  <c r="I48" i="99" s="1"/>
  <c r="C49" i="99"/>
  <c r="G49" i="99" s="1"/>
  <c r="E52" i="99"/>
  <c r="I52" i="99" s="1"/>
  <c r="C53" i="99"/>
  <c r="G53" i="99" s="1"/>
  <c r="E56" i="99"/>
  <c r="I56" i="99" s="1"/>
  <c r="C57" i="99"/>
  <c r="G57" i="99" s="1"/>
  <c r="D58" i="99"/>
  <c r="H58" i="99" s="1"/>
  <c r="F61" i="99"/>
  <c r="J61" i="99" s="1"/>
  <c r="BL2" i="100"/>
  <c r="DV4" i="100"/>
  <c r="DT4" i="100"/>
  <c r="DU4" i="100"/>
  <c r="BC5" i="100"/>
  <c r="BO5" i="100" s="1"/>
  <c r="DG5" i="100"/>
  <c r="DW6" i="100"/>
  <c r="BA7" i="100"/>
  <c r="DE7" i="100"/>
  <c r="DQ7" i="100" s="1"/>
  <c r="DR8" i="100"/>
  <c r="BR10" i="100"/>
  <c r="DV10" i="100"/>
  <c r="AY11" i="100"/>
  <c r="BK11" i="100" s="1"/>
  <c r="DN22" i="100"/>
  <c r="DW22" i="100"/>
  <c r="DT22" i="100"/>
  <c r="E2" i="99"/>
  <c r="I2" i="99" s="1"/>
  <c r="C3" i="99"/>
  <c r="G3" i="99" s="1"/>
  <c r="E6" i="99"/>
  <c r="I6" i="99" s="1"/>
  <c r="C7" i="99"/>
  <c r="G7" i="99" s="1"/>
  <c r="E10" i="99"/>
  <c r="I10" i="99" s="1"/>
  <c r="C11" i="99"/>
  <c r="G11" i="99" s="1"/>
  <c r="E14" i="99"/>
  <c r="I14" i="99" s="1"/>
  <c r="C15" i="99"/>
  <c r="G15" i="99" s="1"/>
  <c r="E18" i="99"/>
  <c r="I18" i="99" s="1"/>
  <c r="C19" i="99"/>
  <c r="G19" i="99" s="1"/>
  <c r="E22" i="99"/>
  <c r="I22" i="99" s="1"/>
  <c r="C23" i="99"/>
  <c r="G23" i="99" s="1"/>
  <c r="E26" i="99"/>
  <c r="I26" i="99" s="1"/>
  <c r="C27" i="99"/>
  <c r="G27" i="99" s="1"/>
  <c r="E30" i="99"/>
  <c r="I30" i="99" s="1"/>
  <c r="C33" i="99"/>
  <c r="G33" i="99" s="1"/>
  <c r="F36" i="99"/>
  <c r="J36" i="99" s="1"/>
  <c r="D37" i="99"/>
  <c r="H37" i="99" s="1"/>
  <c r="F40" i="99"/>
  <c r="J40" i="99" s="1"/>
  <c r="D41" i="99"/>
  <c r="H41" i="99" s="1"/>
  <c r="F44" i="99"/>
  <c r="J44" i="99" s="1"/>
  <c r="D45" i="99"/>
  <c r="H45" i="99" s="1"/>
  <c r="F48" i="99"/>
  <c r="J48" i="99" s="1"/>
  <c r="D49" i="99"/>
  <c r="H49" i="99" s="1"/>
  <c r="F52" i="99"/>
  <c r="J52" i="99" s="1"/>
  <c r="D53" i="99"/>
  <c r="H53" i="99" s="1"/>
  <c r="F56" i="99"/>
  <c r="J56" i="99" s="1"/>
  <c r="D57" i="99"/>
  <c r="H57" i="99" s="1"/>
  <c r="F58" i="99"/>
  <c r="J58" i="99" s="1"/>
  <c r="BR5" i="100"/>
  <c r="BP5" i="100"/>
  <c r="DQ8" i="100"/>
  <c r="F2" i="99"/>
  <c r="J2" i="99" s="1"/>
  <c r="D3" i="99"/>
  <c r="H3" i="99" s="1"/>
  <c r="F6" i="99"/>
  <c r="J6" i="99" s="1"/>
  <c r="D7" i="99"/>
  <c r="H7" i="99" s="1"/>
  <c r="F10" i="99"/>
  <c r="J10" i="99" s="1"/>
  <c r="D11" i="99"/>
  <c r="H11" i="99" s="1"/>
  <c r="F14" i="99"/>
  <c r="J14" i="99" s="1"/>
  <c r="D15" i="99"/>
  <c r="H15" i="99" s="1"/>
  <c r="F18" i="99"/>
  <c r="J18" i="99" s="1"/>
  <c r="D19" i="99"/>
  <c r="H19" i="99" s="1"/>
  <c r="F22" i="99"/>
  <c r="J22" i="99" s="1"/>
  <c r="D23" i="99"/>
  <c r="H23" i="99" s="1"/>
  <c r="F26" i="99"/>
  <c r="J26" i="99" s="1"/>
  <c r="D27" i="99"/>
  <c r="H27" i="99" s="1"/>
  <c r="F30" i="99"/>
  <c r="J30" i="99" s="1"/>
  <c r="D33" i="99"/>
  <c r="H33" i="99" s="1"/>
  <c r="C34" i="99"/>
  <c r="G34" i="99" s="1"/>
  <c r="E37" i="99"/>
  <c r="I37" i="99" s="1"/>
  <c r="C38" i="99"/>
  <c r="G38" i="99" s="1"/>
  <c r="E41" i="99"/>
  <c r="I41" i="99" s="1"/>
  <c r="C42" i="99"/>
  <c r="G42" i="99" s="1"/>
  <c r="E45" i="99"/>
  <c r="I45" i="99" s="1"/>
  <c r="C46" i="99"/>
  <c r="G46" i="99" s="1"/>
  <c r="E49" i="99"/>
  <c r="I49" i="99" s="1"/>
  <c r="C50" i="99"/>
  <c r="G50" i="99" s="1"/>
  <c r="E53" i="99"/>
  <c r="I53" i="99" s="1"/>
  <c r="C54" i="99"/>
  <c r="G54" i="99" s="1"/>
  <c r="E57" i="99"/>
  <c r="I57" i="99" s="1"/>
  <c r="F60" i="99"/>
  <c r="J60" i="99" s="1"/>
  <c r="BN2" i="100"/>
  <c r="DV6" i="100"/>
  <c r="BP6" i="100"/>
  <c r="DT6" i="100"/>
  <c r="BC7" i="100"/>
  <c r="DG7" i="100"/>
  <c r="DS7" i="100" s="1"/>
  <c r="DE9" i="100"/>
  <c r="DQ9" i="100" s="1"/>
  <c r="BL10" i="100"/>
  <c r="DP10" i="100"/>
  <c r="DT11" i="100"/>
  <c r="E3" i="99"/>
  <c r="I3" i="99" s="1"/>
  <c r="C4" i="99"/>
  <c r="G4" i="99" s="1"/>
  <c r="E7" i="99"/>
  <c r="I7" i="99" s="1"/>
  <c r="C8" i="99"/>
  <c r="G8" i="99" s="1"/>
  <c r="E11" i="99"/>
  <c r="I11" i="99" s="1"/>
  <c r="C12" i="99"/>
  <c r="G12" i="99" s="1"/>
  <c r="E15" i="99"/>
  <c r="I15" i="99" s="1"/>
  <c r="C16" i="99"/>
  <c r="G16" i="99" s="1"/>
  <c r="E19" i="99"/>
  <c r="I19" i="99" s="1"/>
  <c r="C20" i="99"/>
  <c r="G20" i="99" s="1"/>
  <c r="E23" i="99"/>
  <c r="I23" i="99" s="1"/>
  <c r="C24" i="99"/>
  <c r="G24" i="99" s="1"/>
  <c r="E27" i="99"/>
  <c r="I27" i="99" s="1"/>
  <c r="C28" i="99"/>
  <c r="G28" i="99" s="1"/>
  <c r="E33" i="99"/>
  <c r="I33" i="99" s="1"/>
  <c r="D34" i="99"/>
  <c r="H34" i="99" s="1"/>
  <c r="F37" i="99"/>
  <c r="J37" i="99" s="1"/>
  <c r="D38" i="99"/>
  <c r="H38" i="99" s="1"/>
  <c r="F41" i="99"/>
  <c r="J41" i="99" s="1"/>
  <c r="D42" i="99"/>
  <c r="H42" i="99" s="1"/>
  <c r="F45" i="99"/>
  <c r="J45" i="99" s="1"/>
  <c r="D46" i="99"/>
  <c r="H46" i="99" s="1"/>
  <c r="F49" i="99"/>
  <c r="J49" i="99" s="1"/>
  <c r="D50" i="99"/>
  <c r="H50" i="99" s="1"/>
  <c r="F53" i="99"/>
  <c r="J53" i="99" s="1"/>
  <c r="D54" i="99"/>
  <c r="H54" i="99" s="1"/>
  <c r="F57" i="99"/>
  <c r="J57" i="99" s="1"/>
  <c r="DE2" i="100"/>
  <c r="DR3" i="100"/>
  <c r="DP3" i="100"/>
  <c r="DV7" i="100"/>
  <c r="DT7" i="100"/>
  <c r="BC8" i="100"/>
  <c r="DG8" i="100"/>
  <c r="DS8" i="100" s="1"/>
  <c r="BA10" i="100"/>
  <c r="BM10" i="100" s="1"/>
  <c r="BN10" i="100"/>
  <c r="DE10" i="100"/>
  <c r="DQ10" i="100" s="1"/>
  <c r="DU10" i="100"/>
  <c r="DN21" i="100"/>
  <c r="DR21" i="100"/>
  <c r="DB2" i="100"/>
  <c r="DN2" i="100" s="1"/>
  <c r="DJ2" i="100"/>
  <c r="AX3" i="100"/>
  <c r="BN3" i="100" s="1"/>
  <c r="BF3" i="100"/>
  <c r="AX4" i="100"/>
  <c r="BK4" i="100" s="1"/>
  <c r="BF4" i="100"/>
  <c r="BF6" i="100"/>
  <c r="BR6" i="100" s="1"/>
  <c r="AX7" i="100"/>
  <c r="BN7" i="100" s="1"/>
  <c r="BF7" i="100"/>
  <c r="BR7" i="100" s="1"/>
  <c r="AX8" i="100"/>
  <c r="BJ8" i="100" s="1"/>
  <c r="BF8" i="100"/>
  <c r="AX9" i="100"/>
  <c r="BF9" i="100"/>
  <c r="DE11" i="100"/>
  <c r="DQ11" i="100" s="1"/>
  <c r="DK15" i="100"/>
  <c r="DF16" i="100"/>
  <c r="DR16" i="100" s="1"/>
  <c r="DP17" i="100"/>
  <c r="BQ18" i="100"/>
  <c r="DI26" i="100"/>
  <c r="DU26" i="100" s="1"/>
  <c r="BE26" i="100"/>
  <c r="BQ26" i="100" s="1"/>
  <c r="BK24" i="101"/>
  <c r="BS30" i="101"/>
  <c r="BJ30" i="101"/>
  <c r="BK30" i="101"/>
  <c r="BR30" i="101"/>
  <c r="BA13" i="100"/>
  <c r="BM13" i="100" s="1"/>
  <c r="CB13" i="100" s="1" a="1"/>
  <c r="CB13" i="100" s="1"/>
  <c r="DU21" i="100"/>
  <c r="DW21" i="100"/>
  <c r="DQ22" i="100"/>
  <c r="BR27" i="100"/>
  <c r="BM5" i="101"/>
  <c r="BW18" i="101"/>
  <c r="BW17" i="101"/>
  <c r="BW16" i="101"/>
  <c r="BW15" i="101"/>
  <c r="BW14" i="101"/>
  <c r="BW13" i="101"/>
  <c r="BW12" i="101"/>
  <c r="BW11" i="101"/>
  <c r="BW8" i="101"/>
  <c r="BW7" i="101"/>
  <c r="BW6" i="101"/>
  <c r="BW5" i="101"/>
  <c r="BW4" i="101"/>
  <c r="BW3" i="101"/>
  <c r="BW2" i="101"/>
  <c r="BW9" i="101"/>
  <c r="BW10" i="101"/>
  <c r="BW19" i="100"/>
  <c r="DG14" i="100"/>
  <c r="BR15" i="100"/>
  <c r="BA16" i="100"/>
  <c r="DV16" i="100"/>
  <c r="DT23" i="100"/>
  <c r="DR23" i="100"/>
  <c r="DN25" i="100"/>
  <c r="DO25" i="100"/>
  <c r="DV25" i="100"/>
  <c r="BO3" i="101"/>
  <c r="BK5" i="101"/>
  <c r="BR5" i="101"/>
  <c r="BJ7" i="101"/>
  <c r="BS7" i="101"/>
  <c r="BR7" i="101"/>
  <c r="BA11" i="100"/>
  <c r="BM11" i="100" s="1"/>
  <c r="DV11" i="100"/>
  <c r="DF14" i="100"/>
  <c r="DR14" i="100" s="1"/>
  <c r="BB14" i="100"/>
  <c r="BN14" i="100" s="1"/>
  <c r="BB16" i="100"/>
  <c r="BG17" i="100"/>
  <c r="BS17" i="100" s="1"/>
  <c r="DT21" i="100"/>
  <c r="BK27" i="100"/>
  <c r="BS5" i="101"/>
  <c r="BK14" i="101"/>
  <c r="BJ14" i="101"/>
  <c r="BS14" i="101"/>
  <c r="BR14" i="101"/>
  <c r="BS17" i="101"/>
  <c r="BJ17" i="101"/>
  <c r="BK14" i="100"/>
  <c r="CB14" i="100" s="1" a="1"/>
  <c r="CB14" i="100" s="1"/>
  <c r="BQ14" i="100"/>
  <c r="DF17" i="100"/>
  <c r="BB17" i="100"/>
  <c r="BN17" i="100" s="1"/>
  <c r="DK17" i="100"/>
  <c r="DD18" i="100"/>
  <c r="AZ18" i="100"/>
  <c r="BL18" i="100" s="1"/>
  <c r="BR18" i="100"/>
  <c r="DV23" i="100"/>
  <c r="DN24" i="100"/>
  <c r="DR24" i="100"/>
  <c r="DO24" i="100"/>
  <c r="DN26" i="100"/>
  <c r="BK12" i="101"/>
  <c r="DF15" i="100"/>
  <c r="DR15" i="100" s="1"/>
  <c r="BA17" i="100"/>
  <c r="BM17" i="100" s="1"/>
  <c r="BS18" i="100"/>
  <c r="DQ21" i="100"/>
  <c r="DQ26" i="100"/>
  <c r="DO26" i="100"/>
  <c r="BJ3" i="101"/>
  <c r="BP3" i="101"/>
  <c r="BM3" i="101"/>
  <c r="BR3" i="101"/>
  <c r="BA12" i="100"/>
  <c r="BM12" i="100" s="1"/>
  <c r="CB12" i="100" s="1" a="1"/>
  <c r="CB12" i="100" s="1"/>
  <c r="DE13" i="100"/>
  <c r="DQ13" i="100" s="1"/>
  <c r="BP15" i="100"/>
  <c r="DE17" i="100"/>
  <c r="BE23" i="100"/>
  <c r="BQ23" i="100" s="1"/>
  <c r="DI23" i="100"/>
  <c r="DU23" i="100" s="1"/>
  <c r="BC23" i="100"/>
  <c r="BO23" i="100" s="1"/>
  <c r="DQ24" i="100"/>
  <c r="DV26" i="100"/>
  <c r="DE19" i="100"/>
  <c r="DQ19" i="100" s="1"/>
  <c r="BA20" i="100"/>
  <c r="DE20" i="100"/>
  <c r="BA21" i="100"/>
  <c r="BM21" i="100" s="1"/>
  <c r="DF22" i="100"/>
  <c r="DR22" i="100" s="1"/>
  <c r="BB22" i="100"/>
  <c r="AZ22" i="100"/>
  <c r="DG22" i="100"/>
  <c r="DS22" i="100" s="1"/>
  <c r="BO24" i="100"/>
  <c r="DS26" i="100"/>
  <c r="BM27" i="100"/>
  <c r="BN27" i="100"/>
  <c r="DQ27" i="100"/>
  <c r="DI29" i="100"/>
  <c r="BE29" i="100"/>
  <c r="BQ29" i="100" s="1"/>
  <c r="BC29" i="100"/>
  <c r="BO29" i="100" s="1"/>
  <c r="BP4" i="101"/>
  <c r="BM4" i="101"/>
  <c r="BR4" i="101"/>
  <c r="BK4" i="101"/>
  <c r="BK7" i="101"/>
  <c r="BM14" i="101"/>
  <c r="BO14" i="101"/>
  <c r="BC17" i="100"/>
  <c r="BO17" i="100" s="1"/>
  <c r="BC19" i="100"/>
  <c r="DP23" i="100"/>
  <c r="DT24" i="100"/>
  <c r="DU24" i="100"/>
  <c r="DP25" i="100"/>
  <c r="DT26" i="100"/>
  <c r="DG29" i="100"/>
  <c r="BP5" i="101"/>
  <c r="BK9" i="101"/>
  <c r="BO30" i="101"/>
  <c r="DG17" i="100"/>
  <c r="DS17" i="100" s="1"/>
  <c r="BC18" i="100"/>
  <c r="BO18" i="100" s="1"/>
  <c r="BC20" i="100"/>
  <c r="DG21" i="100"/>
  <c r="DS21" i="100" s="1"/>
  <c r="DQ23" i="100"/>
  <c r="DE25" i="100"/>
  <c r="DQ25" i="100" s="1"/>
  <c r="DF25" i="100"/>
  <c r="DR25" i="100" s="1"/>
  <c r="DI27" i="100"/>
  <c r="BE27" i="100"/>
  <c r="BQ27" i="100" s="1"/>
  <c r="BS27" i="100"/>
  <c r="BK30" i="100"/>
  <c r="BQ3" i="101"/>
  <c r="BL4" i="101"/>
  <c r="BN4" i="101"/>
  <c r="BO5" i="101"/>
  <c r="BL5" i="101"/>
  <c r="BP6" i="101"/>
  <c r="BM6" i="101"/>
  <c r="BR6" i="101"/>
  <c r="BK6" i="101"/>
  <c r="BM8" i="101"/>
  <c r="BL17" i="101"/>
  <c r="DB20" i="100"/>
  <c r="DW20" i="100" s="1"/>
  <c r="AX20" i="100"/>
  <c r="BK20" i="100" s="1"/>
  <c r="DJ20" i="100"/>
  <c r="BF20" i="100"/>
  <c r="BP20" i="100"/>
  <c r="CB24" i="100" a="1"/>
  <c r="CB24" i="100" s="1"/>
  <c r="DI22" i="100"/>
  <c r="DU22" i="100" s="1"/>
  <c r="BE22" i="100"/>
  <c r="BQ22" i="100" s="1"/>
  <c r="BP27" i="100"/>
  <c r="BR29" i="100"/>
  <c r="BS29" i="100"/>
  <c r="BP7" i="101"/>
  <c r="BD16" i="100"/>
  <c r="BR17" i="100"/>
  <c r="CB17" i="100" a="1"/>
  <c r="CB17" i="100" s="1"/>
  <c r="DB18" i="100"/>
  <c r="DQ18" i="100" s="1"/>
  <c r="DJ18" i="100"/>
  <c r="CB21" i="100" a="1"/>
  <c r="CB21" i="100" s="1"/>
  <c r="DG23" i="100"/>
  <c r="DS23" i="100" s="1"/>
  <c r="BK24" i="100"/>
  <c r="BS24" i="100"/>
  <c r="DW24" i="100"/>
  <c r="BO25" i="100"/>
  <c r="DR26" i="100"/>
  <c r="DB28" i="100"/>
  <c r="DS28" i="100" s="1"/>
  <c r="AX28" i="100"/>
  <c r="BM28" i="100" s="1"/>
  <c r="DB29" i="100"/>
  <c r="DT29" i="100" s="1"/>
  <c r="DJ29" i="100"/>
  <c r="DI30" i="100"/>
  <c r="DU30" i="100" s="1"/>
  <c r="BE30" i="100"/>
  <c r="BQ30" i="100" s="1"/>
  <c r="BK3" i="101"/>
  <c r="BQ5" i="101"/>
  <c r="BO7" i="101"/>
  <c r="BL7" i="101"/>
  <c r="BR8" i="101"/>
  <c r="BR10" i="101"/>
  <c r="BQ17" i="101"/>
  <c r="DI28" i="100"/>
  <c r="BE28" i="100"/>
  <c r="BB28" i="100"/>
  <c r="BK2" i="101"/>
  <c r="BS10" i="101"/>
  <c r="BB16" i="101"/>
  <c r="BN16" i="101" s="1"/>
  <c r="BZ7" i="101" a="1"/>
  <c r="BZ7" i="101" s="1"/>
  <c r="AZ27" i="100"/>
  <c r="BL27" i="100" s="1"/>
  <c r="DD27" i="100"/>
  <c r="BR30" i="100"/>
  <c r="DV30" i="100"/>
  <c r="BK8" i="101"/>
  <c r="BK10" i="101"/>
  <c r="BL14" i="101"/>
  <c r="BL30" i="101"/>
  <c r="BQ2" i="101"/>
  <c r="BN5" i="101"/>
  <c r="BN7" i="101"/>
  <c r="BD9" i="101"/>
  <c r="BP9" i="101" s="1"/>
  <c r="BO17" i="101"/>
  <c r="AZ29" i="100"/>
  <c r="BL29" i="100" s="1"/>
  <c r="DD29" i="100"/>
  <c r="BB2" i="101"/>
  <c r="BN2" i="101" s="1"/>
  <c r="BQ4" i="101"/>
  <c r="BQ6" i="101"/>
  <c r="BQ8" i="101"/>
  <c r="BQ10" i="101"/>
  <c r="BR11" i="101"/>
  <c r="BQ14" i="101"/>
  <c r="BJ23" i="101"/>
  <c r="BS23" i="101"/>
  <c r="BR23" i="101"/>
  <c r="BK23" i="101"/>
  <c r="BD28" i="101"/>
  <c r="BP28" i="101" s="1"/>
  <c r="BB15" i="101"/>
  <c r="BN15" i="101" s="1"/>
  <c r="BP17" i="101"/>
  <c r="BL18" i="101"/>
  <c r="BM19" i="101"/>
  <c r="BK20" i="101"/>
  <c r="BM21" i="101"/>
  <c r="BP23" i="101"/>
  <c r="BL27" i="101"/>
  <c r="BP30" i="101"/>
  <c r="BP11" i="101"/>
  <c r="BB12" i="101"/>
  <c r="BN12" i="101" s="1"/>
  <c r="BP15" i="101"/>
  <c r="BM17" i="101"/>
  <c r="BN23" i="101"/>
  <c r="BR26" i="101"/>
  <c r="BM30" i="101"/>
  <c r="BQ11" i="101"/>
  <c r="BP14" i="101"/>
  <c r="BL15" i="101"/>
  <c r="BK19" i="101"/>
  <c r="BS20" i="101"/>
  <c r="BQ23" i="101"/>
  <c r="BK26" i="101"/>
  <c r="BS26" i="101"/>
  <c r="BO26" i="101"/>
  <c r="BQ30" i="101"/>
  <c r="BK17" i="101"/>
  <c r="BO21" i="101"/>
  <c r="BL22" i="101"/>
  <c r="BR25" i="101"/>
  <c r="BS25" i="101"/>
  <c r="BM26" i="101"/>
  <c r="BQ27" i="101"/>
  <c r="BL28" i="101"/>
  <c r="BN28" i="101"/>
  <c r="BK29" i="101"/>
  <c r="BK16" i="101"/>
  <c r="BN30" i="101"/>
  <c r="CB30" i="101" a="1"/>
  <c r="CB30" i="101" s="1"/>
  <c r="J3" i="94" s="1"/>
  <c r="DS14" i="100" l="1"/>
  <c r="BR8" i="100"/>
  <c r="CB10" i="100" a="1"/>
  <c r="CB10" i="100" s="1"/>
  <c r="I2" i="94" s="1"/>
  <c r="DT20" i="100"/>
  <c r="CB5" i="100" a="1"/>
  <c r="CB5" i="100" s="1"/>
  <c r="BK25" i="100"/>
  <c r="CB25" i="100" s="1" a="1"/>
  <c r="CB25" i="100" s="1"/>
  <c r="BQ25" i="100"/>
  <c r="CB15" i="100" a="1"/>
  <c r="CB15" i="100" s="1"/>
  <c r="DQ14" i="100"/>
  <c r="BK10" i="100"/>
  <c r="DS4" i="100"/>
  <c r="DR4" i="100"/>
  <c r="DV5" i="100"/>
  <c r="BM16" i="100"/>
  <c r="DS5" i="100"/>
  <c r="CB26" i="100" a="1"/>
  <c r="CB26" i="100" s="1"/>
  <c r="BO12" i="100"/>
  <c r="DW4" i="100"/>
  <c r="BZ10" i="101" a="1"/>
  <c r="BZ10" i="101" s="1"/>
  <c r="CB10" i="101" a="1"/>
  <c r="CB10" i="101" s="1"/>
  <c r="I3" i="94" s="1"/>
  <c r="BZ28" i="101" a="1"/>
  <c r="BZ28" i="101" s="1"/>
  <c r="CA28" i="101" a="1"/>
  <c r="CA28" i="101" s="1"/>
  <c r="CA30" i="101" a="1"/>
  <c r="CA30" i="101" s="1"/>
  <c r="BZ20" i="101" a="1"/>
  <c r="BZ20" i="101" s="1"/>
  <c r="BZ5" i="101" a="1"/>
  <c r="BZ5" i="101" s="1"/>
  <c r="BZ18" i="101" a="1"/>
  <c r="BZ18" i="101" s="1"/>
  <c r="CB5" i="101" a="1"/>
  <c r="CB5" i="101" s="1"/>
  <c r="BZ16" i="101" a="1"/>
  <c r="BZ16" i="101" s="1"/>
  <c r="BZ11" i="101" a="1"/>
  <c r="BZ11" i="101" s="1"/>
  <c r="BZ26" i="101" a="1"/>
  <c r="BZ26" i="101" s="1"/>
  <c r="CB24" i="101" a="1"/>
  <c r="CB24" i="101" s="1"/>
  <c r="BZ30" i="101" a="1"/>
  <c r="BZ30" i="101" s="1"/>
  <c r="BZ3" i="101" a="1"/>
  <c r="BZ3" i="101" s="1"/>
  <c r="CB6" i="101" a="1"/>
  <c r="CB6" i="101" s="1"/>
  <c r="CB14" i="101" a="1"/>
  <c r="CB14" i="101" s="1"/>
  <c r="CA15" i="101" a="1"/>
  <c r="CA15" i="101" s="1"/>
  <c r="CA27" i="101" a="1"/>
  <c r="CA27" i="101" s="1"/>
  <c r="CB22" i="101" a="1"/>
  <c r="CB22" i="101" s="1"/>
  <c r="CA22" i="101" a="1"/>
  <c r="CA22" i="101" s="1"/>
  <c r="CA24" i="101" a="1"/>
  <c r="CA24" i="101" s="1"/>
  <c r="BZ8" i="101" a="1"/>
  <c r="BZ8" i="101" s="1"/>
  <c r="CB7" i="101" a="1"/>
  <c r="CB7" i="101" s="1"/>
  <c r="CA19" i="101" a="1"/>
  <c r="CA19" i="101" s="1"/>
  <c r="CB4" i="101" a="1"/>
  <c r="CB4" i="101" s="1"/>
  <c r="CB12" i="101" a="1"/>
  <c r="CB12" i="101" s="1"/>
  <c r="CA2" i="101" a="1"/>
  <c r="CA2" i="101" s="1"/>
  <c r="BZ25" i="101" a="1"/>
  <c r="BZ25" i="101" s="1"/>
  <c r="BZ22" i="101" a="1"/>
  <c r="BZ22" i="101" s="1"/>
  <c r="CB25" i="101" a="1"/>
  <c r="CB25" i="101" s="1"/>
  <c r="BZ12" i="101" a="1"/>
  <c r="BZ12" i="101" s="1"/>
  <c r="CA5" i="101" a="1"/>
  <c r="CA5" i="101" s="1"/>
  <c r="BZ29" i="101" a="1"/>
  <c r="BZ29" i="101" s="1"/>
  <c r="CB23" i="101" a="1"/>
  <c r="CB23" i="101" s="1"/>
  <c r="CB21" i="101" a="1"/>
  <c r="CB21" i="101" s="1"/>
  <c r="CA29" i="101" a="1"/>
  <c r="CA29" i="101" s="1"/>
  <c r="CB2" i="101" a="1"/>
  <c r="CB2" i="101" s="1"/>
  <c r="CB20" i="101" a="1"/>
  <c r="CB20" i="101" s="1"/>
  <c r="BZ27" i="101" a="1"/>
  <c r="BZ27" i="101" s="1"/>
  <c r="CA23" i="101" a="1"/>
  <c r="CA23" i="101" s="1"/>
  <c r="CB16" i="101" a="1"/>
  <c r="CB16" i="101" s="1"/>
  <c r="CB17" i="101" a="1"/>
  <c r="CB17" i="101" s="1"/>
  <c r="CB18" i="101" a="1"/>
  <c r="CB18" i="101" s="1"/>
  <c r="CA21" i="101" a="1"/>
  <c r="CA21" i="101" s="1"/>
  <c r="BZ21" i="101" a="1"/>
  <c r="BZ21" i="101" s="1"/>
  <c r="CB19" i="101" a="1"/>
  <c r="CB19" i="101" s="1"/>
  <c r="CB3" i="101" a="1"/>
  <c r="CB3" i="101" s="1"/>
  <c r="BZ24" i="101" a="1"/>
  <c r="BZ24" i="101" s="1"/>
  <c r="CA12" i="101" a="1"/>
  <c r="CA12" i="101" s="1"/>
  <c r="CB27" i="101" a="1"/>
  <c r="CB27" i="101" s="1"/>
  <c r="BZ13" i="101" a="1"/>
  <c r="BZ13" i="101" s="1"/>
  <c r="CA25" i="101" a="1"/>
  <c r="CA25" i="101" s="1"/>
  <c r="E15" i="98"/>
  <c r="D9" i="98"/>
  <c r="D11" i="98"/>
  <c r="BZ19" i="101" a="1"/>
  <c r="BZ19" i="101" s="1"/>
  <c r="CB29" i="101" a="1"/>
  <c r="CB29" i="101" s="1"/>
  <c r="CB13" i="101" a="1"/>
  <c r="CB13" i="101" s="1"/>
  <c r="CB11" i="101" a="1"/>
  <c r="CB11" i="101" s="1"/>
  <c r="CB28" i="101" a="1"/>
  <c r="CB28" i="101" s="1"/>
  <c r="BZ23" i="101" a="1"/>
  <c r="BZ23" i="101" s="1"/>
  <c r="CA26" i="101" a="1"/>
  <c r="CA26" i="101" s="1"/>
  <c r="CA4" i="101" a="1"/>
  <c r="CA4" i="101" s="1"/>
  <c r="CA18" i="101" a="1"/>
  <c r="CA18" i="101" s="1"/>
  <c r="BZ14" i="101" a="1"/>
  <c r="BZ14" i="101" s="1"/>
  <c r="CA13" i="101" a="1"/>
  <c r="CA13" i="101" s="1"/>
  <c r="E5" i="98"/>
  <c r="CA11" i="101" a="1"/>
  <c r="CA11" i="101" s="1"/>
  <c r="D22" i="98"/>
  <c r="C27" i="98"/>
  <c r="C5" i="98"/>
  <c r="D20" i="98"/>
  <c r="D27" i="98"/>
  <c r="C7" i="98"/>
  <c r="E13" i="98"/>
  <c r="C28" i="98"/>
  <c r="C17" i="98"/>
  <c r="C19" i="98"/>
  <c r="D28" i="98"/>
  <c r="C9" i="98"/>
  <c r="E19" i="98"/>
  <c r="C15" i="98"/>
  <c r="D2" i="98"/>
  <c r="D25" i="98"/>
  <c r="D4" i="98"/>
  <c r="E11" i="98"/>
  <c r="C3" i="98"/>
  <c r="E21" i="98"/>
  <c r="E25" i="98"/>
  <c r="E3" i="98"/>
  <c r="E17" i="98"/>
  <c r="C23" i="98"/>
  <c r="D19" i="98"/>
  <c r="BR3" i="100"/>
  <c r="BN4" i="100"/>
  <c r="DV17" i="100"/>
  <c r="BN20" i="100"/>
  <c r="DR5" i="100"/>
  <c r="DO23" i="100"/>
  <c r="DT28" i="100"/>
  <c r="DV20" i="100"/>
  <c r="BN28" i="100"/>
  <c r="DS2" i="100"/>
  <c r="DV14" i="100"/>
  <c r="DO5" i="100"/>
  <c r="DT10" i="100"/>
  <c r="BO30" i="100"/>
  <c r="BR22" i="100"/>
  <c r="BQ10" i="100"/>
  <c r="DV21" i="100"/>
  <c r="BJ19" i="100"/>
  <c r="BL19" i="100"/>
  <c r="BK22" i="100"/>
  <c r="BS19" i="100"/>
  <c r="DO17" i="100"/>
  <c r="BO28" i="100"/>
  <c r="CB27" i="100" a="1"/>
  <c r="CB27" i="100" s="1"/>
  <c r="DW15" i="100"/>
  <c r="BP7" i="100"/>
  <c r="DP15" i="100"/>
  <c r="BP22" i="100"/>
  <c r="DT17" i="100"/>
  <c r="DT25" i="100"/>
  <c r="CB9" i="101" a="1"/>
  <c r="CB9" i="101" s="1"/>
  <c r="BQ28" i="100"/>
  <c r="BR28" i="100"/>
  <c r="BR20" i="100"/>
  <c r="DP28" i="100"/>
  <c r="BO19" i="100"/>
  <c r="DS15" i="100"/>
  <c r="DQ15" i="100"/>
  <c r="BM19" i="100"/>
  <c r="CB19" i="100" s="1" a="1"/>
  <c r="CB19" i="100" s="1"/>
  <c r="DW14" i="100"/>
  <c r="BM22" i="100"/>
  <c r="CB22" i="100" s="1" a="1"/>
  <c r="CB22" i="100" s="1"/>
  <c r="BM30" i="100"/>
  <c r="CB30" i="100" s="1" a="1"/>
  <c r="CB30" i="100" s="1"/>
  <c r="J2" i="94" s="1"/>
  <c r="DW10" i="100"/>
  <c r="BQ16" i="100"/>
  <c r="DP27" i="100"/>
  <c r="BR19" i="100"/>
  <c r="CB8" i="101" a="1"/>
  <c r="CB8" i="101" s="1"/>
  <c r="DT27" i="100"/>
  <c r="DW27" i="100"/>
  <c r="DU20" i="100"/>
  <c r="DS20" i="100"/>
  <c r="DO14" i="100"/>
  <c r="DR10" i="100"/>
  <c r="BS16" i="100"/>
  <c r="DU15" i="100"/>
  <c r="DU14" i="100"/>
  <c r="BO16" i="100"/>
  <c r="DS27" i="100"/>
  <c r="DV27" i="100"/>
  <c r="DW17" i="100"/>
  <c r="BM9" i="100"/>
  <c r="BJ30" i="100"/>
  <c r="BL30" i="100"/>
  <c r="BL16" i="100"/>
  <c r="BK16" i="100"/>
  <c r="CB16" i="100" s="1" a="1"/>
  <c r="CB16" i="100" s="1"/>
  <c r="DS25" i="100"/>
  <c r="DV15" i="100"/>
  <c r="DU5" i="100"/>
  <c r="DU27" i="100"/>
  <c r="CB26" i="101" a="1"/>
  <c r="CB26" i="101" s="1"/>
  <c r="DU29" i="100"/>
  <c r="BL22" i="100"/>
  <c r="DU17" i="100"/>
  <c r="BN16" i="100"/>
  <c r="BS22" i="100"/>
  <c r="BN30" i="100"/>
  <c r="DT5" i="100"/>
  <c r="BS30" i="100"/>
  <c r="DT14" i="100"/>
  <c r="DT15" i="100"/>
  <c r="DP5" i="100"/>
  <c r="BP10" i="100"/>
  <c r="DP29" i="100"/>
  <c r="BP19" i="100"/>
  <c r="DV29" i="100"/>
  <c r="BP16" i="100"/>
  <c r="BO22" i="100"/>
  <c r="DR27" i="100"/>
  <c r="BN22" i="100"/>
  <c r="DQ17" i="100"/>
  <c r="BR16" i="100"/>
  <c r="DR17" i="100"/>
  <c r="DQ29" i="100"/>
  <c r="DV2" i="100"/>
  <c r="CB11" i="100" a="1"/>
  <c r="CB11" i="100" s="1"/>
  <c r="BQ19" i="100"/>
  <c r="DP14" i="100"/>
  <c r="BP30" i="100"/>
  <c r="DO15" i="100"/>
  <c r="DW5" i="100"/>
  <c r="DS6" i="100"/>
  <c r="BN19" i="100"/>
  <c r="CA9" i="101" a="1"/>
  <c r="CA9" i="101" s="1"/>
  <c r="CA10" i="101" a="1"/>
  <c r="CA10" i="101" s="1"/>
  <c r="F2" i="96" a="1"/>
  <c r="F5" i="96" s="1"/>
  <c r="BZ17" i="101" a="1"/>
  <c r="BZ17" i="101" s="1"/>
  <c r="CA6" i="101" a="1"/>
  <c r="CA6" i="101" s="1"/>
  <c r="CB15" i="101" a="1"/>
  <c r="CB15" i="101" s="1"/>
  <c r="BZ4" i="101" a="1"/>
  <c r="BZ4" i="101" s="1"/>
  <c r="CA16" i="101" a="1"/>
  <c r="CA16" i="101" s="1"/>
  <c r="C29" i="98"/>
  <c r="G2" i="96" a="1"/>
  <c r="G23" i="96" s="1"/>
  <c r="CA3" i="101" a="1"/>
  <c r="CA3" i="101" s="1"/>
  <c r="BZ2" i="101" a="1"/>
  <c r="BZ2" i="101" s="1"/>
  <c r="CA14" i="101" a="1"/>
  <c r="CA14" i="101" s="1"/>
  <c r="CA7" i="101" a="1"/>
  <c r="CA7" i="101" s="1"/>
  <c r="BZ15" i="101" a="1"/>
  <c r="BZ15" i="101" s="1"/>
  <c r="CA8" i="101" a="1"/>
  <c r="CA8" i="101" s="1"/>
  <c r="BZ9" i="101" a="1"/>
  <c r="BZ9" i="101" s="1"/>
  <c r="E45" i="97"/>
  <c r="CA17" i="101" a="1"/>
  <c r="CA17" i="101" s="1"/>
  <c r="BZ6" i="101" a="1"/>
  <c r="BZ6" i="101" s="1"/>
  <c r="E60" i="97"/>
  <c r="D12" i="96"/>
  <c r="D5" i="96"/>
  <c r="D14" i="96"/>
  <c r="C10" i="98"/>
  <c r="D21" i="98"/>
  <c r="C26" i="98"/>
  <c r="E23" i="98"/>
  <c r="E16" i="98"/>
  <c r="D16" i="98"/>
  <c r="C8" i="98"/>
  <c r="D7" i="98"/>
  <c r="E14" i="98"/>
  <c r="E24" i="98"/>
  <c r="E9" i="98"/>
  <c r="D17" i="98"/>
  <c r="E29" i="98"/>
  <c r="C24" i="98"/>
  <c r="C13" i="98"/>
  <c r="D12" i="98"/>
  <c r="E7" i="98"/>
  <c r="D3" i="98"/>
  <c r="C11" i="98"/>
  <c r="D6" i="98"/>
  <c r="D10" i="98"/>
  <c r="C22" i="98"/>
  <c r="C6" i="98"/>
  <c r="D13" i="98"/>
  <c r="D26" i="98"/>
  <c r="E27" i="98"/>
  <c r="E12" i="98"/>
  <c r="D8" i="98"/>
  <c r="C20" i="98"/>
  <c r="C4" i="98"/>
  <c r="E10" i="98"/>
  <c r="C2" i="96" a="1"/>
  <c r="C25" i="96" s="1"/>
  <c r="C18" i="98"/>
  <c r="C2" i="98"/>
  <c r="D5" i="98"/>
  <c r="E26" i="98"/>
  <c r="D24" i="98"/>
  <c r="E8" i="98"/>
  <c r="C16" i="98"/>
  <c r="E28" i="98"/>
  <c r="E22" i="98"/>
  <c r="E6" i="98"/>
  <c r="D14" i="98"/>
  <c r="D18" i="98"/>
  <c r="C14" i="98"/>
  <c r="C25" i="98"/>
  <c r="D29" i="98"/>
  <c r="D23" i="98"/>
  <c r="E20" i="98"/>
  <c r="E4" i="98"/>
  <c r="C12" i="98"/>
  <c r="D15" i="98"/>
  <c r="E18" i="98"/>
  <c r="E2" i="98"/>
  <c r="D21" i="96"/>
  <c r="E59" i="97"/>
  <c r="D20" i="96"/>
  <c r="E50" i="97"/>
  <c r="D28" i="96"/>
  <c r="E52" i="97"/>
  <c r="E42" i="97"/>
  <c r="E57" i="97"/>
  <c r="E40" i="97"/>
  <c r="E34" i="97"/>
  <c r="E49" i="97"/>
  <c r="E32" i="97"/>
  <c r="E46" i="97"/>
  <c r="E38" i="97"/>
  <c r="E47" i="97"/>
  <c r="E39" i="97"/>
  <c r="E53" i="97"/>
  <c r="E37" i="97"/>
  <c r="E58" i="97"/>
  <c r="E44" i="97"/>
  <c r="E51" i="97"/>
  <c r="E41" i="97"/>
  <c r="D7" i="96"/>
  <c r="E18" i="97"/>
  <c r="E36" i="97"/>
  <c r="E43" i="97"/>
  <c r="E33" i="97"/>
  <c r="E56" i="97"/>
  <c r="D17" i="96"/>
  <c r="E55" i="97"/>
  <c r="E35" i="97"/>
  <c r="E21" i="97"/>
  <c r="E48" i="97"/>
  <c r="D2" i="96"/>
  <c r="E15" i="97"/>
  <c r="E12" i="97"/>
  <c r="D23" i="96"/>
  <c r="D3" i="96"/>
  <c r="E25" i="97"/>
  <c r="D16" i="96"/>
  <c r="D11" i="96"/>
  <c r="E17" i="97"/>
  <c r="E16" i="97"/>
  <c r="E22" i="97"/>
  <c r="D29" i="96"/>
  <c r="D27" i="96"/>
  <c r="E9" i="97"/>
  <c r="E8" i="97"/>
  <c r="D9" i="96"/>
  <c r="D4" i="96"/>
  <c r="E10" i="97"/>
  <c r="D30" i="96"/>
  <c r="D18" i="96"/>
  <c r="D15" i="96"/>
  <c r="D25" i="96"/>
  <c r="D19" i="96"/>
  <c r="D6" i="96"/>
  <c r="D8" i="96"/>
  <c r="D10" i="96"/>
  <c r="D13" i="96"/>
  <c r="D22" i="96"/>
  <c r="D24" i="96"/>
  <c r="D26" i="96"/>
  <c r="E7" i="97"/>
  <c r="E30" i="97"/>
  <c r="E28" i="97"/>
  <c r="D29" i="97"/>
  <c r="D21" i="97"/>
  <c r="D20" i="97"/>
  <c r="E13" i="97"/>
  <c r="E4" i="97"/>
  <c r="D30" i="97"/>
  <c r="D13" i="97"/>
  <c r="D12" i="97"/>
  <c r="E5" i="97"/>
  <c r="D2" i="97"/>
  <c r="D22" i="97"/>
  <c r="D4" i="97"/>
  <c r="D27" i="97"/>
  <c r="D14" i="97"/>
  <c r="D17" i="97"/>
  <c r="D19" i="97"/>
  <c r="D9" i="97"/>
  <c r="E2" i="97"/>
  <c r="D23" i="97"/>
  <c r="D6" i="97"/>
  <c r="D5" i="97"/>
  <c r="E14" i="97"/>
  <c r="D11" i="97"/>
  <c r="D26" i="97"/>
  <c r="D16" i="97"/>
  <c r="D15" i="97"/>
  <c r="E6" i="97"/>
  <c r="D3" i="97"/>
  <c r="D18" i="97"/>
  <c r="D8" i="97"/>
  <c r="D7" i="97"/>
  <c r="E24" i="97"/>
  <c r="E23" i="97"/>
  <c r="D28" i="97"/>
  <c r="E29" i="97"/>
  <c r="D10" i="97"/>
  <c r="D25" i="97"/>
  <c r="E26" i="97"/>
  <c r="E27" i="97"/>
  <c r="E19" i="97"/>
  <c r="E3" i="97"/>
  <c r="E11" i="97"/>
  <c r="DS29" i="100"/>
  <c r="DT18" i="100"/>
  <c r="DO18" i="100"/>
  <c r="DW18" i="100"/>
  <c r="DP18" i="100"/>
  <c r="BJ3" i="100"/>
  <c r="BQ3" i="100"/>
  <c r="BP4" i="100"/>
  <c r="BP3" i="100"/>
  <c r="BS3" i="100"/>
  <c r="BM4" i="100"/>
  <c r="CB4" i="100" s="1" a="1"/>
  <c r="CB4" i="100" s="1"/>
  <c r="BM3" i="100"/>
  <c r="C58" i="97"/>
  <c r="C50" i="97"/>
  <c r="C42" i="97"/>
  <c r="C34" i="97"/>
  <c r="C57" i="97"/>
  <c r="C49" i="97"/>
  <c r="C41" i="97"/>
  <c r="C33" i="97"/>
  <c r="C56" i="97"/>
  <c r="C48" i="97"/>
  <c r="C40" i="97"/>
  <c r="C32" i="97"/>
  <c r="C43" i="97"/>
  <c r="C55" i="97"/>
  <c r="C47" i="97"/>
  <c r="C39" i="97"/>
  <c r="C54" i="97"/>
  <c r="C46" i="97"/>
  <c r="C38" i="97"/>
  <c r="C35" i="97"/>
  <c r="C53" i="97"/>
  <c r="C45" i="97"/>
  <c r="C37" i="97"/>
  <c r="C51" i="97"/>
  <c r="C60" i="97"/>
  <c r="C52" i="97"/>
  <c r="C44" i="97"/>
  <c r="C36" i="97"/>
  <c r="C59" i="97"/>
  <c r="DU2" i="100"/>
  <c r="BL20" i="100"/>
  <c r="BJ20" i="100"/>
  <c r="BL3" i="100"/>
  <c r="BO3" i="100"/>
  <c r="DN29" i="100"/>
  <c r="DW29" i="100"/>
  <c r="DP20" i="100"/>
  <c r="DN20" i="100"/>
  <c r="BO20" i="100"/>
  <c r="DQ20" i="100"/>
  <c r="BS20" i="100"/>
  <c r="DP2" i="100"/>
  <c r="BK9" i="100"/>
  <c r="CB9" i="100" s="1" a="1"/>
  <c r="CB9" i="100" s="1"/>
  <c r="BM7" i="100"/>
  <c r="BZ2" i="100" a="1"/>
  <c r="BK2" i="100"/>
  <c r="CB2" i="100" s="1" a="1"/>
  <c r="CB2" i="100" s="1"/>
  <c r="DT2" i="100"/>
  <c r="BP8" i="100"/>
  <c r="BJ28" i="100"/>
  <c r="BK28" i="100"/>
  <c r="CB28" i="100" s="1" a="1"/>
  <c r="CB28" i="100" s="1"/>
  <c r="BS28" i="100"/>
  <c r="BP28" i="100"/>
  <c r="BM20" i="100"/>
  <c r="CB20" i="100" s="1" a="1"/>
  <c r="CB20" i="100" s="1"/>
  <c r="BJ7" i="100"/>
  <c r="BQ7" i="100"/>
  <c r="BO8" i="100"/>
  <c r="DQ2" i="100"/>
  <c r="BN9" i="100"/>
  <c r="BL9" i="100"/>
  <c r="DR2" i="100"/>
  <c r="CA25" i="100"/>
  <c r="CA17" i="100"/>
  <c r="CA9" i="100"/>
  <c r="CA24" i="100"/>
  <c r="CA16" i="100"/>
  <c r="CA8" i="100"/>
  <c r="CA23" i="100"/>
  <c r="CA15" i="100"/>
  <c r="CA7" i="100"/>
  <c r="CA30" i="100"/>
  <c r="CA22" i="100"/>
  <c r="CA14" i="100"/>
  <c r="CA6" i="100"/>
  <c r="CA29" i="100"/>
  <c r="CA21" i="100"/>
  <c r="CA13" i="100"/>
  <c r="CA5" i="100"/>
  <c r="CA27" i="100"/>
  <c r="CA19" i="100"/>
  <c r="CA11" i="100"/>
  <c r="CA3" i="100"/>
  <c r="CA12" i="100"/>
  <c r="CA10" i="100"/>
  <c r="CA4" i="100"/>
  <c r="CA2" i="100"/>
  <c r="CA28" i="100"/>
  <c r="CA26" i="100"/>
  <c r="CA20" i="100"/>
  <c r="CA18" i="100"/>
  <c r="BP9" i="100"/>
  <c r="BL4" i="100"/>
  <c r="DN18" i="100"/>
  <c r="DS18" i="100"/>
  <c r="DR18" i="100"/>
  <c r="DN28" i="100"/>
  <c r="DO28" i="100"/>
  <c r="DW28" i="100"/>
  <c r="DU18" i="100"/>
  <c r="DO29" i="100"/>
  <c r="BL7" i="100"/>
  <c r="DO2" i="100"/>
  <c r="BQ8" i="100"/>
  <c r="BS7" i="100"/>
  <c r="BJ9" i="100"/>
  <c r="BQ9" i="100"/>
  <c r="BL28" i="100"/>
  <c r="DR20" i="100"/>
  <c r="BR4" i="100"/>
  <c r="DO20" i="100"/>
  <c r="BN8" i="100"/>
  <c r="BS8" i="100"/>
  <c r="BS9" i="100"/>
  <c r="BK3" i="100"/>
  <c r="CB3" i="100" s="1" a="1"/>
  <c r="CB3" i="100" s="1"/>
  <c r="BK7" i="100"/>
  <c r="DW2" i="100"/>
  <c r="DU28" i="100"/>
  <c r="DV18" i="100"/>
  <c r="DQ28" i="100"/>
  <c r="DR28" i="100"/>
  <c r="BQ20" i="100"/>
  <c r="DV28" i="100"/>
  <c r="DR29" i="100"/>
  <c r="BR9" i="100"/>
  <c r="BJ4" i="100"/>
  <c r="BQ4" i="100"/>
  <c r="BO7" i="100"/>
  <c r="BM8" i="100"/>
  <c r="BL8" i="100"/>
  <c r="BS4" i="100"/>
  <c r="BK8" i="100"/>
  <c r="CB8" i="100" s="1" a="1"/>
  <c r="CB8" i="100" s="1"/>
  <c r="BO9" i="100"/>
  <c r="BO4" i="100"/>
  <c r="D60" i="97"/>
  <c r="D52" i="97"/>
  <c r="D44" i="97"/>
  <c r="D36" i="97"/>
  <c r="D59" i="97"/>
  <c r="D51" i="97"/>
  <c r="D43" i="97"/>
  <c r="D35" i="97"/>
  <c r="D45" i="97"/>
  <c r="D58" i="97"/>
  <c r="D50" i="97"/>
  <c r="D42" i="97"/>
  <c r="D34" i="97"/>
  <c r="D37" i="97"/>
  <c r="D57" i="97"/>
  <c r="D49" i="97"/>
  <c r="D41" i="97"/>
  <c r="D33" i="97"/>
  <c r="D56" i="97"/>
  <c r="D48" i="97"/>
  <c r="D40" i="97"/>
  <c r="D32" i="97"/>
  <c r="D53" i="97"/>
  <c r="D55" i="97"/>
  <c r="D47" i="97"/>
  <c r="D39" i="97"/>
  <c r="D54" i="97"/>
  <c r="D46" i="97"/>
  <c r="D38" i="97"/>
  <c r="F7" i="96" l="1"/>
  <c r="F20" i="96"/>
  <c r="F27" i="96"/>
  <c r="F30" i="96"/>
  <c r="F26" i="96"/>
  <c r="F15" i="96"/>
  <c r="F3" i="96"/>
  <c r="F24" i="96"/>
  <c r="F22" i="96"/>
  <c r="F9" i="96"/>
  <c r="F12" i="96"/>
  <c r="F4" i="96"/>
  <c r="F13" i="96"/>
  <c r="F6" i="96"/>
  <c r="F10" i="96"/>
  <c r="F19" i="96"/>
  <c r="F8" i="96"/>
  <c r="F25" i="96"/>
  <c r="F17" i="96"/>
  <c r="F14" i="96"/>
  <c r="F21" i="96"/>
  <c r="G20" i="96"/>
  <c r="G12" i="96"/>
  <c r="G14" i="96"/>
  <c r="G29" i="96"/>
  <c r="CB7" i="100" a="1"/>
  <c r="CB7" i="100" s="1"/>
  <c r="G27" i="96"/>
  <c r="H27" i="96" s="1"/>
  <c r="G26" i="96"/>
  <c r="G25" i="96"/>
  <c r="G3" i="96"/>
  <c r="G16" i="96"/>
  <c r="G8" i="96"/>
  <c r="G4" i="96"/>
  <c r="G6" i="96"/>
  <c r="G9" i="96"/>
  <c r="G18" i="96"/>
  <c r="F18" i="96"/>
  <c r="F2" i="96"/>
  <c r="G15" i="96"/>
  <c r="G13" i="96"/>
  <c r="G7" i="96"/>
  <c r="H7" i="96" s="1"/>
  <c r="F11" i="96"/>
  <c r="F28" i="96"/>
  <c r="F16" i="96"/>
  <c r="F29" i="96"/>
  <c r="F23" i="96"/>
  <c r="H23" i="96" s="1"/>
  <c r="G5" i="96"/>
  <c r="H5" i="96" s="1"/>
  <c r="G10" i="96"/>
  <c r="G24" i="96"/>
  <c r="G21" i="96"/>
  <c r="G11" i="96"/>
  <c r="G28" i="96"/>
  <c r="G22" i="96"/>
  <c r="G17" i="96"/>
  <c r="H17" i="96" s="1"/>
  <c r="G30" i="96"/>
  <c r="G2" i="96"/>
  <c r="G19" i="96"/>
  <c r="E25" i="96"/>
  <c r="C26" i="96"/>
  <c r="E26" i="96" s="1"/>
  <c r="C10" i="96"/>
  <c r="E10" i="96" s="1"/>
  <c r="C6" i="96"/>
  <c r="E6" i="96" s="1"/>
  <c r="C7" i="96"/>
  <c r="E7" i="96" s="1"/>
  <c r="C28" i="96"/>
  <c r="E28" i="96" s="1"/>
  <c r="C22" i="96"/>
  <c r="E22" i="96" s="1"/>
  <c r="C11" i="96"/>
  <c r="E11" i="96" s="1"/>
  <c r="C5" i="96"/>
  <c r="E5" i="96" s="1"/>
  <c r="C24" i="96"/>
  <c r="E24" i="96" s="1"/>
  <c r="C20" i="96"/>
  <c r="E20" i="96" s="1"/>
  <c r="C12" i="96"/>
  <c r="E12" i="96" s="1"/>
  <c r="C8" i="96"/>
  <c r="E8" i="96" s="1"/>
  <c r="C17" i="96"/>
  <c r="E17" i="96" s="1"/>
  <c r="C23" i="96"/>
  <c r="E23" i="96" s="1"/>
  <c r="C30" i="96"/>
  <c r="E30" i="96" s="1"/>
  <c r="C21" i="96"/>
  <c r="E21" i="96" s="1"/>
  <c r="C15" i="96"/>
  <c r="E15" i="96" s="1"/>
  <c r="C9" i="96"/>
  <c r="E9" i="96" s="1"/>
  <c r="C14" i="96"/>
  <c r="E14" i="96" s="1"/>
  <c r="C18" i="96"/>
  <c r="E18" i="96" s="1"/>
  <c r="C4" i="96"/>
  <c r="E4" i="96" s="1"/>
  <c r="C3" i="96"/>
  <c r="E3" i="96" s="1"/>
  <c r="C19" i="96"/>
  <c r="E19" i="96" s="1"/>
  <c r="C16" i="96"/>
  <c r="E16" i="96" s="1"/>
  <c r="C2" i="96"/>
  <c r="E2" i="96" s="1"/>
  <c r="C13" i="96"/>
  <c r="E13" i="96" s="1"/>
  <c r="C29" i="96"/>
  <c r="E29" i="96" s="1"/>
  <c r="C27" i="96"/>
  <c r="E27" i="96" s="1"/>
  <c r="BZ23" i="100"/>
  <c r="BZ15" i="100"/>
  <c r="BZ7" i="100"/>
  <c r="BZ30" i="100"/>
  <c r="BZ22" i="100"/>
  <c r="BZ14" i="100"/>
  <c r="BZ6" i="100"/>
  <c r="BZ29" i="100"/>
  <c r="BZ21" i="100"/>
  <c r="BZ13" i="100"/>
  <c r="BZ5" i="100"/>
  <c r="BZ28" i="100"/>
  <c r="BZ20" i="100"/>
  <c r="BZ12" i="100"/>
  <c r="BZ27" i="100"/>
  <c r="BZ19" i="100"/>
  <c r="BZ11" i="100"/>
  <c r="BZ3" i="100"/>
  <c r="BZ25" i="100"/>
  <c r="BZ17" i="100"/>
  <c r="BZ9" i="100"/>
  <c r="BZ10" i="100"/>
  <c r="BZ8" i="100"/>
  <c r="BZ4" i="100"/>
  <c r="BZ2" i="100"/>
  <c r="BZ26" i="100"/>
  <c r="BZ24" i="100"/>
  <c r="BZ18" i="100"/>
  <c r="BZ16" i="100"/>
  <c r="H20" i="96" l="1"/>
  <c r="H22" i="96"/>
  <c r="H13" i="96"/>
  <c r="H8" i="96"/>
  <c r="H14" i="96"/>
  <c r="H30" i="96"/>
  <c r="H12" i="96"/>
  <c r="H15" i="96"/>
  <c r="H25" i="96"/>
  <c r="H9" i="96"/>
  <c r="H10" i="96"/>
  <c r="H3" i="96"/>
  <c r="H26" i="96"/>
  <c r="H21" i="96"/>
  <c r="H6" i="96"/>
  <c r="H19" i="96"/>
  <c r="H24" i="96"/>
  <c r="H4" i="96"/>
  <c r="H28" i="96"/>
  <c r="H18" i="96"/>
  <c r="H29" i="96"/>
  <c r="H16" i="96"/>
  <c r="H11" i="96"/>
  <c r="H2" i="96"/>
  <c r="B31" i="92"/>
  <c r="B30" i="92"/>
  <c r="B29" i="92"/>
  <c r="B28" i="92"/>
  <c r="B27" i="92"/>
  <c r="B26" i="92"/>
  <c r="B25" i="92"/>
  <c r="B24" i="92"/>
  <c r="B23" i="92"/>
  <c r="B22" i="92"/>
  <c r="B21" i="92"/>
  <c r="B20" i="92"/>
  <c r="B19" i="92"/>
  <c r="B18" i="92"/>
  <c r="B17" i="92"/>
  <c r="B16" i="92"/>
  <c r="B15" i="92"/>
  <c r="B14" i="92"/>
  <c r="B13" i="92"/>
  <c r="B12" i="92"/>
  <c r="B11" i="92"/>
  <c r="B10" i="92"/>
  <c r="B9" i="92"/>
  <c r="B8" i="92"/>
  <c r="B7" i="92"/>
  <c r="B6" i="92"/>
  <c r="B5" i="92"/>
  <c r="B4" i="92"/>
  <c r="C3" i="91" l="1"/>
  <c r="M37" i="88" l="1"/>
  <c r="D3" i="78"/>
  <c r="D4" i="78"/>
  <c r="D5" i="78"/>
  <c r="D6" i="78"/>
  <c r="D7" i="78"/>
  <c r="D8" i="78"/>
  <c r="D9" i="78"/>
  <c r="D10" i="78"/>
  <c r="D11" i="78"/>
  <c r="D12" i="78"/>
  <c r="D13" i="78"/>
  <c r="D14" i="78"/>
  <c r="D15" i="78"/>
  <c r="D16" i="78"/>
  <c r="D17" i="78"/>
  <c r="D18" i="78"/>
  <c r="D19" i="78"/>
  <c r="D20" i="78"/>
  <c r="D21" i="78"/>
  <c r="D22" i="78"/>
  <c r="D23" i="78"/>
  <c r="D24" i="78"/>
  <c r="D25" i="78"/>
  <c r="D26" i="78"/>
  <c r="D27" i="78"/>
  <c r="D28" i="78"/>
  <c r="D29" i="78"/>
  <c r="D30" i="78"/>
  <c r="D31" i="78"/>
  <c r="D32" i="78"/>
  <c r="D33" i="78"/>
  <c r="D34" i="78"/>
  <c r="D35" i="78"/>
  <c r="D36" i="78"/>
  <c r="D37" i="78"/>
  <c r="D38" i="78"/>
  <c r="D39" i="78"/>
  <c r="D40" i="78"/>
  <c r="D41" i="78"/>
  <c r="D42" i="78"/>
  <c r="D43" i="78"/>
  <c r="D44" i="78"/>
  <c r="D45" i="78"/>
  <c r="D46" i="78"/>
  <c r="D47" i="78"/>
  <c r="D48" i="78"/>
  <c r="D49" i="78"/>
  <c r="D50" i="78"/>
  <c r="D51" i="78"/>
  <c r="D52" i="78"/>
  <c r="D53" i="78"/>
  <c r="D54" i="78"/>
  <c r="D55" i="78"/>
  <c r="D56" i="78"/>
  <c r="D57" i="78"/>
  <c r="D58" i="78"/>
  <c r="D59" i="78"/>
  <c r="D60" i="78"/>
  <c r="D61" i="78"/>
  <c r="D62" i="78"/>
  <c r="D63" i="78"/>
  <c r="D64" i="78"/>
  <c r="D65" i="78"/>
  <c r="D66" i="78"/>
  <c r="D67" i="78"/>
  <c r="D68" i="78"/>
  <c r="D69" i="78"/>
  <c r="D70" i="78"/>
  <c r="D71" i="78"/>
  <c r="D72" i="78"/>
  <c r="D73" i="78"/>
  <c r="D74" i="78"/>
  <c r="D75" i="78"/>
  <c r="D76" i="78"/>
  <c r="D77" i="78"/>
  <c r="D78" i="78"/>
  <c r="D79" i="78"/>
  <c r="D80" i="78"/>
  <c r="D81" i="78"/>
  <c r="D82" i="78"/>
  <c r="D83" i="78"/>
  <c r="D84" i="78"/>
  <c r="D85" i="78"/>
  <c r="D86" i="78"/>
  <c r="D87" i="78"/>
  <c r="D88" i="78"/>
  <c r="D89" i="78"/>
  <c r="D90" i="78"/>
  <c r="D91" i="78"/>
  <c r="D92" i="78"/>
  <c r="D93" i="78"/>
  <c r="D94" i="78"/>
  <c r="D95" i="78"/>
  <c r="D96" i="78"/>
  <c r="D97" i="78"/>
  <c r="D98" i="78"/>
  <c r="D99" i="78"/>
  <c r="D100" i="78"/>
  <c r="D101" i="78"/>
  <c r="D102" i="78"/>
  <c r="D103" i="78"/>
  <c r="D104" i="78"/>
  <c r="D105" i="78"/>
  <c r="D106" i="78"/>
  <c r="D107" i="78"/>
  <c r="D108" i="78"/>
  <c r="D109" i="78"/>
  <c r="D110" i="78"/>
  <c r="D111" i="78"/>
  <c r="D112" i="78"/>
  <c r="D113" i="78"/>
  <c r="D114" i="78"/>
  <c r="D115" i="78"/>
  <c r="D116" i="78"/>
  <c r="D117" i="78"/>
  <c r="D118" i="78"/>
  <c r="D119" i="78"/>
  <c r="D120" i="78"/>
  <c r="D121" i="78"/>
  <c r="D122" i="78"/>
  <c r="D123" i="78"/>
  <c r="D124" i="78"/>
  <c r="D125" i="78"/>
  <c r="D126" i="78"/>
  <c r="D127" i="78"/>
  <c r="D128" i="78"/>
  <c r="D129" i="78"/>
  <c r="D130" i="78"/>
  <c r="D131" i="78"/>
  <c r="D132" i="78"/>
  <c r="D133" i="78"/>
  <c r="D134" i="78"/>
  <c r="D135" i="78"/>
  <c r="D136" i="78"/>
  <c r="D137" i="78"/>
  <c r="D138" i="78"/>
  <c r="D139" i="78"/>
  <c r="D140" i="78"/>
  <c r="D141" i="78"/>
  <c r="D142" i="78"/>
  <c r="D143" i="78"/>
  <c r="D144" i="78"/>
  <c r="D145" i="78"/>
  <c r="D146" i="78"/>
  <c r="D147" i="78"/>
  <c r="D148" i="78"/>
  <c r="D149" i="78"/>
  <c r="D150" i="78"/>
  <c r="D151" i="78"/>
  <c r="D152" i="78"/>
  <c r="D153" i="78"/>
  <c r="D154" i="78"/>
  <c r="D155" i="78"/>
  <c r="D156" i="78"/>
  <c r="D157" i="78"/>
  <c r="D158" i="78"/>
  <c r="D159" i="78"/>
  <c r="D160" i="78"/>
  <c r="D161" i="78"/>
  <c r="D162" i="78"/>
  <c r="D163" i="78"/>
  <c r="D164" i="78"/>
  <c r="D165" i="78"/>
  <c r="D166" i="78"/>
  <c r="D167" i="78"/>
  <c r="D168" i="78"/>
  <c r="D169" i="78"/>
  <c r="D170" i="78"/>
  <c r="D171" i="78"/>
  <c r="D172" i="78"/>
  <c r="D173" i="78"/>
  <c r="D174" i="78"/>
  <c r="D175" i="78"/>
  <c r="D176" i="78"/>
  <c r="D177" i="78"/>
  <c r="D178" i="78"/>
  <c r="D179" i="78"/>
  <c r="D180" i="78"/>
  <c r="D181" i="78"/>
  <c r="D182" i="78"/>
  <c r="D183" i="78"/>
  <c r="D184" i="78"/>
  <c r="D185" i="78"/>
  <c r="D186" i="78"/>
  <c r="D187" i="78"/>
  <c r="D188" i="78"/>
  <c r="D189" i="78"/>
  <c r="D190" i="78"/>
  <c r="D191" i="78"/>
  <c r="D192" i="78"/>
  <c r="D193" i="78"/>
  <c r="D194" i="78"/>
  <c r="D195" i="78"/>
  <c r="D196" i="78"/>
  <c r="D197" i="78"/>
  <c r="D198" i="78"/>
  <c r="D199" i="78"/>
  <c r="D200" i="78"/>
  <c r="D201" i="78"/>
  <c r="D202" i="78"/>
  <c r="D203" i="78"/>
  <c r="D204" i="78"/>
  <c r="D205" i="78"/>
  <c r="D206" i="78"/>
  <c r="D207" i="78"/>
  <c r="D208" i="78"/>
  <c r="D209" i="78"/>
  <c r="D210" i="78"/>
  <c r="D211" i="78"/>
  <c r="D212" i="78"/>
  <c r="D213" i="78"/>
  <c r="D214" i="78"/>
  <c r="D215" i="78"/>
  <c r="D216" i="78"/>
  <c r="D217" i="78"/>
  <c r="D218" i="78"/>
  <c r="D219" i="78"/>
  <c r="D220" i="78"/>
  <c r="D221" i="78"/>
  <c r="D222" i="78"/>
  <c r="D223" i="78"/>
  <c r="D224" i="78"/>
  <c r="D225" i="78"/>
  <c r="D226" i="78"/>
  <c r="D227" i="78"/>
  <c r="D228" i="78"/>
  <c r="D229" i="78"/>
  <c r="D230" i="78"/>
  <c r="D231" i="78"/>
  <c r="D232" i="78"/>
  <c r="D233" i="78"/>
  <c r="D234" i="78"/>
  <c r="D235" i="78"/>
  <c r="D236" i="78"/>
  <c r="D237" i="78"/>
  <c r="D238" i="78"/>
  <c r="D239" i="78"/>
  <c r="D240" i="78"/>
  <c r="D241" i="78"/>
  <c r="D242" i="78"/>
  <c r="D243" i="78"/>
  <c r="D244" i="78"/>
  <c r="D245" i="78"/>
  <c r="D246" i="78"/>
  <c r="D247" i="78"/>
  <c r="D248" i="78"/>
  <c r="D249" i="78"/>
  <c r="D250" i="78"/>
  <c r="D251" i="78"/>
  <c r="D252" i="78"/>
  <c r="D253" i="78"/>
  <c r="D254" i="78"/>
  <c r="D255" i="78"/>
  <c r="D256" i="78"/>
  <c r="D257" i="78"/>
  <c r="D258" i="78"/>
  <c r="D259" i="78"/>
  <c r="D260" i="78"/>
  <c r="D261" i="78"/>
  <c r="D262" i="78"/>
  <c r="D263" i="78"/>
  <c r="D264" i="78"/>
  <c r="D265" i="78"/>
  <c r="D266" i="78"/>
  <c r="D267" i="78"/>
  <c r="D268" i="78"/>
  <c r="D269" i="78"/>
  <c r="D270" i="78"/>
  <c r="D271" i="78"/>
  <c r="D272" i="78"/>
  <c r="D273" i="78"/>
  <c r="D274" i="78"/>
  <c r="D275" i="78"/>
  <c r="D276" i="78"/>
  <c r="D277" i="78"/>
  <c r="D278" i="78"/>
  <c r="D279" i="78"/>
  <c r="D280" i="78"/>
  <c r="D281" i="78"/>
  <c r="D282" i="78"/>
  <c r="D283" i="78"/>
  <c r="D284" i="78"/>
  <c r="D285" i="78"/>
  <c r="D286" i="78"/>
  <c r="D287" i="78"/>
  <c r="D288" i="78"/>
  <c r="D289" i="78"/>
  <c r="D290" i="78"/>
  <c r="D291" i="78"/>
  <c r="D292" i="78"/>
  <c r="D293" i="78"/>
  <c r="D294" i="78"/>
  <c r="D295" i="78"/>
  <c r="D296" i="78"/>
  <c r="D297" i="78"/>
  <c r="D298" i="78"/>
  <c r="D299" i="78"/>
  <c r="D300" i="78"/>
  <c r="D301" i="78"/>
  <c r="D302" i="78"/>
  <c r="D303" i="78"/>
  <c r="D304" i="78"/>
  <c r="D305" i="78"/>
  <c r="D306" i="78"/>
  <c r="D307" i="78"/>
  <c r="D308" i="78"/>
  <c r="D309" i="78"/>
  <c r="D310" i="78"/>
  <c r="D311" i="78"/>
  <c r="D312" i="78"/>
  <c r="D313" i="78"/>
  <c r="D314" i="78"/>
  <c r="D315" i="78"/>
  <c r="D316" i="78"/>
  <c r="D317" i="78"/>
  <c r="D318" i="78"/>
  <c r="D319" i="78"/>
  <c r="D320" i="78"/>
  <c r="D321" i="78"/>
  <c r="D322" i="78"/>
  <c r="D323" i="78"/>
  <c r="D324" i="78"/>
  <c r="D325" i="78"/>
  <c r="D326" i="78"/>
  <c r="D327" i="78"/>
  <c r="D328" i="78"/>
  <c r="D329" i="78"/>
  <c r="D330" i="78"/>
  <c r="D331" i="78"/>
  <c r="D332" i="78"/>
  <c r="D333" i="78"/>
  <c r="D334" i="78"/>
  <c r="D335" i="78"/>
  <c r="D336" i="78"/>
  <c r="D337" i="78"/>
  <c r="D338" i="78"/>
  <c r="D339" i="78"/>
  <c r="D340" i="78"/>
  <c r="D341" i="78"/>
  <c r="D342" i="78"/>
  <c r="D343" i="78"/>
  <c r="D344" i="78"/>
  <c r="D345" i="78"/>
  <c r="D346" i="78"/>
  <c r="D347" i="78"/>
  <c r="D348" i="78"/>
  <c r="D349" i="78"/>
  <c r="D350" i="78"/>
  <c r="D351" i="78"/>
  <c r="D352" i="78"/>
  <c r="D353" i="78"/>
  <c r="D354" i="78"/>
  <c r="D355" i="78"/>
  <c r="D356" i="78"/>
  <c r="D357" i="78"/>
  <c r="D358" i="78"/>
  <c r="D359" i="78"/>
  <c r="D360" i="78"/>
  <c r="D361" i="78"/>
  <c r="D362" i="78"/>
  <c r="D363" i="78"/>
  <c r="D364" i="78"/>
  <c r="D365" i="78"/>
  <c r="D366" i="78"/>
  <c r="D367" i="78"/>
  <c r="D368" i="78"/>
  <c r="D369" i="78"/>
  <c r="D370" i="78"/>
  <c r="D371" i="78"/>
  <c r="D372" i="78"/>
  <c r="D373" i="78"/>
  <c r="D374" i="78"/>
  <c r="D375" i="78"/>
  <c r="D376" i="78"/>
  <c r="D377" i="78"/>
  <c r="D378" i="78"/>
  <c r="D379" i="78"/>
  <c r="D380" i="78"/>
  <c r="D381" i="78"/>
  <c r="D382" i="78"/>
  <c r="D383" i="78"/>
  <c r="D384" i="78"/>
  <c r="D385" i="78"/>
  <c r="D386" i="78"/>
  <c r="D387" i="78"/>
  <c r="D388" i="78"/>
  <c r="D389" i="78"/>
  <c r="D390" i="78"/>
  <c r="D391" i="78"/>
  <c r="D392" i="78"/>
  <c r="D393" i="78"/>
  <c r="D394" i="78"/>
  <c r="D395" i="78"/>
  <c r="D396" i="78"/>
  <c r="D397" i="78"/>
  <c r="D398" i="78"/>
  <c r="D399" i="78"/>
  <c r="D400" i="78"/>
  <c r="D401" i="78"/>
  <c r="D402" i="78"/>
  <c r="D403" i="78"/>
  <c r="D404" i="78"/>
  <c r="D405" i="78"/>
  <c r="D406" i="78"/>
  <c r="D407" i="78"/>
  <c r="D408" i="78"/>
  <c r="D409" i="78"/>
  <c r="D410" i="78"/>
  <c r="D411" i="78"/>
  <c r="D2" i="78"/>
  <c r="BC30" i="90" l="1"/>
  <c r="BB30" i="90"/>
  <c r="BA30" i="90"/>
  <c r="AZ30" i="90"/>
  <c r="AY30" i="90"/>
  <c r="AX30" i="90"/>
  <c r="AW30" i="90"/>
  <c r="AV30" i="90"/>
  <c r="AU30" i="90"/>
  <c r="AR30" i="90"/>
  <c r="AQ30" i="90"/>
  <c r="AP30" i="90"/>
  <c r="AO30" i="90"/>
  <c r="AN30" i="90"/>
  <c r="AM30" i="90"/>
  <c r="AL30" i="90"/>
  <c r="AK30" i="90"/>
  <c r="AJ30" i="90"/>
  <c r="AI30" i="90"/>
  <c r="AG30" i="90"/>
  <c r="AF30" i="90"/>
  <c r="AE30" i="90"/>
  <c r="AD30" i="90"/>
  <c r="AC30" i="90"/>
  <c r="AB30" i="90"/>
  <c r="AA30" i="90"/>
  <c r="Z30" i="90"/>
  <c r="Y30" i="90"/>
  <c r="X30" i="90"/>
  <c r="V30" i="90"/>
  <c r="U30" i="90"/>
  <c r="T30" i="90"/>
  <c r="S30" i="90"/>
  <c r="R30" i="90"/>
  <c r="Q30" i="90"/>
  <c r="P30" i="90"/>
  <c r="O30" i="90"/>
  <c r="N30" i="90"/>
  <c r="M30" i="90"/>
  <c r="BC29" i="90"/>
  <c r="BB29" i="90"/>
  <c r="BA29" i="90"/>
  <c r="AZ29" i="90"/>
  <c r="AY29" i="90"/>
  <c r="AX29" i="90"/>
  <c r="AW29" i="90"/>
  <c r="AV29" i="90"/>
  <c r="AU29" i="90"/>
  <c r="AR29" i="90"/>
  <c r="AQ29" i="90"/>
  <c r="AP29" i="90"/>
  <c r="AO29" i="90"/>
  <c r="AN29" i="90"/>
  <c r="AM29" i="90"/>
  <c r="AL29" i="90"/>
  <c r="AK29" i="90"/>
  <c r="AJ29" i="90"/>
  <c r="AI29" i="90"/>
  <c r="AG29" i="90"/>
  <c r="AF29" i="90"/>
  <c r="AE29" i="90"/>
  <c r="AD29" i="90"/>
  <c r="AC29" i="90"/>
  <c r="AB29" i="90"/>
  <c r="AA29" i="90"/>
  <c r="Z29" i="90"/>
  <c r="Y29" i="90"/>
  <c r="X29" i="90"/>
  <c r="V29" i="90"/>
  <c r="U29" i="90"/>
  <c r="T29" i="90"/>
  <c r="S29" i="90"/>
  <c r="R29" i="90"/>
  <c r="Q29" i="90"/>
  <c r="P29" i="90"/>
  <c r="O29" i="90"/>
  <c r="N29" i="90"/>
  <c r="M29" i="90"/>
  <c r="BC28" i="90"/>
  <c r="BB28" i="90"/>
  <c r="BA28" i="90"/>
  <c r="AZ28" i="90"/>
  <c r="AY28" i="90"/>
  <c r="AX28" i="90"/>
  <c r="AW28" i="90"/>
  <c r="AV28" i="90"/>
  <c r="AU28" i="90"/>
  <c r="AR28" i="90"/>
  <c r="AQ28" i="90"/>
  <c r="AP28" i="90"/>
  <c r="AO28" i="90"/>
  <c r="AN28" i="90"/>
  <c r="AM28" i="90"/>
  <c r="AL28" i="90"/>
  <c r="AK28" i="90"/>
  <c r="AJ28" i="90"/>
  <c r="AI28" i="90"/>
  <c r="AG28" i="90"/>
  <c r="AF28" i="90"/>
  <c r="AE28" i="90"/>
  <c r="AD28" i="90"/>
  <c r="AC28" i="90"/>
  <c r="AB28" i="90"/>
  <c r="AA28" i="90"/>
  <c r="Z28" i="90"/>
  <c r="Y28" i="90"/>
  <c r="X28" i="90"/>
  <c r="V28" i="90"/>
  <c r="U28" i="90"/>
  <c r="T28" i="90"/>
  <c r="S28" i="90"/>
  <c r="R28" i="90"/>
  <c r="Q28" i="90"/>
  <c r="P28" i="90"/>
  <c r="O28" i="90"/>
  <c r="N28" i="90"/>
  <c r="M28" i="90"/>
  <c r="BC27" i="90"/>
  <c r="BB27" i="90"/>
  <c r="BA27" i="90"/>
  <c r="AZ27" i="90"/>
  <c r="AY27" i="90"/>
  <c r="AX27" i="90"/>
  <c r="AW27" i="90"/>
  <c r="AV27" i="90"/>
  <c r="AU27" i="90"/>
  <c r="AR27" i="90"/>
  <c r="AQ27" i="90"/>
  <c r="AP27" i="90"/>
  <c r="AO27" i="90"/>
  <c r="AN27" i="90"/>
  <c r="AM27" i="90"/>
  <c r="AL27" i="90"/>
  <c r="AK27" i="90"/>
  <c r="AJ27" i="90"/>
  <c r="AI27" i="90"/>
  <c r="AG27" i="90"/>
  <c r="AF27" i="90"/>
  <c r="AE27" i="90"/>
  <c r="AD27" i="90"/>
  <c r="AC27" i="90"/>
  <c r="AB27" i="90"/>
  <c r="AA27" i="90"/>
  <c r="Z27" i="90"/>
  <c r="Y27" i="90"/>
  <c r="X27" i="90"/>
  <c r="V27" i="90"/>
  <c r="U27" i="90"/>
  <c r="T27" i="90"/>
  <c r="S27" i="90"/>
  <c r="R27" i="90"/>
  <c r="Q27" i="90"/>
  <c r="P27" i="90"/>
  <c r="O27" i="90"/>
  <c r="N27" i="90"/>
  <c r="M27" i="90"/>
  <c r="BC26" i="90"/>
  <c r="BB26" i="90"/>
  <c r="BA26" i="90"/>
  <c r="AZ26" i="90"/>
  <c r="AY26" i="90"/>
  <c r="AX26" i="90"/>
  <c r="AW26" i="90"/>
  <c r="AV26" i="90"/>
  <c r="AU26" i="90"/>
  <c r="AR26" i="90"/>
  <c r="AQ26" i="90"/>
  <c r="AP26" i="90"/>
  <c r="AO26" i="90"/>
  <c r="AN26" i="90"/>
  <c r="AM26" i="90"/>
  <c r="AL26" i="90"/>
  <c r="AK26" i="90"/>
  <c r="AJ26" i="90"/>
  <c r="AI26" i="90"/>
  <c r="AG26" i="90"/>
  <c r="AF26" i="90"/>
  <c r="AE26" i="90"/>
  <c r="AD26" i="90"/>
  <c r="AC26" i="90"/>
  <c r="AB26" i="90"/>
  <c r="AA26" i="90"/>
  <c r="Z26" i="90"/>
  <c r="Y26" i="90"/>
  <c r="X26" i="90"/>
  <c r="V26" i="90"/>
  <c r="U26" i="90"/>
  <c r="T26" i="90"/>
  <c r="S26" i="90"/>
  <c r="R26" i="90"/>
  <c r="Q26" i="90"/>
  <c r="P26" i="90"/>
  <c r="O26" i="90"/>
  <c r="N26" i="90"/>
  <c r="M26" i="90"/>
  <c r="BC25" i="90"/>
  <c r="BB25" i="90"/>
  <c r="BA25" i="90"/>
  <c r="AZ25" i="90"/>
  <c r="AY25" i="90"/>
  <c r="AX25" i="90"/>
  <c r="AW25" i="90"/>
  <c r="AV25" i="90"/>
  <c r="AU25" i="90"/>
  <c r="AR25" i="90"/>
  <c r="AQ25" i="90"/>
  <c r="AP25" i="90"/>
  <c r="AO25" i="90"/>
  <c r="AN25" i="90"/>
  <c r="AM25" i="90"/>
  <c r="AL25" i="90"/>
  <c r="AK25" i="90"/>
  <c r="AJ25" i="90"/>
  <c r="AI25" i="90"/>
  <c r="AG25" i="90"/>
  <c r="AF25" i="90"/>
  <c r="AE25" i="90"/>
  <c r="AD25" i="90"/>
  <c r="AC25" i="90"/>
  <c r="AB25" i="90"/>
  <c r="AA25" i="90"/>
  <c r="Z25" i="90"/>
  <c r="Y25" i="90"/>
  <c r="X25" i="90"/>
  <c r="V25" i="90"/>
  <c r="U25" i="90"/>
  <c r="T25" i="90"/>
  <c r="S25" i="90"/>
  <c r="R25" i="90"/>
  <c r="Q25" i="90"/>
  <c r="P25" i="90"/>
  <c r="O25" i="90"/>
  <c r="N25" i="90"/>
  <c r="M25" i="90"/>
  <c r="BC24" i="90"/>
  <c r="BB24" i="90"/>
  <c r="BA24" i="90"/>
  <c r="AZ24" i="90"/>
  <c r="AY24" i="90"/>
  <c r="AX24" i="90"/>
  <c r="AW24" i="90"/>
  <c r="AV24" i="90"/>
  <c r="AU24" i="90"/>
  <c r="AR24" i="90"/>
  <c r="AQ24" i="90"/>
  <c r="AP24" i="90"/>
  <c r="AO24" i="90"/>
  <c r="AN24" i="90"/>
  <c r="AM24" i="90"/>
  <c r="AL24" i="90"/>
  <c r="AK24" i="90"/>
  <c r="AJ24" i="90"/>
  <c r="AI24" i="90"/>
  <c r="AG24" i="90"/>
  <c r="AF24" i="90"/>
  <c r="AE24" i="90"/>
  <c r="AD24" i="90"/>
  <c r="AC24" i="90"/>
  <c r="AB24" i="90"/>
  <c r="AA24" i="90"/>
  <c r="Z24" i="90"/>
  <c r="Y24" i="90"/>
  <c r="X24" i="90"/>
  <c r="V24" i="90"/>
  <c r="U24" i="90"/>
  <c r="T24" i="90"/>
  <c r="S24" i="90"/>
  <c r="R24" i="90"/>
  <c r="Q24" i="90"/>
  <c r="P24" i="90"/>
  <c r="O24" i="90"/>
  <c r="N24" i="90"/>
  <c r="M24" i="90"/>
  <c r="BC23" i="90"/>
  <c r="BB23" i="90"/>
  <c r="BA23" i="90"/>
  <c r="AZ23" i="90"/>
  <c r="AY23" i="90"/>
  <c r="AX23" i="90"/>
  <c r="AW23" i="90"/>
  <c r="AV23" i="90"/>
  <c r="AU23" i="90"/>
  <c r="AR23" i="90"/>
  <c r="AQ23" i="90"/>
  <c r="AP23" i="90"/>
  <c r="AO23" i="90"/>
  <c r="AN23" i="90"/>
  <c r="AM23" i="90"/>
  <c r="AL23" i="90"/>
  <c r="AK23" i="90"/>
  <c r="AJ23" i="90"/>
  <c r="AI23" i="90"/>
  <c r="AG23" i="90"/>
  <c r="AF23" i="90"/>
  <c r="AE23" i="90"/>
  <c r="AD23" i="90"/>
  <c r="AC23" i="90"/>
  <c r="AB23" i="90"/>
  <c r="AA23" i="90"/>
  <c r="Z23" i="90"/>
  <c r="Y23" i="90"/>
  <c r="X23" i="90"/>
  <c r="V23" i="90"/>
  <c r="U23" i="90"/>
  <c r="T23" i="90"/>
  <c r="S23" i="90"/>
  <c r="R23" i="90"/>
  <c r="Q23" i="90"/>
  <c r="P23" i="90"/>
  <c r="O23" i="90"/>
  <c r="N23" i="90"/>
  <c r="M23" i="90"/>
  <c r="BC22" i="90"/>
  <c r="BB22" i="90"/>
  <c r="BA22" i="90"/>
  <c r="AZ22" i="90"/>
  <c r="AY22" i="90"/>
  <c r="AX22" i="90"/>
  <c r="AW22" i="90"/>
  <c r="AV22" i="90"/>
  <c r="AU22" i="90"/>
  <c r="AR22" i="90"/>
  <c r="AQ22" i="90"/>
  <c r="AP22" i="90"/>
  <c r="AO22" i="90"/>
  <c r="AN22" i="90"/>
  <c r="AM22" i="90"/>
  <c r="AL22" i="90"/>
  <c r="AK22" i="90"/>
  <c r="AJ22" i="90"/>
  <c r="AI22" i="90"/>
  <c r="AG22" i="90"/>
  <c r="AF22" i="90"/>
  <c r="AE22" i="90"/>
  <c r="AD22" i="90"/>
  <c r="AC22" i="90"/>
  <c r="AB22" i="90"/>
  <c r="AA22" i="90"/>
  <c r="Z22" i="90"/>
  <c r="Y22" i="90"/>
  <c r="X22" i="90"/>
  <c r="V22" i="90"/>
  <c r="U22" i="90"/>
  <c r="T22" i="90"/>
  <c r="S22" i="90"/>
  <c r="R22" i="90"/>
  <c r="Q22" i="90"/>
  <c r="P22" i="90"/>
  <c r="O22" i="90"/>
  <c r="N22" i="90"/>
  <c r="M22" i="90"/>
  <c r="BC21" i="90"/>
  <c r="BB21" i="90"/>
  <c r="BA21" i="90"/>
  <c r="AZ21" i="90"/>
  <c r="AY21" i="90"/>
  <c r="AX21" i="90"/>
  <c r="AW21" i="90"/>
  <c r="AV21" i="90"/>
  <c r="AU21" i="90"/>
  <c r="AR21" i="90"/>
  <c r="AQ21" i="90"/>
  <c r="AP21" i="90"/>
  <c r="AO21" i="90"/>
  <c r="AN21" i="90"/>
  <c r="AM21" i="90"/>
  <c r="AL21" i="90"/>
  <c r="AK21" i="90"/>
  <c r="AJ21" i="90"/>
  <c r="AI21" i="90"/>
  <c r="AG21" i="90"/>
  <c r="AF21" i="90"/>
  <c r="AE21" i="90"/>
  <c r="AD21" i="90"/>
  <c r="AC21" i="90"/>
  <c r="AB21" i="90"/>
  <c r="AA21" i="90"/>
  <c r="Z21" i="90"/>
  <c r="Y21" i="90"/>
  <c r="X21" i="90"/>
  <c r="V21" i="90"/>
  <c r="U21" i="90"/>
  <c r="T21" i="90"/>
  <c r="S21" i="90"/>
  <c r="R21" i="90"/>
  <c r="Q21" i="90"/>
  <c r="P21" i="90"/>
  <c r="O21" i="90"/>
  <c r="N21" i="90"/>
  <c r="M21" i="90"/>
  <c r="BC20" i="90"/>
  <c r="BB20" i="90"/>
  <c r="BA20" i="90"/>
  <c r="AZ20" i="90"/>
  <c r="AY20" i="90"/>
  <c r="AX20" i="90"/>
  <c r="AW20" i="90"/>
  <c r="AV20" i="90"/>
  <c r="AU20" i="90"/>
  <c r="AR20" i="90"/>
  <c r="AQ20" i="90"/>
  <c r="AP20" i="90"/>
  <c r="AO20" i="90"/>
  <c r="AN20" i="90"/>
  <c r="AM20" i="90"/>
  <c r="AL20" i="90"/>
  <c r="AK20" i="90"/>
  <c r="AJ20" i="90"/>
  <c r="AI20" i="90"/>
  <c r="AG20" i="90"/>
  <c r="AF20" i="90"/>
  <c r="AE20" i="90"/>
  <c r="AD20" i="90"/>
  <c r="AC20" i="90"/>
  <c r="AB20" i="90"/>
  <c r="AA20" i="90"/>
  <c r="Z20" i="90"/>
  <c r="Y20" i="90"/>
  <c r="X20" i="90"/>
  <c r="V20" i="90"/>
  <c r="U20" i="90"/>
  <c r="T20" i="90"/>
  <c r="S20" i="90"/>
  <c r="R20" i="90"/>
  <c r="Q20" i="90"/>
  <c r="P20" i="90"/>
  <c r="O20" i="90"/>
  <c r="N20" i="90"/>
  <c r="M20" i="90"/>
  <c r="BC19" i="90"/>
  <c r="BB19" i="90"/>
  <c r="BA19" i="90"/>
  <c r="AZ19" i="90"/>
  <c r="AY19" i="90"/>
  <c r="AX19" i="90"/>
  <c r="AW19" i="90"/>
  <c r="AV19" i="90"/>
  <c r="AU19" i="90"/>
  <c r="AR19" i="90"/>
  <c r="AQ19" i="90"/>
  <c r="AP19" i="90"/>
  <c r="AO19" i="90"/>
  <c r="AN19" i="90"/>
  <c r="AM19" i="90"/>
  <c r="AL19" i="90"/>
  <c r="AK19" i="90"/>
  <c r="AJ19" i="90"/>
  <c r="AI19" i="90"/>
  <c r="AG19" i="90"/>
  <c r="AF19" i="90"/>
  <c r="AE19" i="90"/>
  <c r="AD19" i="90"/>
  <c r="AC19" i="90"/>
  <c r="AB19" i="90"/>
  <c r="AA19" i="90"/>
  <c r="Z19" i="90"/>
  <c r="Y19" i="90"/>
  <c r="X19" i="90"/>
  <c r="V19" i="90"/>
  <c r="U19" i="90"/>
  <c r="T19" i="90"/>
  <c r="S19" i="90"/>
  <c r="R19" i="90"/>
  <c r="Q19" i="90"/>
  <c r="P19" i="90"/>
  <c r="O19" i="90"/>
  <c r="N19" i="90"/>
  <c r="M19" i="90"/>
  <c r="BC18" i="90"/>
  <c r="BB18" i="90"/>
  <c r="BA18" i="90"/>
  <c r="AZ18" i="90"/>
  <c r="AY18" i="90"/>
  <c r="AX18" i="90"/>
  <c r="AW18" i="90"/>
  <c r="AV18" i="90"/>
  <c r="AU18" i="90"/>
  <c r="AR18" i="90"/>
  <c r="AQ18" i="90"/>
  <c r="AP18" i="90"/>
  <c r="AO18" i="90"/>
  <c r="AN18" i="90"/>
  <c r="AM18" i="90"/>
  <c r="AL18" i="90"/>
  <c r="AK18" i="90"/>
  <c r="AJ18" i="90"/>
  <c r="AI18" i="90"/>
  <c r="AG18" i="90"/>
  <c r="AF18" i="90"/>
  <c r="AE18" i="90"/>
  <c r="AD18" i="90"/>
  <c r="AC18" i="90"/>
  <c r="AB18" i="90"/>
  <c r="AA18" i="90"/>
  <c r="Z18" i="90"/>
  <c r="Y18" i="90"/>
  <c r="X18" i="90"/>
  <c r="V18" i="90"/>
  <c r="U18" i="90"/>
  <c r="T18" i="90"/>
  <c r="S18" i="90"/>
  <c r="R18" i="90"/>
  <c r="Q18" i="90"/>
  <c r="P18" i="90"/>
  <c r="O18" i="90"/>
  <c r="N18" i="90"/>
  <c r="M18" i="90"/>
  <c r="BC17" i="90"/>
  <c r="BB17" i="90"/>
  <c r="BA17" i="90"/>
  <c r="AZ17" i="90"/>
  <c r="AY17" i="90"/>
  <c r="AX17" i="90"/>
  <c r="AW17" i="90"/>
  <c r="AV17" i="90"/>
  <c r="AU17" i="90"/>
  <c r="AR17" i="90"/>
  <c r="AQ17" i="90"/>
  <c r="AP17" i="90"/>
  <c r="AO17" i="90"/>
  <c r="AN17" i="90"/>
  <c r="AM17" i="90"/>
  <c r="AL17" i="90"/>
  <c r="AK17" i="90"/>
  <c r="AJ17" i="90"/>
  <c r="AI17" i="90"/>
  <c r="AG17" i="90"/>
  <c r="AF17" i="90"/>
  <c r="AE17" i="90"/>
  <c r="AD17" i="90"/>
  <c r="AC17" i="90"/>
  <c r="AB17" i="90"/>
  <c r="AA17" i="90"/>
  <c r="Z17" i="90"/>
  <c r="Y17" i="90"/>
  <c r="X17" i="90"/>
  <c r="V17" i="90"/>
  <c r="U17" i="90"/>
  <c r="T17" i="90"/>
  <c r="S17" i="90"/>
  <c r="R17" i="90"/>
  <c r="Q17" i="90"/>
  <c r="P17" i="90"/>
  <c r="O17" i="90"/>
  <c r="N17" i="90"/>
  <c r="M17" i="90"/>
  <c r="BC16" i="90"/>
  <c r="BB16" i="90"/>
  <c r="BA16" i="90"/>
  <c r="AZ16" i="90"/>
  <c r="AY16" i="90"/>
  <c r="AX16" i="90"/>
  <c r="AW16" i="90"/>
  <c r="AV16" i="90"/>
  <c r="AU16" i="90"/>
  <c r="AR16" i="90"/>
  <c r="AQ16" i="90"/>
  <c r="AP16" i="90"/>
  <c r="AO16" i="90"/>
  <c r="AN16" i="90"/>
  <c r="AM16" i="90"/>
  <c r="AL16" i="90"/>
  <c r="AK16" i="90"/>
  <c r="AJ16" i="90"/>
  <c r="AI16" i="90"/>
  <c r="AG16" i="90"/>
  <c r="AF16" i="90"/>
  <c r="AE16" i="90"/>
  <c r="AD16" i="90"/>
  <c r="AC16" i="90"/>
  <c r="AB16" i="90"/>
  <c r="AA16" i="90"/>
  <c r="Z16" i="90"/>
  <c r="Y16" i="90"/>
  <c r="X16" i="90"/>
  <c r="V16" i="90"/>
  <c r="U16" i="90"/>
  <c r="T16" i="90"/>
  <c r="S16" i="90"/>
  <c r="R16" i="90"/>
  <c r="Q16" i="90"/>
  <c r="P16" i="90"/>
  <c r="O16" i="90"/>
  <c r="N16" i="90"/>
  <c r="M16" i="90"/>
  <c r="BC15" i="90"/>
  <c r="BB15" i="90"/>
  <c r="BA15" i="90"/>
  <c r="AZ15" i="90"/>
  <c r="AY15" i="90"/>
  <c r="AX15" i="90"/>
  <c r="AW15" i="90"/>
  <c r="AV15" i="90"/>
  <c r="AU15" i="90"/>
  <c r="AR15" i="90"/>
  <c r="AQ15" i="90"/>
  <c r="AP15" i="90"/>
  <c r="AO15" i="90"/>
  <c r="AN15" i="90"/>
  <c r="AM15" i="90"/>
  <c r="AL15" i="90"/>
  <c r="AK15" i="90"/>
  <c r="AJ15" i="90"/>
  <c r="AI15" i="90"/>
  <c r="AG15" i="90"/>
  <c r="AF15" i="90"/>
  <c r="AE15" i="90"/>
  <c r="AD15" i="90"/>
  <c r="AC15" i="90"/>
  <c r="AB15" i="90"/>
  <c r="AA15" i="90"/>
  <c r="Z15" i="90"/>
  <c r="Y15" i="90"/>
  <c r="X15" i="90"/>
  <c r="V15" i="90"/>
  <c r="U15" i="90"/>
  <c r="T15" i="90"/>
  <c r="S15" i="90"/>
  <c r="R15" i="90"/>
  <c r="Q15" i="90"/>
  <c r="P15" i="90"/>
  <c r="O15" i="90"/>
  <c r="N15" i="90"/>
  <c r="M15" i="90"/>
  <c r="BC14" i="90"/>
  <c r="BB14" i="90"/>
  <c r="BA14" i="90"/>
  <c r="AZ14" i="90"/>
  <c r="AY14" i="90"/>
  <c r="AX14" i="90"/>
  <c r="AW14" i="90"/>
  <c r="AV14" i="90"/>
  <c r="AU14" i="90"/>
  <c r="AR14" i="90"/>
  <c r="AQ14" i="90"/>
  <c r="AP14" i="90"/>
  <c r="AO14" i="90"/>
  <c r="AN14" i="90"/>
  <c r="AM14" i="90"/>
  <c r="AL14" i="90"/>
  <c r="AK14" i="90"/>
  <c r="AJ14" i="90"/>
  <c r="AI14" i="90"/>
  <c r="AG14" i="90"/>
  <c r="AF14" i="90"/>
  <c r="AE14" i="90"/>
  <c r="AD14" i="90"/>
  <c r="AC14" i="90"/>
  <c r="AB14" i="90"/>
  <c r="AA14" i="90"/>
  <c r="Z14" i="90"/>
  <c r="Y14" i="90"/>
  <c r="X14" i="90"/>
  <c r="V14" i="90"/>
  <c r="U14" i="90"/>
  <c r="T14" i="90"/>
  <c r="S14" i="90"/>
  <c r="R14" i="90"/>
  <c r="Q14" i="90"/>
  <c r="P14" i="90"/>
  <c r="O14" i="90"/>
  <c r="N14" i="90"/>
  <c r="M14" i="90"/>
  <c r="BC13" i="90"/>
  <c r="BB13" i="90"/>
  <c r="BA13" i="90"/>
  <c r="AZ13" i="90"/>
  <c r="AY13" i="90"/>
  <c r="AX13" i="90"/>
  <c r="AW13" i="90"/>
  <c r="AV13" i="90"/>
  <c r="AU13" i="90"/>
  <c r="AR13" i="90"/>
  <c r="AQ13" i="90"/>
  <c r="AP13" i="90"/>
  <c r="AO13" i="90"/>
  <c r="AN13" i="90"/>
  <c r="AM13" i="90"/>
  <c r="AL13" i="90"/>
  <c r="AK13" i="90"/>
  <c r="AJ13" i="90"/>
  <c r="AI13" i="90"/>
  <c r="AG13" i="90"/>
  <c r="AF13" i="90"/>
  <c r="AE13" i="90"/>
  <c r="AD13" i="90"/>
  <c r="AC13" i="90"/>
  <c r="AB13" i="90"/>
  <c r="AA13" i="90"/>
  <c r="Z13" i="90"/>
  <c r="Y13" i="90"/>
  <c r="X13" i="90"/>
  <c r="V13" i="90"/>
  <c r="U13" i="90"/>
  <c r="T13" i="90"/>
  <c r="S13" i="90"/>
  <c r="R13" i="90"/>
  <c r="Q13" i="90"/>
  <c r="P13" i="90"/>
  <c r="O13" i="90"/>
  <c r="N13" i="90"/>
  <c r="M13" i="90"/>
  <c r="BC12" i="90"/>
  <c r="BB12" i="90"/>
  <c r="BA12" i="90"/>
  <c r="AZ12" i="90"/>
  <c r="AY12" i="90"/>
  <c r="AX12" i="90"/>
  <c r="AW12" i="90"/>
  <c r="AV12" i="90"/>
  <c r="AU12" i="90"/>
  <c r="AR12" i="90"/>
  <c r="AQ12" i="90"/>
  <c r="AP12" i="90"/>
  <c r="AO12" i="90"/>
  <c r="AN12" i="90"/>
  <c r="AM12" i="90"/>
  <c r="AL12" i="90"/>
  <c r="AK12" i="90"/>
  <c r="AJ12" i="90"/>
  <c r="AI12" i="90"/>
  <c r="AG12" i="90"/>
  <c r="AF12" i="90"/>
  <c r="AE12" i="90"/>
  <c r="AD12" i="90"/>
  <c r="AC12" i="90"/>
  <c r="AB12" i="90"/>
  <c r="AA12" i="90"/>
  <c r="Z12" i="90"/>
  <c r="Y12" i="90"/>
  <c r="X12" i="90"/>
  <c r="V12" i="90"/>
  <c r="U12" i="90"/>
  <c r="T12" i="90"/>
  <c r="S12" i="90"/>
  <c r="R12" i="90"/>
  <c r="Q12" i="90"/>
  <c r="P12" i="90"/>
  <c r="O12" i="90"/>
  <c r="N12" i="90"/>
  <c r="M12" i="90"/>
  <c r="BC11" i="90"/>
  <c r="BB11" i="90"/>
  <c r="BA11" i="90"/>
  <c r="AZ11" i="90"/>
  <c r="AY11" i="90"/>
  <c r="AX11" i="90"/>
  <c r="AW11" i="90"/>
  <c r="AV11" i="90"/>
  <c r="AU11" i="90"/>
  <c r="AR11" i="90"/>
  <c r="AQ11" i="90"/>
  <c r="AP11" i="90"/>
  <c r="AO11" i="90"/>
  <c r="AN11" i="90"/>
  <c r="AM11" i="90"/>
  <c r="AL11" i="90"/>
  <c r="AK11" i="90"/>
  <c r="AJ11" i="90"/>
  <c r="AI11" i="90"/>
  <c r="AG11" i="90"/>
  <c r="AF11" i="90"/>
  <c r="AE11" i="90"/>
  <c r="AD11" i="90"/>
  <c r="AC11" i="90"/>
  <c r="AB11" i="90"/>
  <c r="AA11" i="90"/>
  <c r="Z11" i="90"/>
  <c r="Y11" i="90"/>
  <c r="X11" i="90"/>
  <c r="V11" i="90"/>
  <c r="U11" i="90"/>
  <c r="T11" i="90"/>
  <c r="S11" i="90"/>
  <c r="R11" i="90"/>
  <c r="Q11" i="90"/>
  <c r="P11" i="90"/>
  <c r="O11" i="90"/>
  <c r="N11" i="90"/>
  <c r="M11" i="90"/>
  <c r="BC10" i="90"/>
  <c r="BB10" i="90"/>
  <c r="BA10" i="90"/>
  <c r="AZ10" i="90"/>
  <c r="AY10" i="90"/>
  <c r="AX10" i="90"/>
  <c r="AW10" i="90"/>
  <c r="AV10" i="90"/>
  <c r="AU10" i="90"/>
  <c r="AR10" i="90"/>
  <c r="AQ10" i="90"/>
  <c r="AP10" i="90"/>
  <c r="AO10" i="90"/>
  <c r="AN10" i="90"/>
  <c r="AM10" i="90"/>
  <c r="AL10" i="90"/>
  <c r="AK10" i="90"/>
  <c r="AJ10" i="90"/>
  <c r="AI10" i="90"/>
  <c r="AG10" i="90"/>
  <c r="AF10" i="90"/>
  <c r="AE10" i="90"/>
  <c r="AD10" i="90"/>
  <c r="AC10" i="90"/>
  <c r="AB10" i="90"/>
  <c r="AA10" i="90"/>
  <c r="Z10" i="90"/>
  <c r="Y10" i="90"/>
  <c r="X10" i="90"/>
  <c r="V10" i="90"/>
  <c r="U10" i="90"/>
  <c r="T10" i="90"/>
  <c r="S10" i="90"/>
  <c r="R10" i="90"/>
  <c r="Q10" i="90"/>
  <c r="P10" i="90"/>
  <c r="O10" i="90"/>
  <c r="N10" i="90"/>
  <c r="M10" i="90"/>
  <c r="BC9" i="90"/>
  <c r="BB9" i="90"/>
  <c r="BA9" i="90"/>
  <c r="AZ9" i="90"/>
  <c r="AY9" i="90"/>
  <c r="AX9" i="90"/>
  <c r="AW9" i="90"/>
  <c r="AV9" i="90"/>
  <c r="AU9" i="90"/>
  <c r="AR9" i="90"/>
  <c r="AQ9" i="90"/>
  <c r="AP9" i="90"/>
  <c r="AO9" i="90"/>
  <c r="AN9" i="90"/>
  <c r="AM9" i="90"/>
  <c r="AL9" i="90"/>
  <c r="AK9" i="90"/>
  <c r="AJ9" i="90"/>
  <c r="AI9" i="90"/>
  <c r="AG9" i="90"/>
  <c r="AF9" i="90"/>
  <c r="AE9" i="90"/>
  <c r="AD9" i="90"/>
  <c r="AC9" i="90"/>
  <c r="AB9" i="90"/>
  <c r="AA9" i="90"/>
  <c r="Z9" i="90"/>
  <c r="Y9" i="90"/>
  <c r="X9" i="90"/>
  <c r="V9" i="90"/>
  <c r="U9" i="90"/>
  <c r="T9" i="90"/>
  <c r="S9" i="90"/>
  <c r="R9" i="90"/>
  <c r="Q9" i="90"/>
  <c r="P9" i="90"/>
  <c r="O9" i="90"/>
  <c r="N9" i="90"/>
  <c r="M9" i="90"/>
  <c r="BC8" i="90"/>
  <c r="BB8" i="90"/>
  <c r="BA8" i="90"/>
  <c r="AZ8" i="90"/>
  <c r="AY8" i="90"/>
  <c r="AX8" i="90"/>
  <c r="AW8" i="90"/>
  <c r="AV8" i="90"/>
  <c r="AU8" i="90"/>
  <c r="AR8" i="90"/>
  <c r="AQ8" i="90"/>
  <c r="AP8" i="90"/>
  <c r="AO8" i="90"/>
  <c r="AN8" i="90"/>
  <c r="AM8" i="90"/>
  <c r="AL8" i="90"/>
  <c r="AK8" i="90"/>
  <c r="AJ8" i="90"/>
  <c r="AI8" i="90"/>
  <c r="AG8" i="90"/>
  <c r="AF8" i="90"/>
  <c r="AE8" i="90"/>
  <c r="AD8" i="90"/>
  <c r="AC8" i="90"/>
  <c r="AB8" i="90"/>
  <c r="AA8" i="90"/>
  <c r="Z8" i="90"/>
  <c r="Y8" i="90"/>
  <c r="X8" i="90"/>
  <c r="V8" i="90"/>
  <c r="U8" i="90"/>
  <c r="T8" i="90"/>
  <c r="S8" i="90"/>
  <c r="BK8" i="90" s="1"/>
  <c r="BV8" i="90" s="1"/>
  <c r="R8" i="90"/>
  <c r="Q8" i="90"/>
  <c r="P8" i="90"/>
  <c r="O8" i="90"/>
  <c r="N8" i="90"/>
  <c r="M8" i="90"/>
  <c r="BC7" i="90"/>
  <c r="BB7" i="90"/>
  <c r="BA7" i="90"/>
  <c r="AZ7" i="90"/>
  <c r="AY7" i="90"/>
  <c r="AX7" i="90"/>
  <c r="AW7" i="90"/>
  <c r="AV7" i="90"/>
  <c r="AU7" i="90"/>
  <c r="AR7" i="90"/>
  <c r="AQ7" i="90"/>
  <c r="AP7" i="90"/>
  <c r="AO7" i="90"/>
  <c r="AN7" i="90"/>
  <c r="AM7" i="90"/>
  <c r="AL7" i="90"/>
  <c r="AK7" i="90"/>
  <c r="AJ7" i="90"/>
  <c r="AI7" i="90"/>
  <c r="AG7" i="90"/>
  <c r="AF7" i="90"/>
  <c r="AE7" i="90"/>
  <c r="AD7" i="90"/>
  <c r="AC7" i="90"/>
  <c r="AB7" i="90"/>
  <c r="AA7" i="90"/>
  <c r="Z7" i="90"/>
  <c r="Y7" i="90"/>
  <c r="X7" i="90"/>
  <c r="V7" i="90"/>
  <c r="U7" i="90"/>
  <c r="T7" i="90"/>
  <c r="S7" i="90"/>
  <c r="R7" i="90"/>
  <c r="Q7" i="90"/>
  <c r="P7" i="90"/>
  <c r="O7" i="90"/>
  <c r="N7" i="90"/>
  <c r="M7" i="90"/>
  <c r="BC6" i="90"/>
  <c r="BB6" i="90"/>
  <c r="BA6" i="90"/>
  <c r="AZ6" i="90"/>
  <c r="AY6" i="90"/>
  <c r="AX6" i="90"/>
  <c r="AW6" i="90"/>
  <c r="AV6" i="90"/>
  <c r="AU6" i="90"/>
  <c r="AR6" i="90"/>
  <c r="AQ6" i="90"/>
  <c r="AP6" i="90"/>
  <c r="AO6" i="90"/>
  <c r="AN6" i="90"/>
  <c r="AM6" i="90"/>
  <c r="AL6" i="90"/>
  <c r="AK6" i="90"/>
  <c r="AJ6" i="90"/>
  <c r="AI6" i="90"/>
  <c r="AG6" i="90"/>
  <c r="AF6" i="90"/>
  <c r="AE6" i="90"/>
  <c r="AD6" i="90"/>
  <c r="AC6" i="90"/>
  <c r="AB6" i="90"/>
  <c r="AA6" i="90"/>
  <c r="Z6" i="90"/>
  <c r="Y6" i="90"/>
  <c r="X6" i="90"/>
  <c r="V6" i="90"/>
  <c r="U6" i="90"/>
  <c r="T6" i="90"/>
  <c r="S6" i="90"/>
  <c r="R6" i="90"/>
  <c r="Q6" i="90"/>
  <c r="P6" i="90"/>
  <c r="O6" i="90"/>
  <c r="N6" i="90"/>
  <c r="M6" i="90"/>
  <c r="BC5" i="90"/>
  <c r="BB5" i="90"/>
  <c r="BA5" i="90"/>
  <c r="AZ5" i="90"/>
  <c r="AY5" i="90"/>
  <c r="AX5" i="90"/>
  <c r="AW5" i="90"/>
  <c r="AV5" i="90"/>
  <c r="AU5" i="90"/>
  <c r="AR5" i="90"/>
  <c r="AQ5" i="90"/>
  <c r="AP5" i="90"/>
  <c r="AO5" i="90"/>
  <c r="AN5" i="90"/>
  <c r="AM5" i="90"/>
  <c r="AL5" i="90"/>
  <c r="AK5" i="90"/>
  <c r="AJ5" i="90"/>
  <c r="AI5" i="90"/>
  <c r="AG5" i="90"/>
  <c r="AF5" i="90"/>
  <c r="AE5" i="90"/>
  <c r="AD5" i="90"/>
  <c r="AC5" i="90"/>
  <c r="AB5" i="90"/>
  <c r="AA5" i="90"/>
  <c r="Z5" i="90"/>
  <c r="Y5" i="90"/>
  <c r="X5" i="90"/>
  <c r="V5" i="90"/>
  <c r="U5" i="90"/>
  <c r="T5" i="90"/>
  <c r="S5" i="90"/>
  <c r="R5" i="90"/>
  <c r="Q5" i="90"/>
  <c r="P5" i="90"/>
  <c r="O5" i="90"/>
  <c r="N5" i="90"/>
  <c r="M5" i="90"/>
  <c r="BC4" i="90"/>
  <c r="BB4" i="90"/>
  <c r="BA4" i="90"/>
  <c r="AZ4" i="90"/>
  <c r="AY4" i="90"/>
  <c r="AX4" i="90"/>
  <c r="AW4" i="90"/>
  <c r="AV4" i="90"/>
  <c r="AU4" i="90"/>
  <c r="AR4" i="90"/>
  <c r="AQ4" i="90"/>
  <c r="AP4" i="90"/>
  <c r="AO4" i="90"/>
  <c r="AN4" i="90"/>
  <c r="AM4" i="90"/>
  <c r="AL4" i="90"/>
  <c r="AK4" i="90"/>
  <c r="AJ4" i="90"/>
  <c r="AI4" i="90"/>
  <c r="AG4" i="90"/>
  <c r="AF4" i="90"/>
  <c r="AE4" i="90"/>
  <c r="AD4" i="90"/>
  <c r="AC4" i="90"/>
  <c r="AB4" i="90"/>
  <c r="AA4" i="90"/>
  <c r="Z4" i="90"/>
  <c r="Y4" i="90"/>
  <c r="X4" i="90"/>
  <c r="V4" i="90"/>
  <c r="U4" i="90"/>
  <c r="T4" i="90"/>
  <c r="S4" i="90"/>
  <c r="R4" i="90"/>
  <c r="Q4" i="90"/>
  <c r="P4" i="90"/>
  <c r="O4" i="90"/>
  <c r="N4" i="90"/>
  <c r="M4" i="90"/>
  <c r="BC3" i="90"/>
  <c r="BB3" i="90"/>
  <c r="BA3" i="90"/>
  <c r="AZ3" i="90"/>
  <c r="AY3" i="90"/>
  <c r="AX3" i="90"/>
  <c r="AW3" i="90"/>
  <c r="AV3" i="90"/>
  <c r="AU3" i="90"/>
  <c r="AR3" i="90"/>
  <c r="AQ3" i="90"/>
  <c r="AP3" i="90"/>
  <c r="AO3" i="90"/>
  <c r="AN3" i="90"/>
  <c r="AM3" i="90"/>
  <c r="AL3" i="90"/>
  <c r="AK3" i="90"/>
  <c r="AJ3" i="90"/>
  <c r="AI3" i="90"/>
  <c r="AG3" i="90"/>
  <c r="AF3" i="90"/>
  <c r="AE3" i="90"/>
  <c r="AD3" i="90"/>
  <c r="AC3" i="90"/>
  <c r="AB3" i="90"/>
  <c r="AA3" i="90"/>
  <c r="Z3" i="90"/>
  <c r="Y3" i="90"/>
  <c r="X3" i="90"/>
  <c r="V3" i="90"/>
  <c r="U3" i="90"/>
  <c r="T3" i="90"/>
  <c r="S3" i="90"/>
  <c r="BK3" i="90" s="1"/>
  <c r="BV3" i="90" s="1"/>
  <c r="R3" i="90"/>
  <c r="Q3" i="90"/>
  <c r="P3" i="90"/>
  <c r="O3" i="90"/>
  <c r="N3" i="90"/>
  <c r="M3" i="90"/>
  <c r="BC2" i="90"/>
  <c r="BB2" i="90"/>
  <c r="BA2" i="90"/>
  <c r="AZ2" i="90"/>
  <c r="AY2" i="90"/>
  <c r="AX2" i="90"/>
  <c r="AW2" i="90"/>
  <c r="AV2" i="90"/>
  <c r="AU2" i="90"/>
  <c r="AR2" i="90"/>
  <c r="AQ2" i="90"/>
  <c r="AP2" i="90"/>
  <c r="AO2" i="90"/>
  <c r="AN2" i="90"/>
  <c r="AM2" i="90"/>
  <c r="AL2" i="90"/>
  <c r="AK2" i="90"/>
  <c r="AJ2" i="90"/>
  <c r="AI2" i="90"/>
  <c r="AG2" i="90"/>
  <c r="AF2" i="90"/>
  <c r="AE2" i="90"/>
  <c r="AD2" i="90"/>
  <c r="AC2" i="90"/>
  <c r="AB2" i="90"/>
  <c r="AA2" i="90"/>
  <c r="Z2" i="90"/>
  <c r="Y2" i="90"/>
  <c r="X2" i="90"/>
  <c r="V2" i="90"/>
  <c r="U2" i="90"/>
  <c r="T2" i="90"/>
  <c r="S2" i="90"/>
  <c r="R2" i="90"/>
  <c r="Q2" i="90"/>
  <c r="P2" i="90"/>
  <c r="O2" i="90"/>
  <c r="N2" i="90"/>
  <c r="M2" i="90"/>
  <c r="BC30" i="89"/>
  <c r="BB30" i="89"/>
  <c r="BA30" i="89"/>
  <c r="AZ30" i="89"/>
  <c r="AY30" i="89"/>
  <c r="AX30" i="89"/>
  <c r="AW30" i="89"/>
  <c r="AV30" i="89"/>
  <c r="AU30" i="89"/>
  <c r="AR30" i="89"/>
  <c r="AQ30" i="89"/>
  <c r="AP30" i="89"/>
  <c r="AO30" i="89"/>
  <c r="AN30" i="89"/>
  <c r="AM30" i="89"/>
  <c r="AL30" i="89"/>
  <c r="AK30" i="89"/>
  <c r="AJ30" i="89"/>
  <c r="AI30" i="89"/>
  <c r="AG30" i="89"/>
  <c r="AF30" i="89"/>
  <c r="AE30" i="89"/>
  <c r="AD30" i="89"/>
  <c r="AC30" i="89"/>
  <c r="AB30" i="89"/>
  <c r="AA30" i="89"/>
  <c r="Z30" i="89"/>
  <c r="Y30" i="89"/>
  <c r="X30" i="89"/>
  <c r="V30" i="89"/>
  <c r="U30" i="89"/>
  <c r="T30" i="89"/>
  <c r="S30" i="89"/>
  <c r="R30" i="89"/>
  <c r="Q30" i="89"/>
  <c r="P30" i="89"/>
  <c r="O30" i="89"/>
  <c r="N30" i="89"/>
  <c r="M30" i="89"/>
  <c r="BC29" i="89"/>
  <c r="BB29" i="89"/>
  <c r="BA29" i="89"/>
  <c r="AZ29" i="89"/>
  <c r="AY29" i="89"/>
  <c r="AX29" i="89"/>
  <c r="AW29" i="89"/>
  <c r="AV29" i="89"/>
  <c r="AU29" i="89"/>
  <c r="AR29" i="89"/>
  <c r="AQ29" i="89"/>
  <c r="AP29" i="89"/>
  <c r="AO29" i="89"/>
  <c r="AN29" i="89"/>
  <c r="AM29" i="89"/>
  <c r="AL29" i="89"/>
  <c r="AK29" i="89"/>
  <c r="AJ29" i="89"/>
  <c r="AI29" i="89"/>
  <c r="AG29" i="89"/>
  <c r="AF29" i="89"/>
  <c r="AE29" i="89"/>
  <c r="AD29" i="89"/>
  <c r="AC29" i="89"/>
  <c r="AB29" i="89"/>
  <c r="AA29" i="89"/>
  <c r="Z29" i="89"/>
  <c r="Y29" i="89"/>
  <c r="X29" i="89"/>
  <c r="V29" i="89"/>
  <c r="U29" i="89"/>
  <c r="T29" i="89"/>
  <c r="S29" i="89"/>
  <c r="BK29" i="89" s="1"/>
  <c r="BV29" i="89" s="1"/>
  <c r="R29" i="89"/>
  <c r="Q29" i="89"/>
  <c r="P29" i="89"/>
  <c r="O29" i="89"/>
  <c r="N29" i="89"/>
  <c r="M29" i="89"/>
  <c r="BC28" i="89"/>
  <c r="BB28" i="89"/>
  <c r="BA28" i="89"/>
  <c r="AZ28" i="89"/>
  <c r="AY28" i="89"/>
  <c r="AX28" i="89"/>
  <c r="AW28" i="89"/>
  <c r="AV28" i="89"/>
  <c r="AU28" i="89"/>
  <c r="AR28" i="89"/>
  <c r="AQ28" i="89"/>
  <c r="AP28" i="89"/>
  <c r="AO28" i="89"/>
  <c r="AN28" i="89"/>
  <c r="AM28" i="89"/>
  <c r="AL28" i="89"/>
  <c r="AK28" i="89"/>
  <c r="AJ28" i="89"/>
  <c r="AI28" i="89"/>
  <c r="AG28" i="89"/>
  <c r="AF28" i="89"/>
  <c r="AE28" i="89"/>
  <c r="AD28" i="89"/>
  <c r="AC28" i="89"/>
  <c r="AB28" i="89"/>
  <c r="AA28" i="89"/>
  <c r="Z28" i="89"/>
  <c r="Y28" i="89"/>
  <c r="X28" i="89"/>
  <c r="V28" i="89"/>
  <c r="U28" i="89"/>
  <c r="T28" i="89"/>
  <c r="S28" i="89"/>
  <c r="R28" i="89"/>
  <c r="BJ28" i="89" s="1"/>
  <c r="BU28" i="89" s="1"/>
  <c r="Q28" i="89"/>
  <c r="P28" i="89"/>
  <c r="O28" i="89"/>
  <c r="N28" i="89"/>
  <c r="M28" i="89"/>
  <c r="BC27" i="89"/>
  <c r="BB27" i="89"/>
  <c r="BA27" i="89"/>
  <c r="AZ27" i="89"/>
  <c r="AY27" i="89"/>
  <c r="AX27" i="89"/>
  <c r="AW27" i="89"/>
  <c r="AV27" i="89"/>
  <c r="AU27" i="89"/>
  <c r="AR27" i="89"/>
  <c r="AQ27" i="89"/>
  <c r="AP27" i="89"/>
  <c r="AO27" i="89"/>
  <c r="AN27" i="89"/>
  <c r="AM27" i="89"/>
  <c r="AL27" i="89"/>
  <c r="AK27" i="89"/>
  <c r="AJ27" i="89"/>
  <c r="AI27" i="89"/>
  <c r="AG27" i="89"/>
  <c r="AF27" i="89"/>
  <c r="AE27" i="89"/>
  <c r="AD27" i="89"/>
  <c r="AC27" i="89"/>
  <c r="AB27" i="89"/>
  <c r="AA27" i="89"/>
  <c r="Z27" i="89"/>
  <c r="Y27" i="89"/>
  <c r="X27" i="89"/>
  <c r="V27" i="89"/>
  <c r="U27" i="89"/>
  <c r="T27" i="89"/>
  <c r="S27" i="89"/>
  <c r="R27" i="89"/>
  <c r="Q27" i="89"/>
  <c r="P27" i="89"/>
  <c r="O27" i="89"/>
  <c r="N27" i="89"/>
  <c r="M27" i="89"/>
  <c r="BC26" i="89"/>
  <c r="BB26" i="89"/>
  <c r="BA26" i="89"/>
  <c r="AZ26" i="89"/>
  <c r="AY26" i="89"/>
  <c r="AX26" i="89"/>
  <c r="AW26" i="89"/>
  <c r="AV26" i="89"/>
  <c r="AU26" i="89"/>
  <c r="AR26" i="89"/>
  <c r="AQ26" i="89"/>
  <c r="AP26" i="89"/>
  <c r="AO26" i="89"/>
  <c r="AN26" i="89"/>
  <c r="AM26" i="89"/>
  <c r="AL26" i="89"/>
  <c r="AK26" i="89"/>
  <c r="AJ26" i="89"/>
  <c r="AI26" i="89"/>
  <c r="AG26" i="89"/>
  <c r="AF26" i="89"/>
  <c r="AE26" i="89"/>
  <c r="AD26" i="89"/>
  <c r="AC26" i="89"/>
  <c r="AB26" i="89"/>
  <c r="AA26" i="89"/>
  <c r="Z26" i="89"/>
  <c r="Y26" i="89"/>
  <c r="X26" i="89"/>
  <c r="V26" i="89"/>
  <c r="U26" i="89"/>
  <c r="T26" i="89"/>
  <c r="S26" i="89"/>
  <c r="R26" i="89"/>
  <c r="Q26" i="89"/>
  <c r="P26" i="89"/>
  <c r="O26" i="89"/>
  <c r="N26" i="89"/>
  <c r="M26" i="89"/>
  <c r="BC25" i="89"/>
  <c r="BB25" i="89"/>
  <c r="BA25" i="89"/>
  <c r="AZ25" i="89"/>
  <c r="AY25" i="89"/>
  <c r="AX25" i="89"/>
  <c r="AW25" i="89"/>
  <c r="AV25" i="89"/>
  <c r="AU25" i="89"/>
  <c r="AR25" i="89"/>
  <c r="AQ25" i="89"/>
  <c r="AP25" i="89"/>
  <c r="AO25" i="89"/>
  <c r="AN25" i="89"/>
  <c r="AM25" i="89"/>
  <c r="AL25" i="89"/>
  <c r="AK25" i="89"/>
  <c r="AJ25" i="89"/>
  <c r="AI25" i="89"/>
  <c r="AG25" i="89"/>
  <c r="AF25" i="89"/>
  <c r="AE25" i="89"/>
  <c r="AD25" i="89"/>
  <c r="AC25" i="89"/>
  <c r="AB25" i="89"/>
  <c r="AA25" i="89"/>
  <c r="Z25" i="89"/>
  <c r="Y25" i="89"/>
  <c r="X25" i="89"/>
  <c r="V25" i="89"/>
  <c r="U25" i="89"/>
  <c r="T25" i="89"/>
  <c r="S25" i="89"/>
  <c r="R25" i="89"/>
  <c r="Q25" i="89"/>
  <c r="P25" i="89"/>
  <c r="O25" i="89"/>
  <c r="N25" i="89"/>
  <c r="M25" i="89"/>
  <c r="BC24" i="89"/>
  <c r="BB24" i="89"/>
  <c r="BA24" i="89"/>
  <c r="AZ24" i="89"/>
  <c r="AY24" i="89"/>
  <c r="AX24" i="89"/>
  <c r="AW24" i="89"/>
  <c r="AV24" i="89"/>
  <c r="AU24" i="89"/>
  <c r="AR24" i="89"/>
  <c r="AQ24" i="89"/>
  <c r="AP24" i="89"/>
  <c r="AO24" i="89"/>
  <c r="AN24" i="89"/>
  <c r="AM24" i="89"/>
  <c r="AL24" i="89"/>
  <c r="AK24" i="89"/>
  <c r="AJ24" i="89"/>
  <c r="AI24" i="89"/>
  <c r="AG24" i="89"/>
  <c r="AF24" i="89"/>
  <c r="AE24" i="89"/>
  <c r="AD24" i="89"/>
  <c r="AC24" i="89"/>
  <c r="AB24" i="89"/>
  <c r="AA24" i="89"/>
  <c r="Z24" i="89"/>
  <c r="Y24" i="89"/>
  <c r="X24" i="89"/>
  <c r="V24" i="89"/>
  <c r="U24" i="89"/>
  <c r="T24" i="89"/>
  <c r="S24" i="89"/>
  <c r="R24" i="89"/>
  <c r="Q24" i="89"/>
  <c r="P24" i="89"/>
  <c r="O24" i="89"/>
  <c r="N24" i="89"/>
  <c r="M24" i="89"/>
  <c r="BC23" i="89"/>
  <c r="BB23" i="89"/>
  <c r="BA23" i="89"/>
  <c r="AZ23" i="89"/>
  <c r="AY23" i="89"/>
  <c r="AX23" i="89"/>
  <c r="AW23" i="89"/>
  <c r="AV23" i="89"/>
  <c r="AU23" i="89"/>
  <c r="AR23" i="89"/>
  <c r="AQ23" i="89"/>
  <c r="AP23" i="89"/>
  <c r="AO23" i="89"/>
  <c r="AN23" i="89"/>
  <c r="AM23" i="89"/>
  <c r="AL23" i="89"/>
  <c r="AK23" i="89"/>
  <c r="AJ23" i="89"/>
  <c r="AI23" i="89"/>
  <c r="AG23" i="89"/>
  <c r="AF23" i="89"/>
  <c r="AE23" i="89"/>
  <c r="AD23" i="89"/>
  <c r="AC23" i="89"/>
  <c r="AB23" i="89"/>
  <c r="AA23" i="89"/>
  <c r="Z23" i="89"/>
  <c r="Y23" i="89"/>
  <c r="X23" i="89"/>
  <c r="V23" i="89"/>
  <c r="U23" i="89"/>
  <c r="T23" i="89"/>
  <c r="S23" i="89"/>
  <c r="R23" i="89"/>
  <c r="Q23" i="89"/>
  <c r="P23" i="89"/>
  <c r="O23" i="89"/>
  <c r="N23" i="89"/>
  <c r="M23" i="89"/>
  <c r="BC22" i="89"/>
  <c r="BB22" i="89"/>
  <c r="BA22" i="89"/>
  <c r="AZ22" i="89"/>
  <c r="AY22" i="89"/>
  <c r="AX22" i="89"/>
  <c r="AW22" i="89"/>
  <c r="AV22" i="89"/>
  <c r="AU22" i="89"/>
  <c r="AR22" i="89"/>
  <c r="AQ22" i="89"/>
  <c r="AP22" i="89"/>
  <c r="AO22" i="89"/>
  <c r="AN22" i="89"/>
  <c r="AM22" i="89"/>
  <c r="AL22" i="89"/>
  <c r="AK22" i="89"/>
  <c r="AJ22" i="89"/>
  <c r="AI22" i="89"/>
  <c r="AG22" i="89"/>
  <c r="AF22" i="89"/>
  <c r="AE22" i="89"/>
  <c r="AD22" i="89"/>
  <c r="AC22" i="89"/>
  <c r="AB22" i="89"/>
  <c r="AA22" i="89"/>
  <c r="Z22" i="89"/>
  <c r="Y22" i="89"/>
  <c r="X22" i="89"/>
  <c r="V22" i="89"/>
  <c r="U22" i="89"/>
  <c r="T22" i="89"/>
  <c r="S22" i="89"/>
  <c r="R22" i="89"/>
  <c r="Q22" i="89"/>
  <c r="P22" i="89"/>
  <c r="O22" i="89"/>
  <c r="N22" i="89"/>
  <c r="M22" i="89"/>
  <c r="BC21" i="89"/>
  <c r="BB21" i="89"/>
  <c r="BA21" i="89"/>
  <c r="AZ21" i="89"/>
  <c r="AY21" i="89"/>
  <c r="AX21" i="89"/>
  <c r="AW21" i="89"/>
  <c r="AV21" i="89"/>
  <c r="AU21" i="89"/>
  <c r="AR21" i="89"/>
  <c r="AQ21" i="89"/>
  <c r="AP21" i="89"/>
  <c r="AO21" i="89"/>
  <c r="AN21" i="89"/>
  <c r="AM21" i="89"/>
  <c r="AL21" i="89"/>
  <c r="AK21" i="89"/>
  <c r="AJ21" i="89"/>
  <c r="AI21" i="89"/>
  <c r="AG21" i="89"/>
  <c r="AF21" i="89"/>
  <c r="AE21" i="89"/>
  <c r="AD21" i="89"/>
  <c r="AC21" i="89"/>
  <c r="AB21" i="89"/>
  <c r="AA21" i="89"/>
  <c r="Z21" i="89"/>
  <c r="Y21" i="89"/>
  <c r="X21" i="89"/>
  <c r="V21" i="89"/>
  <c r="U21" i="89"/>
  <c r="T21" i="89"/>
  <c r="S21" i="89"/>
  <c r="R21" i="89"/>
  <c r="Q21" i="89"/>
  <c r="P21" i="89"/>
  <c r="O21" i="89"/>
  <c r="N21" i="89"/>
  <c r="M21" i="89"/>
  <c r="BC20" i="89"/>
  <c r="BB20" i="89"/>
  <c r="BA20" i="89"/>
  <c r="AZ20" i="89"/>
  <c r="AY20" i="89"/>
  <c r="AX20" i="89"/>
  <c r="AW20" i="89"/>
  <c r="AV20" i="89"/>
  <c r="AU20" i="89"/>
  <c r="AR20" i="89"/>
  <c r="AQ20" i="89"/>
  <c r="AP20" i="89"/>
  <c r="AO20" i="89"/>
  <c r="AN20" i="89"/>
  <c r="AM20" i="89"/>
  <c r="AL20" i="89"/>
  <c r="AK20" i="89"/>
  <c r="AJ20" i="89"/>
  <c r="AI20" i="89"/>
  <c r="AG20" i="89"/>
  <c r="AF20" i="89"/>
  <c r="AE20" i="89"/>
  <c r="AD20" i="89"/>
  <c r="AC20" i="89"/>
  <c r="AB20" i="89"/>
  <c r="AA20" i="89"/>
  <c r="Z20" i="89"/>
  <c r="Y20" i="89"/>
  <c r="X20" i="89"/>
  <c r="V20" i="89"/>
  <c r="U20" i="89"/>
  <c r="T20" i="89"/>
  <c r="S20" i="89"/>
  <c r="R20" i="89"/>
  <c r="Q20" i="89"/>
  <c r="P20" i="89"/>
  <c r="O20" i="89"/>
  <c r="N20" i="89"/>
  <c r="M20" i="89"/>
  <c r="BC19" i="89"/>
  <c r="BB19" i="89"/>
  <c r="BA19" i="89"/>
  <c r="AZ19" i="89"/>
  <c r="AY19" i="89"/>
  <c r="AX19" i="89"/>
  <c r="AW19" i="89"/>
  <c r="AV19" i="89"/>
  <c r="AU19" i="89"/>
  <c r="AR19" i="89"/>
  <c r="AQ19" i="89"/>
  <c r="AP19" i="89"/>
  <c r="AO19" i="89"/>
  <c r="AN19" i="89"/>
  <c r="AM19" i="89"/>
  <c r="AL19" i="89"/>
  <c r="AK19" i="89"/>
  <c r="AJ19" i="89"/>
  <c r="AI19" i="89"/>
  <c r="AG19" i="89"/>
  <c r="AF19" i="89"/>
  <c r="AE19" i="89"/>
  <c r="AD19" i="89"/>
  <c r="AC19" i="89"/>
  <c r="AB19" i="89"/>
  <c r="AA19" i="89"/>
  <c r="Z19" i="89"/>
  <c r="Y19" i="89"/>
  <c r="X19" i="89"/>
  <c r="V19" i="89"/>
  <c r="U19" i="89"/>
  <c r="T19" i="89"/>
  <c r="S19" i="89"/>
  <c r="R19" i="89"/>
  <c r="Q19" i="89"/>
  <c r="P19" i="89"/>
  <c r="O19" i="89"/>
  <c r="N19" i="89"/>
  <c r="M19" i="89"/>
  <c r="BC18" i="89"/>
  <c r="BB18" i="89"/>
  <c r="BA18" i="89"/>
  <c r="AZ18" i="89"/>
  <c r="AY18" i="89"/>
  <c r="AX18" i="89"/>
  <c r="AW18" i="89"/>
  <c r="AV18" i="89"/>
  <c r="AU18" i="89"/>
  <c r="AR18" i="89"/>
  <c r="AQ18" i="89"/>
  <c r="AP18" i="89"/>
  <c r="AO18" i="89"/>
  <c r="AN18" i="89"/>
  <c r="AM18" i="89"/>
  <c r="AL18" i="89"/>
  <c r="AK18" i="89"/>
  <c r="AJ18" i="89"/>
  <c r="AI18" i="89"/>
  <c r="AG18" i="89"/>
  <c r="AF18" i="89"/>
  <c r="AE18" i="89"/>
  <c r="AD18" i="89"/>
  <c r="AC18" i="89"/>
  <c r="AB18" i="89"/>
  <c r="AA18" i="89"/>
  <c r="Z18" i="89"/>
  <c r="Y18" i="89"/>
  <c r="X18" i="89"/>
  <c r="V18" i="89"/>
  <c r="U18" i="89"/>
  <c r="T18" i="89"/>
  <c r="S18" i="89"/>
  <c r="R18" i="89"/>
  <c r="Q18" i="89"/>
  <c r="P18" i="89"/>
  <c r="O18" i="89"/>
  <c r="N18" i="89"/>
  <c r="M18" i="89"/>
  <c r="BC17" i="89"/>
  <c r="BB17" i="89"/>
  <c r="BA17" i="89"/>
  <c r="AZ17" i="89"/>
  <c r="AY17" i="89"/>
  <c r="AX17" i="89"/>
  <c r="AW17" i="89"/>
  <c r="AV17" i="89"/>
  <c r="AU17" i="89"/>
  <c r="AR17" i="89"/>
  <c r="AQ17" i="89"/>
  <c r="AP17" i="89"/>
  <c r="AO17" i="89"/>
  <c r="AN17" i="89"/>
  <c r="AM17" i="89"/>
  <c r="AL17" i="89"/>
  <c r="AK17" i="89"/>
  <c r="AJ17" i="89"/>
  <c r="AI17" i="89"/>
  <c r="AG17" i="89"/>
  <c r="AF17" i="89"/>
  <c r="AE17" i="89"/>
  <c r="AD17" i="89"/>
  <c r="AC17" i="89"/>
  <c r="AB17" i="89"/>
  <c r="AA17" i="89"/>
  <c r="Z17" i="89"/>
  <c r="Y17" i="89"/>
  <c r="X17" i="89"/>
  <c r="V17" i="89"/>
  <c r="U17" i="89"/>
  <c r="T17" i="89"/>
  <c r="S17" i="89"/>
  <c r="R17" i="89"/>
  <c r="Q17" i="89"/>
  <c r="P17" i="89"/>
  <c r="O17" i="89"/>
  <c r="N17" i="89"/>
  <c r="M17" i="89"/>
  <c r="BC16" i="89"/>
  <c r="BB16" i="89"/>
  <c r="BA16" i="89"/>
  <c r="AZ16" i="89"/>
  <c r="AY16" i="89"/>
  <c r="AX16" i="89"/>
  <c r="AW16" i="89"/>
  <c r="AV16" i="89"/>
  <c r="AU16" i="89"/>
  <c r="AR16" i="89"/>
  <c r="AQ16" i="89"/>
  <c r="AP16" i="89"/>
  <c r="AO16" i="89"/>
  <c r="AN16" i="89"/>
  <c r="AM16" i="89"/>
  <c r="AL16" i="89"/>
  <c r="AK16" i="89"/>
  <c r="AJ16" i="89"/>
  <c r="AI16" i="89"/>
  <c r="AG16" i="89"/>
  <c r="AF16" i="89"/>
  <c r="AE16" i="89"/>
  <c r="AD16" i="89"/>
  <c r="AC16" i="89"/>
  <c r="AB16" i="89"/>
  <c r="AA16" i="89"/>
  <c r="Z16" i="89"/>
  <c r="Y16" i="89"/>
  <c r="X16" i="89"/>
  <c r="V16" i="89"/>
  <c r="U16" i="89"/>
  <c r="T16" i="89"/>
  <c r="S16" i="89"/>
  <c r="BK16" i="89" s="1"/>
  <c r="BV16" i="89" s="1"/>
  <c r="R16" i="89"/>
  <c r="Q16" i="89"/>
  <c r="P16" i="89"/>
  <c r="O16" i="89"/>
  <c r="N16" i="89"/>
  <c r="M16" i="89"/>
  <c r="BC15" i="89"/>
  <c r="BB15" i="89"/>
  <c r="BA15" i="89"/>
  <c r="AZ15" i="89"/>
  <c r="AY15" i="89"/>
  <c r="AX15" i="89"/>
  <c r="AW15" i="89"/>
  <c r="AV15" i="89"/>
  <c r="AU15" i="89"/>
  <c r="AR15" i="89"/>
  <c r="AQ15" i="89"/>
  <c r="AP15" i="89"/>
  <c r="AO15" i="89"/>
  <c r="AN15" i="89"/>
  <c r="AM15" i="89"/>
  <c r="AL15" i="89"/>
  <c r="AK15" i="89"/>
  <c r="AJ15" i="89"/>
  <c r="AI15" i="89"/>
  <c r="AG15" i="89"/>
  <c r="AF15" i="89"/>
  <c r="AE15" i="89"/>
  <c r="AD15" i="89"/>
  <c r="AC15" i="89"/>
  <c r="AB15" i="89"/>
  <c r="AA15" i="89"/>
  <c r="Z15" i="89"/>
  <c r="Y15" i="89"/>
  <c r="X15" i="89"/>
  <c r="V15" i="89"/>
  <c r="U15" i="89"/>
  <c r="T15" i="89"/>
  <c r="S15" i="89"/>
  <c r="R15" i="89"/>
  <c r="Q15" i="89"/>
  <c r="P15" i="89"/>
  <c r="O15" i="89"/>
  <c r="N15" i="89"/>
  <c r="M15" i="89"/>
  <c r="BC14" i="89"/>
  <c r="BB14" i="89"/>
  <c r="BA14" i="89"/>
  <c r="AZ14" i="89"/>
  <c r="AY14" i="89"/>
  <c r="AX14" i="89"/>
  <c r="AW14" i="89"/>
  <c r="AV14" i="89"/>
  <c r="AU14" i="89"/>
  <c r="AR14" i="89"/>
  <c r="AQ14" i="89"/>
  <c r="AP14" i="89"/>
  <c r="AO14" i="89"/>
  <c r="AN14" i="89"/>
  <c r="AM14" i="89"/>
  <c r="AL14" i="89"/>
  <c r="AK14" i="89"/>
  <c r="AJ14" i="89"/>
  <c r="AI14" i="89"/>
  <c r="AG14" i="89"/>
  <c r="AF14" i="89"/>
  <c r="AE14" i="89"/>
  <c r="AD14" i="89"/>
  <c r="AC14" i="89"/>
  <c r="AB14" i="89"/>
  <c r="AA14" i="89"/>
  <c r="Z14" i="89"/>
  <c r="Y14" i="89"/>
  <c r="X14" i="89"/>
  <c r="V14" i="89"/>
  <c r="U14" i="89"/>
  <c r="T14" i="89"/>
  <c r="S14" i="89"/>
  <c r="R14" i="89"/>
  <c r="Q14" i="89"/>
  <c r="P14" i="89"/>
  <c r="O14" i="89"/>
  <c r="N14" i="89"/>
  <c r="M14" i="89"/>
  <c r="BC13" i="89"/>
  <c r="BB13" i="89"/>
  <c r="BA13" i="89"/>
  <c r="AZ13" i="89"/>
  <c r="AY13" i="89"/>
  <c r="AX13" i="89"/>
  <c r="AW13" i="89"/>
  <c r="AV13" i="89"/>
  <c r="AU13" i="89"/>
  <c r="AR13" i="89"/>
  <c r="AQ13" i="89"/>
  <c r="AP13" i="89"/>
  <c r="AO13" i="89"/>
  <c r="AN13" i="89"/>
  <c r="AM13" i="89"/>
  <c r="AL13" i="89"/>
  <c r="AK13" i="89"/>
  <c r="AJ13" i="89"/>
  <c r="AI13" i="89"/>
  <c r="AG13" i="89"/>
  <c r="AF13" i="89"/>
  <c r="AE13" i="89"/>
  <c r="AD13" i="89"/>
  <c r="AC13" i="89"/>
  <c r="AB13" i="89"/>
  <c r="AA13" i="89"/>
  <c r="Z13" i="89"/>
  <c r="Y13" i="89"/>
  <c r="X13" i="89"/>
  <c r="V13" i="89"/>
  <c r="U13" i="89"/>
  <c r="T13" i="89"/>
  <c r="S13" i="89"/>
  <c r="R13" i="89"/>
  <c r="Q13" i="89"/>
  <c r="P13" i="89"/>
  <c r="O13" i="89"/>
  <c r="N13" i="89"/>
  <c r="M13" i="89"/>
  <c r="BC12" i="89"/>
  <c r="BB12" i="89"/>
  <c r="BA12" i="89"/>
  <c r="AZ12" i="89"/>
  <c r="AY12" i="89"/>
  <c r="AX12" i="89"/>
  <c r="AW12" i="89"/>
  <c r="AV12" i="89"/>
  <c r="AU12" i="89"/>
  <c r="AR12" i="89"/>
  <c r="AQ12" i="89"/>
  <c r="AP12" i="89"/>
  <c r="AO12" i="89"/>
  <c r="AN12" i="89"/>
  <c r="AM12" i="89"/>
  <c r="AL12" i="89"/>
  <c r="AK12" i="89"/>
  <c r="AJ12" i="89"/>
  <c r="AI12" i="89"/>
  <c r="AG12" i="89"/>
  <c r="AF12" i="89"/>
  <c r="AE12" i="89"/>
  <c r="AD12" i="89"/>
  <c r="AC12" i="89"/>
  <c r="AB12" i="89"/>
  <c r="AA12" i="89"/>
  <c r="Z12" i="89"/>
  <c r="Y12" i="89"/>
  <c r="X12" i="89"/>
  <c r="V12" i="89"/>
  <c r="U12" i="89"/>
  <c r="T12" i="89"/>
  <c r="S12" i="89"/>
  <c r="R12" i="89"/>
  <c r="Q12" i="89"/>
  <c r="P12" i="89"/>
  <c r="O12" i="89"/>
  <c r="N12" i="89"/>
  <c r="M12" i="89"/>
  <c r="BC11" i="89"/>
  <c r="BB11" i="89"/>
  <c r="BA11" i="89"/>
  <c r="AZ11" i="89"/>
  <c r="AY11" i="89"/>
  <c r="AX11" i="89"/>
  <c r="AW11" i="89"/>
  <c r="AV11" i="89"/>
  <c r="AU11" i="89"/>
  <c r="AR11" i="89"/>
  <c r="AQ11" i="89"/>
  <c r="AP11" i="89"/>
  <c r="AO11" i="89"/>
  <c r="AN11" i="89"/>
  <c r="AM11" i="89"/>
  <c r="AL11" i="89"/>
  <c r="AK11" i="89"/>
  <c r="AJ11" i="89"/>
  <c r="AI11" i="89"/>
  <c r="AG11" i="89"/>
  <c r="AF11" i="89"/>
  <c r="AE11" i="89"/>
  <c r="AD11" i="89"/>
  <c r="AC11" i="89"/>
  <c r="AB11" i="89"/>
  <c r="AA11" i="89"/>
  <c r="Z11" i="89"/>
  <c r="Y11" i="89"/>
  <c r="X11" i="89"/>
  <c r="V11" i="89"/>
  <c r="U11" i="89"/>
  <c r="T11" i="89"/>
  <c r="S11" i="89"/>
  <c r="R11" i="89"/>
  <c r="Q11" i="89"/>
  <c r="P11" i="89"/>
  <c r="O11" i="89"/>
  <c r="N11" i="89"/>
  <c r="M11" i="89"/>
  <c r="BC10" i="89"/>
  <c r="BB10" i="89"/>
  <c r="BA10" i="89"/>
  <c r="AZ10" i="89"/>
  <c r="AY10" i="89"/>
  <c r="AX10" i="89"/>
  <c r="AW10" i="89"/>
  <c r="AV10" i="89"/>
  <c r="AU10" i="89"/>
  <c r="AR10" i="89"/>
  <c r="AQ10" i="89"/>
  <c r="AP10" i="89"/>
  <c r="AO10" i="89"/>
  <c r="AN10" i="89"/>
  <c r="AM10" i="89"/>
  <c r="AL10" i="89"/>
  <c r="AK10" i="89"/>
  <c r="AJ10" i="89"/>
  <c r="AI10" i="89"/>
  <c r="AG10" i="89"/>
  <c r="AF10" i="89"/>
  <c r="AE10" i="89"/>
  <c r="AD10" i="89"/>
  <c r="AC10" i="89"/>
  <c r="AB10" i="89"/>
  <c r="AA10" i="89"/>
  <c r="Z10" i="89"/>
  <c r="Y10" i="89"/>
  <c r="X10" i="89"/>
  <c r="V10" i="89"/>
  <c r="U10" i="89"/>
  <c r="T10" i="89"/>
  <c r="S10" i="89"/>
  <c r="R10" i="89"/>
  <c r="Q10" i="89"/>
  <c r="P10" i="89"/>
  <c r="O10" i="89"/>
  <c r="N10" i="89"/>
  <c r="M10" i="89"/>
  <c r="BC9" i="89"/>
  <c r="BB9" i="89"/>
  <c r="BA9" i="89"/>
  <c r="AZ9" i="89"/>
  <c r="AY9" i="89"/>
  <c r="AX9" i="89"/>
  <c r="AW9" i="89"/>
  <c r="AV9" i="89"/>
  <c r="AU9" i="89"/>
  <c r="AR9" i="89"/>
  <c r="AQ9" i="89"/>
  <c r="AP9" i="89"/>
  <c r="AO9" i="89"/>
  <c r="AN9" i="89"/>
  <c r="AM9" i="89"/>
  <c r="AL9" i="89"/>
  <c r="AK9" i="89"/>
  <c r="AJ9" i="89"/>
  <c r="AI9" i="89"/>
  <c r="AG9" i="89"/>
  <c r="AF9" i="89"/>
  <c r="AE9" i="89"/>
  <c r="AD9" i="89"/>
  <c r="AC9" i="89"/>
  <c r="AB9" i="89"/>
  <c r="AA9" i="89"/>
  <c r="Z9" i="89"/>
  <c r="Y9" i="89"/>
  <c r="X9" i="89"/>
  <c r="V9" i="89"/>
  <c r="U9" i="89"/>
  <c r="T9" i="89"/>
  <c r="S9" i="89"/>
  <c r="R9" i="89"/>
  <c r="Q9" i="89"/>
  <c r="P9" i="89"/>
  <c r="O9" i="89"/>
  <c r="N9" i="89"/>
  <c r="M9" i="89"/>
  <c r="BC8" i="89"/>
  <c r="BB8" i="89"/>
  <c r="BA8" i="89"/>
  <c r="AZ8" i="89"/>
  <c r="AY8" i="89"/>
  <c r="AX8" i="89"/>
  <c r="AW8" i="89"/>
  <c r="AV8" i="89"/>
  <c r="AU8" i="89"/>
  <c r="AR8" i="89"/>
  <c r="AQ8" i="89"/>
  <c r="AP8" i="89"/>
  <c r="AO8" i="89"/>
  <c r="AN8" i="89"/>
  <c r="AM8" i="89"/>
  <c r="AL8" i="89"/>
  <c r="AK8" i="89"/>
  <c r="AJ8" i="89"/>
  <c r="AI8" i="89"/>
  <c r="AG8" i="89"/>
  <c r="AF8" i="89"/>
  <c r="AE8" i="89"/>
  <c r="AD8" i="89"/>
  <c r="AC8" i="89"/>
  <c r="AB8" i="89"/>
  <c r="AA8" i="89"/>
  <c r="Z8" i="89"/>
  <c r="Y8" i="89"/>
  <c r="X8" i="89"/>
  <c r="V8" i="89"/>
  <c r="U8" i="89"/>
  <c r="T8" i="89"/>
  <c r="S8" i="89"/>
  <c r="R8" i="89"/>
  <c r="Q8" i="89"/>
  <c r="P8" i="89"/>
  <c r="O8" i="89"/>
  <c r="N8" i="89"/>
  <c r="M8" i="89"/>
  <c r="BC7" i="89"/>
  <c r="BB7" i="89"/>
  <c r="BA7" i="89"/>
  <c r="AZ7" i="89"/>
  <c r="AY7" i="89"/>
  <c r="AX7" i="89"/>
  <c r="AW7" i="89"/>
  <c r="AV7" i="89"/>
  <c r="AU7" i="89"/>
  <c r="AR7" i="89"/>
  <c r="AQ7" i="89"/>
  <c r="AP7" i="89"/>
  <c r="AO7" i="89"/>
  <c r="AN7" i="89"/>
  <c r="AM7" i="89"/>
  <c r="AL7" i="89"/>
  <c r="AK7" i="89"/>
  <c r="AJ7" i="89"/>
  <c r="AI7" i="89"/>
  <c r="AG7" i="89"/>
  <c r="AF7" i="89"/>
  <c r="AE7" i="89"/>
  <c r="AD7" i="89"/>
  <c r="AC7" i="89"/>
  <c r="AB7" i="89"/>
  <c r="AA7" i="89"/>
  <c r="Z7" i="89"/>
  <c r="Y7" i="89"/>
  <c r="X7" i="89"/>
  <c r="V7" i="89"/>
  <c r="U7" i="89"/>
  <c r="T7" i="89"/>
  <c r="S7" i="89"/>
  <c r="R7" i="89"/>
  <c r="Q7" i="89"/>
  <c r="P7" i="89"/>
  <c r="O7" i="89"/>
  <c r="N7" i="89"/>
  <c r="M7" i="89"/>
  <c r="BC6" i="89"/>
  <c r="BB6" i="89"/>
  <c r="BA6" i="89"/>
  <c r="AZ6" i="89"/>
  <c r="AY6" i="89"/>
  <c r="AX6" i="89"/>
  <c r="AW6" i="89"/>
  <c r="AV6" i="89"/>
  <c r="AU6" i="89"/>
  <c r="AR6" i="89"/>
  <c r="AQ6" i="89"/>
  <c r="AP6" i="89"/>
  <c r="AO6" i="89"/>
  <c r="AN6" i="89"/>
  <c r="AM6" i="89"/>
  <c r="AL6" i="89"/>
  <c r="AK6" i="89"/>
  <c r="AJ6" i="89"/>
  <c r="AI6" i="89"/>
  <c r="AG6" i="89"/>
  <c r="AF6" i="89"/>
  <c r="AE6" i="89"/>
  <c r="AD6" i="89"/>
  <c r="AC6" i="89"/>
  <c r="AB6" i="89"/>
  <c r="AA6" i="89"/>
  <c r="Z6" i="89"/>
  <c r="Y6" i="89"/>
  <c r="X6" i="89"/>
  <c r="V6" i="89"/>
  <c r="U6" i="89"/>
  <c r="T6" i="89"/>
  <c r="S6" i="89"/>
  <c r="R6" i="89"/>
  <c r="Q6" i="89"/>
  <c r="P6" i="89"/>
  <c r="O6" i="89"/>
  <c r="N6" i="89"/>
  <c r="M6" i="89"/>
  <c r="BC5" i="89"/>
  <c r="BB5" i="89"/>
  <c r="BA5" i="89"/>
  <c r="AZ5" i="89"/>
  <c r="AY5" i="89"/>
  <c r="AX5" i="89"/>
  <c r="AW5" i="89"/>
  <c r="AV5" i="89"/>
  <c r="AU5" i="89"/>
  <c r="AR5" i="89"/>
  <c r="AQ5" i="89"/>
  <c r="AP5" i="89"/>
  <c r="AO5" i="89"/>
  <c r="AN5" i="89"/>
  <c r="AM5" i="89"/>
  <c r="AL5" i="89"/>
  <c r="AK5" i="89"/>
  <c r="AJ5" i="89"/>
  <c r="AI5" i="89"/>
  <c r="AG5" i="89"/>
  <c r="AF5" i="89"/>
  <c r="AE5" i="89"/>
  <c r="AD5" i="89"/>
  <c r="AC5" i="89"/>
  <c r="AB5" i="89"/>
  <c r="AA5" i="89"/>
  <c r="Z5" i="89"/>
  <c r="Y5" i="89"/>
  <c r="X5" i="89"/>
  <c r="V5" i="89"/>
  <c r="U5" i="89"/>
  <c r="T5" i="89"/>
  <c r="S5" i="89"/>
  <c r="R5" i="89"/>
  <c r="Q5" i="89"/>
  <c r="P5" i="89"/>
  <c r="O5" i="89"/>
  <c r="N5" i="89"/>
  <c r="M5" i="89"/>
  <c r="BC4" i="89"/>
  <c r="BB4" i="89"/>
  <c r="BA4" i="89"/>
  <c r="AZ4" i="89"/>
  <c r="AY4" i="89"/>
  <c r="AX4" i="89"/>
  <c r="AW4" i="89"/>
  <c r="AV4" i="89"/>
  <c r="AU4" i="89"/>
  <c r="AR4" i="89"/>
  <c r="AQ4" i="89"/>
  <c r="AP4" i="89"/>
  <c r="AO4" i="89"/>
  <c r="AN4" i="89"/>
  <c r="AM4" i="89"/>
  <c r="AL4" i="89"/>
  <c r="AK4" i="89"/>
  <c r="AJ4" i="89"/>
  <c r="AI4" i="89"/>
  <c r="AG4" i="89"/>
  <c r="AF4" i="89"/>
  <c r="AE4" i="89"/>
  <c r="AD4" i="89"/>
  <c r="AC4" i="89"/>
  <c r="AB4" i="89"/>
  <c r="AA4" i="89"/>
  <c r="Z4" i="89"/>
  <c r="Y4" i="89"/>
  <c r="X4" i="89"/>
  <c r="V4" i="89"/>
  <c r="U4" i="89"/>
  <c r="T4" i="89"/>
  <c r="S4" i="89"/>
  <c r="R4" i="89"/>
  <c r="Q4" i="89"/>
  <c r="P4" i="89"/>
  <c r="O4" i="89"/>
  <c r="N4" i="89"/>
  <c r="M4" i="89"/>
  <c r="BC3" i="89"/>
  <c r="BB3" i="89"/>
  <c r="BA3" i="89"/>
  <c r="AZ3" i="89"/>
  <c r="AY3" i="89"/>
  <c r="AX3" i="89"/>
  <c r="AW3" i="89"/>
  <c r="AV3" i="89"/>
  <c r="AU3" i="89"/>
  <c r="AR3" i="89"/>
  <c r="AQ3" i="89"/>
  <c r="AP3" i="89"/>
  <c r="AO3" i="89"/>
  <c r="AN3" i="89"/>
  <c r="AM3" i="89"/>
  <c r="AL3" i="89"/>
  <c r="AK3" i="89"/>
  <c r="AJ3" i="89"/>
  <c r="AI3" i="89"/>
  <c r="AG3" i="89"/>
  <c r="AF3" i="89"/>
  <c r="AE3" i="89"/>
  <c r="AD3" i="89"/>
  <c r="AC3" i="89"/>
  <c r="AB3" i="89"/>
  <c r="AA3" i="89"/>
  <c r="Z3" i="89"/>
  <c r="Y3" i="89"/>
  <c r="X3" i="89"/>
  <c r="V3" i="89"/>
  <c r="U3" i="89"/>
  <c r="T3" i="89"/>
  <c r="S3" i="89"/>
  <c r="R3" i="89"/>
  <c r="Q3" i="89"/>
  <c r="P3" i="89"/>
  <c r="O3" i="89"/>
  <c r="N3" i="89"/>
  <c r="M3" i="89"/>
  <c r="BC2" i="89"/>
  <c r="BB2" i="89"/>
  <c r="BA2" i="89"/>
  <c r="AZ2" i="89"/>
  <c r="AY2" i="89"/>
  <c r="AX2" i="89"/>
  <c r="AW2" i="89"/>
  <c r="AV2" i="89"/>
  <c r="AU2" i="89"/>
  <c r="AR2" i="89"/>
  <c r="AQ2" i="89"/>
  <c r="AP2" i="89"/>
  <c r="AO2" i="89"/>
  <c r="AN2" i="89"/>
  <c r="AM2" i="89"/>
  <c r="AL2" i="89"/>
  <c r="AK2" i="89"/>
  <c r="AJ2" i="89"/>
  <c r="AI2" i="89"/>
  <c r="AG2" i="89"/>
  <c r="AF2" i="89"/>
  <c r="AE2" i="89"/>
  <c r="AD2" i="89"/>
  <c r="AC2" i="89"/>
  <c r="AB2" i="89"/>
  <c r="AA2" i="89"/>
  <c r="Z2" i="89"/>
  <c r="Y2" i="89"/>
  <c r="X2" i="89"/>
  <c r="V2" i="89"/>
  <c r="U2" i="89"/>
  <c r="T2" i="89"/>
  <c r="S2" i="89"/>
  <c r="R2" i="89"/>
  <c r="Q2" i="89"/>
  <c r="P2" i="89"/>
  <c r="O2" i="89"/>
  <c r="N2" i="89"/>
  <c r="M2" i="89"/>
  <c r="H39" i="88"/>
  <c r="G39" i="88"/>
  <c r="AR32" i="88"/>
  <c r="AQ32" i="88"/>
  <c r="AR31" i="88"/>
  <c r="AQ31" i="88"/>
  <c r="AR30" i="88"/>
  <c r="AQ30" i="88"/>
  <c r="AR29" i="88"/>
  <c r="AQ29" i="88"/>
  <c r="AR28" i="88"/>
  <c r="AQ28" i="88"/>
  <c r="AR27" i="88"/>
  <c r="AQ27" i="88"/>
  <c r="AR26" i="88"/>
  <c r="AQ26" i="88"/>
  <c r="AR25" i="88"/>
  <c r="AQ25" i="88"/>
  <c r="AR24" i="88"/>
  <c r="AQ24" i="88"/>
  <c r="AR23" i="88"/>
  <c r="AQ23" i="88"/>
  <c r="AR22" i="88"/>
  <c r="AQ22" i="88"/>
  <c r="AR21" i="88"/>
  <c r="AQ21" i="88"/>
  <c r="AR20" i="88"/>
  <c r="AQ20" i="88"/>
  <c r="AR19" i="88"/>
  <c r="AQ19" i="88"/>
  <c r="AR18" i="88"/>
  <c r="AQ18" i="88"/>
  <c r="AR17" i="88"/>
  <c r="AQ17" i="88"/>
  <c r="AR16" i="88"/>
  <c r="AQ16" i="88"/>
  <c r="AR15" i="88"/>
  <c r="AQ15" i="88"/>
  <c r="AR14" i="88"/>
  <c r="AQ14" i="88"/>
  <c r="AR13" i="88"/>
  <c r="AQ13" i="88"/>
  <c r="AR12" i="88"/>
  <c r="AQ12" i="88"/>
  <c r="AR11" i="88"/>
  <c r="AQ11" i="88"/>
  <c r="AR10" i="88"/>
  <c r="AQ10" i="88"/>
  <c r="AR9" i="88"/>
  <c r="AQ9" i="88"/>
  <c r="AR8" i="88"/>
  <c r="AQ8" i="88"/>
  <c r="AR7" i="88"/>
  <c r="AQ7" i="88"/>
  <c r="AR6" i="88"/>
  <c r="AQ6" i="88"/>
  <c r="AR5" i="88"/>
  <c r="AQ5" i="88"/>
  <c r="AR4" i="88"/>
  <c r="AQ4" i="88"/>
  <c r="B1" i="88"/>
  <c r="DA4" i="88" s="1"/>
  <c r="M10" i="88" a="1"/>
  <c r="BC10" i="88" a="1"/>
  <c r="BZ8" i="88" a="1"/>
  <c r="H7" i="88" a="1"/>
  <c r="BR7" i="88" a="1"/>
  <c r="CJ6" i="88" a="1"/>
  <c r="BJ4" i="88" a="1"/>
  <c r="Z4" i="88" a="1"/>
  <c r="K6" i="88" a="1"/>
  <c r="W9" i="88" a="1"/>
  <c r="K7" i="88" a="1"/>
  <c r="Z22" i="88" a="1"/>
  <c r="CE10" i="88" a="1"/>
  <c r="DM6" i="88" a="1"/>
  <c r="CJ5" i="88" a="1"/>
  <c r="Z6" i="88" a="1"/>
  <c r="U20" i="88" a="1"/>
  <c r="CJ9" i="88" a="1"/>
  <c r="D6" i="88" a="1"/>
  <c r="BC6" i="88" a="1"/>
  <c r="BK6" i="88" a="1"/>
  <c r="BR6" i="88" a="1"/>
  <c r="BU19" i="88" a="1"/>
  <c r="BU5" i="88" a="1"/>
  <c r="K14" i="88" a="1"/>
  <c r="E9" i="88" a="1"/>
  <c r="C10" i="88" a="1"/>
  <c r="BK10" i="88" a="1"/>
  <c r="BR13" i="88" a="1"/>
  <c r="CE13" i="88" a="1"/>
  <c r="BJ5" i="88" a="1"/>
  <c r="P9" i="88" a="1"/>
  <c r="BZ6" i="88" a="1"/>
  <c r="BJ9" i="88" a="1"/>
  <c r="DM18" i="88" a="1"/>
  <c r="K11" i="88" a="1"/>
  <c r="BN9" i="88" a="1"/>
  <c r="M6" i="88" a="1"/>
  <c r="R9" i="88" a="1"/>
  <c r="P5" i="88" a="1"/>
  <c r="DM13" i="88" a="1"/>
  <c r="BJ12" i="88" a="1"/>
  <c r="BI5" i="88" a="1"/>
  <c r="BZ7" i="88" a="1"/>
  <c r="BK11" i="88" a="1"/>
  <c r="C7" i="88" a="1"/>
  <c r="CJ4" i="88" a="1"/>
  <c r="W5" i="88" a="1"/>
  <c r="AB6" i="88" a="1"/>
  <c r="BJ7" i="88" a="1"/>
  <c r="BN5" i="88" a="1"/>
  <c r="BC16" i="88" a="1"/>
  <c r="BZ4" i="88" a="1"/>
  <c r="D13" i="88" a="1"/>
  <c r="E5" i="88" a="1"/>
  <c r="U16" i="88" a="1"/>
  <c r="W8" i="88" a="1"/>
  <c r="BC13" i="88" a="1"/>
  <c r="W7" i="88" a="1"/>
  <c r="K5" i="88" a="1"/>
  <c r="H6" i="88" a="1"/>
  <c r="W4" i="88" a="1"/>
  <c r="AB5" i="88" a="1"/>
  <c r="W12" i="88" a="1"/>
  <c r="Z13" i="88" a="1"/>
  <c r="BN10" i="88" a="1"/>
  <c r="CJ12" i="88" a="1"/>
  <c r="BR10" i="88" a="1"/>
  <c r="W11" i="88" a="1"/>
  <c r="BI9" i="88" a="1"/>
  <c r="AB11" i="88" a="1"/>
  <c r="BU20" i="88" a="1"/>
  <c r="BK30" i="88" a="1"/>
  <c r="BU9" i="88" a="1"/>
  <c r="C6" i="88" a="1"/>
  <c r="U4" i="88" a="1"/>
  <c r="D4" i="88" a="1"/>
  <c r="Z7" i="88" a="1"/>
  <c r="BK3" i="89" l="1"/>
  <c r="BV3" i="89" s="1"/>
  <c r="BK26" i="90"/>
  <c r="BV26" i="90" s="1"/>
  <c r="BJ23" i="89"/>
  <c r="BU23" i="89" s="1"/>
  <c r="BK12" i="89"/>
  <c r="BV12" i="89" s="1"/>
  <c r="BJ7" i="89"/>
  <c r="BU7" i="89" s="1"/>
  <c r="BJ11" i="90"/>
  <c r="BU11" i="90" s="1"/>
  <c r="BJ19" i="90"/>
  <c r="BU19" i="90" s="1"/>
  <c r="BK6" i="89"/>
  <c r="BV6" i="89" s="1"/>
  <c r="BK23" i="89"/>
  <c r="BV23" i="89" s="1"/>
  <c r="BK20" i="89"/>
  <c r="BV20" i="89" s="1"/>
  <c r="BJ27" i="89"/>
  <c r="BU27" i="89" s="1"/>
  <c r="BJ23" i="90"/>
  <c r="BU23" i="90" s="1"/>
  <c r="BK24" i="90"/>
  <c r="BV24" i="90" s="1"/>
  <c r="BJ26" i="89"/>
  <c r="BU26" i="89" s="1"/>
  <c r="BJ25" i="89"/>
  <c r="BU25" i="89" s="1"/>
  <c r="BK2" i="90"/>
  <c r="BV2" i="90" s="1"/>
  <c r="BJ6" i="89"/>
  <c r="BU6" i="89" s="1"/>
  <c r="BK15" i="89"/>
  <c r="BV15" i="89" s="1"/>
  <c r="BK25" i="89"/>
  <c r="BV25" i="89" s="1"/>
  <c r="BJ27" i="90"/>
  <c r="BU27" i="90" s="1"/>
  <c r="BJ14" i="89"/>
  <c r="BU14" i="89" s="1"/>
  <c r="BJ15" i="89"/>
  <c r="BU15" i="89" s="1"/>
  <c r="BJ17" i="89"/>
  <c r="BU17" i="89" s="1"/>
  <c r="BK24" i="89"/>
  <c r="BV24" i="89" s="1"/>
  <c r="BJ12" i="90"/>
  <c r="BU12" i="90" s="1"/>
  <c r="BK16" i="90"/>
  <c r="BV16" i="90" s="1"/>
  <c r="BK7" i="89"/>
  <c r="BV7" i="89" s="1"/>
  <c r="BJ8" i="89"/>
  <c r="BU8" i="89" s="1"/>
  <c r="BJ9" i="89"/>
  <c r="BU9" i="89" s="1"/>
  <c r="BJ10" i="89"/>
  <c r="BU10" i="89" s="1"/>
  <c r="BJ11" i="89"/>
  <c r="BU11" i="89" s="1"/>
  <c r="BK17" i="89"/>
  <c r="BV17" i="89" s="1"/>
  <c r="BJ18" i="89"/>
  <c r="BU18" i="89" s="1"/>
  <c r="BJ13" i="90"/>
  <c r="BU13" i="90" s="1"/>
  <c r="BK8" i="89"/>
  <c r="BV8" i="89" s="1"/>
  <c r="BK9" i="89"/>
  <c r="BV9" i="89" s="1"/>
  <c r="BJ19" i="89"/>
  <c r="BU19" i="89" s="1"/>
  <c r="BK27" i="89"/>
  <c r="BV27" i="89" s="1"/>
  <c r="BK11" i="90"/>
  <c r="BV11" i="90" s="1"/>
  <c r="BJ22" i="90"/>
  <c r="BU22" i="90" s="1"/>
  <c r="BK23" i="90"/>
  <c r="BV23" i="90" s="1"/>
  <c r="BK4" i="89"/>
  <c r="BV4" i="89" s="1"/>
  <c r="BJ12" i="89"/>
  <c r="BU12" i="89" s="1"/>
  <c r="BJ20" i="89"/>
  <c r="BU20" i="89" s="1"/>
  <c r="BJ24" i="89"/>
  <c r="BU24" i="89" s="1"/>
  <c r="BJ20" i="90"/>
  <c r="BU20" i="90" s="1"/>
  <c r="BJ3" i="89"/>
  <c r="BU3" i="89" s="1"/>
  <c r="BK11" i="89"/>
  <c r="BV11" i="89" s="1"/>
  <c r="BK18" i="89"/>
  <c r="BV18" i="89" s="1"/>
  <c r="BJ6" i="90"/>
  <c r="BU6" i="90" s="1"/>
  <c r="BK9" i="90"/>
  <c r="BV9" i="90" s="1"/>
  <c r="BK19" i="90"/>
  <c r="BV19" i="90" s="1"/>
  <c r="BK20" i="90"/>
  <c r="BV20" i="90" s="1"/>
  <c r="BJ21" i="90"/>
  <c r="BU21" i="90" s="1"/>
  <c r="BK13" i="89"/>
  <c r="BV13" i="89" s="1"/>
  <c r="BK19" i="89"/>
  <c r="BV19" i="89" s="1"/>
  <c r="BK22" i="89"/>
  <c r="BV22" i="89" s="1"/>
  <c r="BK5" i="90"/>
  <c r="BV5" i="90" s="1"/>
  <c r="BK10" i="90"/>
  <c r="BV10" i="90" s="1"/>
  <c r="BK17" i="90"/>
  <c r="BV17" i="90" s="1"/>
  <c r="BJ29" i="90"/>
  <c r="BU29" i="90" s="1"/>
  <c r="BK30" i="90"/>
  <c r="BV30" i="90" s="1"/>
  <c r="BJ2" i="89"/>
  <c r="BU2" i="89" s="1"/>
  <c r="BJ13" i="89"/>
  <c r="BU13" i="89" s="1"/>
  <c r="BK14" i="89"/>
  <c r="BV14" i="89" s="1"/>
  <c r="BJ22" i="89"/>
  <c r="BU22" i="89" s="1"/>
  <c r="BJ30" i="89"/>
  <c r="BU30" i="89" s="1"/>
  <c r="BJ3" i="90"/>
  <c r="BU3" i="90" s="1"/>
  <c r="BJ5" i="90"/>
  <c r="BU5" i="90" s="1"/>
  <c r="BJ14" i="90"/>
  <c r="BU14" i="90" s="1"/>
  <c r="BJ15" i="90"/>
  <c r="BU15" i="90" s="1"/>
  <c r="BK18" i="90"/>
  <c r="BV18" i="90" s="1"/>
  <c r="BK28" i="90"/>
  <c r="BV28" i="90" s="1"/>
  <c r="BJ7" i="90"/>
  <c r="BU7" i="90" s="1"/>
  <c r="BK12" i="90"/>
  <c r="BV12" i="90" s="1"/>
  <c r="BK4" i="90"/>
  <c r="BV4" i="90" s="1"/>
  <c r="BK7" i="90"/>
  <c r="BV7" i="90" s="1"/>
  <c r="BJ18" i="90"/>
  <c r="BU18" i="90" s="1"/>
  <c r="BJ24" i="90"/>
  <c r="BU24" i="90" s="1"/>
  <c r="BJ25" i="90"/>
  <c r="BU25" i="90" s="1"/>
  <c r="BJ16" i="90"/>
  <c r="BU16" i="90" s="1"/>
  <c r="BJ17" i="90"/>
  <c r="BU17" i="90" s="1"/>
  <c r="BK22" i="90"/>
  <c r="BV22" i="90" s="1"/>
  <c r="BK29" i="90"/>
  <c r="BV29" i="90" s="1"/>
  <c r="BJ28" i="90"/>
  <c r="BU28" i="90" s="1"/>
  <c r="BJ2" i="90"/>
  <c r="BU2" i="90" s="1"/>
  <c r="BJ8" i="90"/>
  <c r="BU8" i="90" s="1"/>
  <c r="BJ9" i="90"/>
  <c r="BU9" i="90" s="1"/>
  <c r="BK14" i="90"/>
  <c r="BV14" i="90" s="1"/>
  <c r="BK21" i="90"/>
  <c r="BV21" i="90" s="1"/>
  <c r="BJ30" i="90"/>
  <c r="BU30" i="90" s="1"/>
  <c r="BK6" i="90"/>
  <c r="BV6" i="90" s="1"/>
  <c r="BK13" i="90"/>
  <c r="BV13" i="90" s="1"/>
  <c r="BK27" i="90"/>
  <c r="BV27" i="90" s="1"/>
  <c r="BJ4" i="89"/>
  <c r="BU4" i="89" s="1"/>
  <c r="BK5" i="89"/>
  <c r="BV5" i="89" s="1"/>
  <c r="BJ16" i="89"/>
  <c r="BU16" i="89" s="1"/>
  <c r="BK21" i="89"/>
  <c r="BV21" i="89" s="1"/>
  <c r="BK2" i="89"/>
  <c r="BV2" i="89" s="1"/>
  <c r="BJ5" i="89"/>
  <c r="BU5" i="89" s="1"/>
  <c r="BJ21" i="89"/>
  <c r="BU21" i="89" s="1"/>
  <c r="BK10" i="89"/>
  <c r="BV10" i="89" s="1"/>
  <c r="BK30" i="89"/>
  <c r="BV30" i="89" s="1"/>
  <c r="BJ4" i="90"/>
  <c r="BU4" i="90" s="1"/>
  <c r="BK15" i="90"/>
  <c r="BV15" i="90" s="1"/>
  <c r="BJ26" i="90"/>
  <c r="BU26" i="90" s="1"/>
  <c r="BK26" i="89"/>
  <c r="BV26" i="89" s="1"/>
  <c r="BJ29" i="89"/>
  <c r="BU29" i="89" s="1"/>
  <c r="BJ10" i="90"/>
  <c r="BU10" i="90" s="1"/>
  <c r="BK28" i="89"/>
  <c r="BV28" i="89" s="1"/>
  <c r="BK25" i="90"/>
  <c r="BV25" i="90" s="1"/>
  <c r="AN6" i="88"/>
  <c r="AK7" i="88"/>
  <c r="CY11" i="88"/>
  <c r="AN14" i="88"/>
  <c r="AN5" i="88"/>
  <c r="CY8" i="88"/>
  <c r="BS7" i="88"/>
  <c r="AK9" i="88"/>
  <c r="CX10" i="88"/>
  <c r="BS6" i="88"/>
  <c r="CY10" i="88"/>
  <c r="BO5" i="88"/>
  <c r="CW6" i="88"/>
  <c r="AK11" i="88"/>
  <c r="CZ7" i="88"/>
  <c r="CY4" i="88"/>
  <c r="AK4" i="88"/>
  <c r="CZ4" i="88"/>
  <c r="CY5" i="88"/>
  <c r="CY6" i="88"/>
  <c r="AK8" i="88"/>
  <c r="CW13" i="88"/>
  <c r="AN4" i="88"/>
  <c r="DI4" i="88"/>
  <c r="AM6" i="88"/>
  <c r="CZ6" i="88"/>
  <c r="AL8" i="88"/>
  <c r="AM10" i="88"/>
  <c r="CX13" i="88"/>
  <c r="AN10" i="88"/>
  <c r="AK5" i="88"/>
  <c r="K11" i="88"/>
  <c r="AB5" i="88"/>
  <c r="CL5" i="88" s="1"/>
  <c r="K14" i="88"/>
  <c r="BK30" i="88"/>
  <c r="Z4" i="88"/>
  <c r="P5" i="88"/>
  <c r="BC10" i="88"/>
  <c r="BD10" i="88" s="1"/>
  <c r="BG10" i="88" s="1"/>
  <c r="K5" i="88"/>
  <c r="U4" i="88"/>
  <c r="BR10" i="88"/>
  <c r="E5" i="88"/>
  <c r="CE10" i="88"/>
  <c r="W8" i="88"/>
  <c r="CG8" i="88" s="1"/>
  <c r="D13" i="88"/>
  <c r="BC16" i="88"/>
  <c r="BD16" i="88" s="1"/>
  <c r="BG16" i="88" s="1"/>
  <c r="BZ4" i="88"/>
  <c r="CA4" i="88" s="1"/>
  <c r="U20" i="88"/>
  <c r="BJ5" i="88"/>
  <c r="BI9" i="88"/>
  <c r="CS9" i="88" s="1"/>
  <c r="D4" i="88"/>
  <c r="W5" i="88"/>
  <c r="CG5" i="88" s="1"/>
  <c r="BU9" i="88"/>
  <c r="Z13" i="88"/>
  <c r="BZ6" i="88"/>
  <c r="DM13" i="88"/>
  <c r="DN13" i="88" s="1"/>
  <c r="DQ13" i="88" s="1"/>
  <c r="BU19" i="88"/>
  <c r="D6" i="88"/>
  <c r="H7" i="88"/>
  <c r="BJ7" i="88"/>
  <c r="BZ8" i="88"/>
  <c r="BJ9" i="88"/>
  <c r="CJ9" i="88"/>
  <c r="CJ12" i="88"/>
  <c r="DM18" i="88"/>
  <c r="DN18" i="88" s="1"/>
  <c r="DQ18" i="88" s="1"/>
  <c r="Z22" i="88"/>
  <c r="CJ5" i="88"/>
  <c r="Z6" i="88"/>
  <c r="CJ6" i="88"/>
  <c r="DM6" i="88"/>
  <c r="DN6" i="88" s="1"/>
  <c r="DQ6" i="88" s="1"/>
  <c r="Z7" i="88"/>
  <c r="R9" i="88"/>
  <c r="CB9" i="88" s="1"/>
  <c r="W11" i="88"/>
  <c r="CG11" i="88" s="1"/>
  <c r="BJ12" i="88"/>
  <c r="BC13" i="88"/>
  <c r="BD13" i="88" s="1"/>
  <c r="BG13" i="88" s="1"/>
  <c r="BR13" i="88"/>
  <c r="CE13" i="88"/>
  <c r="U16" i="88"/>
  <c r="BU20" i="88"/>
  <c r="K6" i="88"/>
  <c r="C7" i="88"/>
  <c r="W9" i="88"/>
  <c r="CG9" i="88" s="1"/>
  <c r="BN9" i="88"/>
  <c r="AB11" i="88"/>
  <c r="CL11" i="88" s="1"/>
  <c r="W12" i="88"/>
  <c r="CG12" i="88" s="1"/>
  <c r="W4" i="88"/>
  <c r="CG4" i="88" s="1"/>
  <c r="BJ4" i="88"/>
  <c r="CJ4" i="88"/>
  <c r="AB6" i="88"/>
  <c r="CL6" i="88" s="1"/>
  <c r="K7" i="88"/>
  <c r="BZ7" i="88"/>
  <c r="BK10" i="88"/>
  <c r="BI5" i="88"/>
  <c r="CS5" i="88" s="1"/>
  <c r="BN5" i="88"/>
  <c r="BU5" i="88"/>
  <c r="C6" i="88"/>
  <c r="H6" i="88"/>
  <c r="M6" i="88"/>
  <c r="BW6" i="88" s="1"/>
  <c r="BC6" i="88"/>
  <c r="BD6" i="88" s="1"/>
  <c r="BG6" i="88" s="1"/>
  <c r="BK6" i="88"/>
  <c r="BR6" i="88"/>
  <c r="W7" i="88"/>
  <c r="CG7" i="88" s="1"/>
  <c r="BR7" i="88"/>
  <c r="E9" i="88"/>
  <c r="P9" i="88"/>
  <c r="C10" i="88"/>
  <c r="M10" i="88"/>
  <c r="BW10" i="88" s="1"/>
  <c r="BN10" i="88"/>
  <c r="BK11" i="88"/>
  <c r="AL5" i="88"/>
  <c r="CW5" i="88"/>
  <c r="AM7" i="88"/>
  <c r="AN8" i="88"/>
  <c r="BO8" i="88"/>
  <c r="AM11" i="88"/>
  <c r="BO11" i="88"/>
  <c r="BS13" i="88"/>
  <c r="CZ13" i="88"/>
  <c r="AM5" i="88"/>
  <c r="CX5" i="88"/>
  <c r="CW8" i="88"/>
  <c r="AN11" i="88"/>
  <c r="CX11" i="88"/>
  <c r="CX14" i="88"/>
  <c r="AK12" i="88"/>
  <c r="CZ14" i="88"/>
  <c r="BO17" i="88"/>
  <c r="BO32" i="88"/>
  <c r="AK32" i="88"/>
  <c r="CY31" i="88"/>
  <c r="AN31" i="88"/>
  <c r="CX31" i="88"/>
  <c r="AM31" i="88"/>
  <c r="BO29" i="88"/>
  <c r="AK29" i="88"/>
  <c r="CY28" i="88"/>
  <c r="AN28" i="88"/>
  <c r="CW31" i="88"/>
  <c r="AL31" i="88"/>
  <c r="CZ30" i="88"/>
  <c r="BO31" i="88"/>
  <c r="AK31" i="88"/>
  <c r="CY30" i="88"/>
  <c r="AN30" i="88"/>
  <c r="CZ32" i="88"/>
  <c r="BS32" i="88"/>
  <c r="CX32" i="88"/>
  <c r="AM32" i="88"/>
  <c r="BO30" i="88"/>
  <c r="AK30" i="88"/>
  <c r="CY29" i="88"/>
  <c r="AN29" i="88"/>
  <c r="CW27" i="88"/>
  <c r="CW32" i="88"/>
  <c r="AM29" i="88"/>
  <c r="AN32" i="88"/>
  <c r="BS31" i="88"/>
  <c r="BS29" i="88"/>
  <c r="AL29" i="88"/>
  <c r="CZ28" i="88"/>
  <c r="BS28" i="88"/>
  <c r="AN27" i="88"/>
  <c r="CW25" i="88"/>
  <c r="AL25" i="88"/>
  <c r="AL32" i="88"/>
  <c r="BS30" i="88"/>
  <c r="CX28" i="88"/>
  <c r="AM27" i="88"/>
  <c r="BO25" i="88"/>
  <c r="AK25" i="88"/>
  <c r="AM30" i="88"/>
  <c r="BO28" i="88"/>
  <c r="AL28" i="88"/>
  <c r="CZ27" i="88"/>
  <c r="BO27" i="88"/>
  <c r="AK27" i="88"/>
  <c r="CY26" i="88"/>
  <c r="AN26" i="88"/>
  <c r="CZ31" i="88"/>
  <c r="AL30" i="88"/>
  <c r="CZ29" i="88"/>
  <c r="AK28" i="88"/>
  <c r="CY27" i="88"/>
  <c r="CX26" i="88"/>
  <c r="CW30" i="88"/>
  <c r="CZ24" i="88"/>
  <c r="BS24" i="88"/>
  <c r="BS27" i="88"/>
  <c r="BO26" i="88"/>
  <c r="CW28" i="88"/>
  <c r="AM28" i="88"/>
  <c r="CZ25" i="88"/>
  <c r="BS25" i="88"/>
  <c r="CX24" i="88"/>
  <c r="AM24" i="88"/>
  <c r="CX27" i="88"/>
  <c r="AL27" i="88"/>
  <c r="CZ26" i="88"/>
  <c r="CY25" i="88"/>
  <c r="AN25" i="88"/>
  <c r="CW24" i="88"/>
  <c r="AL24" i="88"/>
  <c r="CZ23" i="88"/>
  <c r="BS23" i="88"/>
  <c r="CX29" i="88"/>
  <c r="CW26" i="88"/>
  <c r="AM26" i="88"/>
  <c r="CX25" i="88"/>
  <c r="AM25" i="88"/>
  <c r="BO24" i="88"/>
  <c r="AK24" i="88"/>
  <c r="CY23" i="88"/>
  <c r="AN23" i="88"/>
  <c r="CW29" i="88"/>
  <c r="CX21" i="88"/>
  <c r="AM21" i="88"/>
  <c r="CZ22" i="88"/>
  <c r="CW21" i="88"/>
  <c r="AL21" i="88"/>
  <c r="CZ20" i="88"/>
  <c r="BS20" i="88"/>
  <c r="CY32" i="88"/>
  <c r="CY22" i="88"/>
  <c r="BO21" i="88"/>
  <c r="AK21" i="88"/>
  <c r="CY20" i="88"/>
  <c r="AN20" i="88"/>
  <c r="CX30" i="88"/>
  <c r="BS26" i="88"/>
  <c r="CX23" i="88"/>
  <c r="CW22" i="88"/>
  <c r="AN22" i="88"/>
  <c r="CW20" i="88"/>
  <c r="AL20" i="88"/>
  <c r="AL23" i="88"/>
  <c r="AK23" i="88"/>
  <c r="BO22" i="88"/>
  <c r="AM22" i="88"/>
  <c r="BO19" i="88"/>
  <c r="AK19" i="88"/>
  <c r="CY18" i="88"/>
  <c r="AN18" i="88"/>
  <c r="CX22" i="88"/>
  <c r="AL22" i="88"/>
  <c r="CZ21" i="88"/>
  <c r="BS21" i="88"/>
  <c r="BO20" i="88"/>
  <c r="CX18" i="88"/>
  <c r="AM18" i="88"/>
  <c r="AL26" i="88"/>
  <c r="CY24" i="88"/>
  <c r="AK22" i="88"/>
  <c r="CY21" i="88"/>
  <c r="AK26" i="88"/>
  <c r="AN21" i="88"/>
  <c r="BO18" i="88"/>
  <c r="AK18" i="88"/>
  <c r="CY17" i="88"/>
  <c r="AN17" i="88"/>
  <c r="AN24" i="88"/>
  <c r="CX20" i="88"/>
  <c r="AM20" i="88"/>
  <c r="CZ19" i="88"/>
  <c r="BS19" i="88"/>
  <c r="CX17" i="88"/>
  <c r="BO23" i="88"/>
  <c r="AL18" i="88"/>
  <c r="CZ17" i="88"/>
  <c r="BS17" i="88"/>
  <c r="BO16" i="88"/>
  <c r="AK16" i="88"/>
  <c r="CY15" i="88"/>
  <c r="AN15" i="88"/>
  <c r="CW17" i="88"/>
  <c r="CX15" i="88"/>
  <c r="AM15" i="88"/>
  <c r="AM23" i="88"/>
  <c r="AK20" i="88"/>
  <c r="CY19" i="88"/>
  <c r="CW23" i="88"/>
  <c r="CW19" i="88"/>
  <c r="AM19" i="88"/>
  <c r="AL17" i="88"/>
  <c r="CY16" i="88"/>
  <c r="AN16" i="88"/>
  <c r="CW14" i="88"/>
  <c r="AL14" i="88"/>
  <c r="CX19" i="88"/>
  <c r="AM17" i="88"/>
  <c r="CZ16" i="88"/>
  <c r="AM14" i="88"/>
  <c r="BS22" i="88"/>
  <c r="AN19" i="88"/>
  <c r="AK17" i="88"/>
  <c r="CX16" i="88"/>
  <c r="BO15" i="88"/>
  <c r="BS14" i="88"/>
  <c r="AK14" i="88"/>
  <c r="BO13" i="88"/>
  <c r="AK13" i="88"/>
  <c r="CY12" i="88"/>
  <c r="AN12" i="88"/>
  <c r="CW10" i="88"/>
  <c r="AL10" i="88"/>
  <c r="CZ9" i="88"/>
  <c r="BS9" i="88"/>
  <c r="CY7" i="88"/>
  <c r="AN7" i="88"/>
  <c r="AL19" i="88"/>
  <c r="CZ18" i="88"/>
  <c r="BS18" i="88"/>
  <c r="CW16" i="88"/>
  <c r="AM16" i="88"/>
  <c r="CX12" i="88"/>
  <c r="AM12" i="88"/>
  <c r="BO10" i="88"/>
  <c r="AK10" i="88"/>
  <c r="CY9" i="88"/>
  <c r="AN9" i="88"/>
  <c r="CX7" i="88"/>
  <c r="CW18" i="88"/>
  <c r="AL16" i="88"/>
  <c r="CZ15" i="88"/>
  <c r="CW12" i="88"/>
  <c r="AL12" i="88"/>
  <c r="CZ11" i="88"/>
  <c r="BS11" i="88"/>
  <c r="CX9" i="88"/>
  <c r="AM9" i="88"/>
  <c r="CW7" i="88"/>
  <c r="AL7" i="88"/>
  <c r="BS16" i="88"/>
  <c r="CW15" i="88"/>
  <c r="BO14" i="88"/>
  <c r="AK15" i="88"/>
  <c r="CY14" i="88"/>
  <c r="CY13" i="88"/>
  <c r="AN13" i="88"/>
  <c r="CW11" i="88"/>
  <c r="AL11" i="88"/>
  <c r="CZ10" i="88"/>
  <c r="BS10" i="88"/>
  <c r="CX8" i="88"/>
  <c r="AM8" i="88"/>
  <c r="CX6" i="88"/>
  <c r="AL4" i="88"/>
  <c r="CW4" i="88"/>
  <c r="BS5" i="88"/>
  <c r="CZ5" i="88"/>
  <c r="AK6" i="88"/>
  <c r="BO6" i="88"/>
  <c r="BS8" i="88"/>
  <c r="CZ8" i="88"/>
  <c r="AL9" i="88"/>
  <c r="BO9" i="88"/>
  <c r="BO12" i="88"/>
  <c r="BS15" i="88"/>
  <c r="AM4" i="88"/>
  <c r="CX4" i="88"/>
  <c r="AL6" i="88"/>
  <c r="BO7" i="88"/>
  <c r="CW9" i="88"/>
  <c r="BS12" i="88"/>
  <c r="CZ12" i="88"/>
  <c r="AL13" i="88"/>
  <c r="AL15" i="88"/>
  <c r="AM13" i="88"/>
  <c r="BQ5" i="88" l="1"/>
  <c r="BT7" i="88"/>
  <c r="BT6" i="88"/>
  <c r="CA7" i="88"/>
  <c r="CA8" i="88"/>
  <c r="BV20" i="88"/>
  <c r="AJ6" i="88"/>
  <c r="AP6" i="88"/>
  <c r="CK4" i="88"/>
  <c r="AJ7" i="88"/>
  <c r="CK5" i="88"/>
  <c r="CM5" i="88" s="1"/>
  <c r="BQ10" i="88"/>
  <c r="DB5" i="88"/>
  <c r="L6" i="88"/>
  <c r="N6" i="88" s="1"/>
  <c r="AA4" i="88"/>
  <c r="AA7" i="88"/>
  <c r="DB9" i="88"/>
  <c r="AJ10" i="88"/>
  <c r="BT10" i="88"/>
  <c r="L7" i="88"/>
  <c r="BT13" i="88"/>
  <c r="CK6" i="88"/>
  <c r="CM6" i="88" s="1"/>
  <c r="V4" i="88"/>
  <c r="X4" i="88" s="1"/>
  <c r="BQ9" i="88"/>
  <c r="BC22" i="88" a="1"/>
  <c r="P22" i="88" a="1"/>
  <c r="BK17" i="88" a="1"/>
  <c r="H30" i="88" a="1"/>
  <c r="U22" i="88" a="1"/>
  <c r="BK8" i="88" a="1"/>
  <c r="C11" i="88" a="1"/>
  <c r="D7" i="88" a="1"/>
  <c r="P13" i="88" a="1"/>
  <c r="K32" i="88" a="1"/>
  <c r="BK29" i="88" a="1"/>
  <c r="BJ27" i="88" a="1"/>
  <c r="E15" i="88" a="1"/>
  <c r="U6" i="88" a="1"/>
  <c r="DM20" i="88" a="1"/>
  <c r="CE22" i="88" a="1"/>
  <c r="BU22" i="88" a="1"/>
  <c r="E14" i="88" a="1"/>
  <c r="K9" i="88" a="1"/>
  <c r="BK19" i="88" a="1"/>
  <c r="E26" i="88" a="1"/>
  <c r="K8" i="88" a="1"/>
  <c r="C32" i="88" a="1"/>
  <c r="AB13" i="88" a="1"/>
  <c r="D26" i="88" a="1"/>
  <c r="H24" i="88" a="1"/>
  <c r="K23" i="88" a="1"/>
  <c r="BI26" i="88" a="1"/>
  <c r="M31" i="88" a="1"/>
  <c r="BC14" i="88" a="1"/>
  <c r="BJ13" i="88" a="1"/>
  <c r="BJ16" i="88" a="1"/>
  <c r="CE9" i="88" a="1"/>
  <c r="BU21" i="88" a="1"/>
  <c r="DM17" i="88" a="1"/>
  <c r="C22" i="88" a="1"/>
  <c r="BN22" i="88" a="1"/>
  <c r="BR24" i="88" a="1"/>
  <c r="CE7" i="88" a="1"/>
  <c r="R14" i="88" a="1"/>
  <c r="U31" i="88" a="1"/>
  <c r="D18" i="88" a="1"/>
  <c r="M18" i="88" a="1"/>
  <c r="CJ19" i="88" a="1"/>
  <c r="BN31" i="88" a="1"/>
  <c r="U7" i="88" a="1"/>
  <c r="CJ13" i="88" a="1"/>
  <c r="CJ24" i="88" a="1"/>
  <c r="M9" i="88" a="1"/>
  <c r="M28" i="88" a="1"/>
  <c r="CE19" i="88" a="1"/>
  <c r="H13" i="88" a="1"/>
  <c r="H15" i="88" a="1"/>
  <c r="Z8" i="88" a="1"/>
  <c r="BU17" i="88" a="1"/>
  <c r="BK32" i="88" a="1"/>
  <c r="P10" i="88" a="1"/>
  <c r="Z12" i="88" a="1"/>
  <c r="CJ18" i="88" a="1"/>
  <c r="CE26" i="88" a="1"/>
  <c r="H18" i="88" a="1"/>
  <c r="H9" i="88" a="1"/>
  <c r="E29" i="88" a="1"/>
  <c r="P12" i="88" a="1"/>
  <c r="DM9" i="88" a="1"/>
  <c r="E18" i="88" a="1"/>
  <c r="R18" i="88" a="1"/>
  <c r="BR23" i="88" a="1"/>
  <c r="BZ12" i="88" a="1"/>
  <c r="BC18" i="88" a="1"/>
  <c r="P4" i="88" a="1"/>
  <c r="BJ18" i="88" a="1"/>
  <c r="R20" i="88" a="1"/>
  <c r="BZ11" i="88" a="1"/>
  <c r="M29" i="88" a="1"/>
  <c r="P14" i="88" a="1"/>
  <c r="K20" i="88" a="1"/>
  <c r="C24" i="88" a="1"/>
  <c r="E24" i="88" a="1"/>
  <c r="AB8" i="88" a="1"/>
  <c r="BZ16" i="88" a="1"/>
  <c r="BC26" i="88" a="1"/>
  <c r="E25" i="88" a="1"/>
  <c r="BR16" i="88" a="1"/>
  <c r="E13" i="88" a="1"/>
  <c r="M24" i="88" a="1"/>
  <c r="C8" i="88" a="1"/>
  <c r="BR25" i="88" a="1"/>
  <c r="W30" i="88" a="1"/>
  <c r="BK15" i="88" a="1"/>
  <c r="D10" i="88" a="1"/>
  <c r="AB32" i="88" a="1"/>
  <c r="DM5" i="88" a="1"/>
  <c r="DM19" i="88" a="1"/>
  <c r="CJ30" i="88" a="1"/>
  <c r="R4" i="88" a="1"/>
  <c r="BZ27" i="88" a="1"/>
  <c r="Z19" i="88" a="1"/>
  <c r="BJ6" i="88" a="1"/>
  <c r="BU4" i="88" a="1"/>
  <c r="W18" i="88" a="1"/>
  <c r="Z28" i="88" a="1"/>
  <c r="BN11" i="88" a="1"/>
  <c r="M4" i="88" a="1"/>
  <c r="H25" i="88" a="1"/>
  <c r="BU31" i="88" a="1"/>
  <c r="CJ27" i="88" a="1"/>
  <c r="BZ32" i="88" a="1"/>
  <c r="M16" i="88" a="1"/>
  <c r="Z27" i="88" a="1"/>
  <c r="DM15" i="88" a="1"/>
  <c r="H27" i="88" a="1"/>
  <c r="K13" i="88" a="1"/>
  <c r="W21" i="88" a="1"/>
  <c r="CE29" i="88" a="1"/>
  <c r="Z9" i="88" a="1"/>
  <c r="CE17" i="88" a="1"/>
  <c r="W24" i="88" a="1"/>
  <c r="C19" i="88" a="1"/>
  <c r="C18" i="88" a="1"/>
  <c r="W13" i="88" a="1"/>
  <c r="K24" i="88" a="1"/>
  <c r="CJ16" i="88" a="1"/>
  <c r="R21" i="88" a="1"/>
  <c r="BI13" i="88" a="1"/>
  <c r="BC19" i="88" a="1"/>
  <c r="E20" i="88" a="1"/>
  <c r="BZ30" i="88" a="1"/>
  <c r="BC31" i="88" a="1"/>
  <c r="BI29" i="88" a="1"/>
  <c r="BN14" i="88" a="1"/>
  <c r="Z14" i="88" a="1"/>
  <c r="BZ19" i="88" a="1"/>
  <c r="BZ18" i="88" a="1"/>
  <c r="K30" i="88" a="1"/>
  <c r="U25" i="88" a="1"/>
  <c r="M17" i="88" a="1"/>
  <c r="CJ28" i="88" a="1"/>
  <c r="BC29" i="88" a="1"/>
  <c r="AB7" i="88" a="1"/>
  <c r="H23" i="88" a="1"/>
  <c r="D8" i="88" a="1"/>
  <c r="BJ30" i="88" a="1"/>
  <c r="K25" i="88" a="1"/>
  <c r="BU18" i="88" a="1"/>
  <c r="CE31" i="88" a="1"/>
  <c r="BI22" i="88" a="1"/>
  <c r="M20" i="88" a="1"/>
  <c r="BU16" i="88" a="1"/>
  <c r="M30" i="88" a="1"/>
  <c r="P32" i="88" a="1"/>
  <c r="BC17" i="88" a="1"/>
  <c r="P7" i="88" a="1"/>
  <c r="BC27" i="88" a="1"/>
  <c r="U14" i="88" a="1"/>
  <c r="DM30" i="88" a="1"/>
  <c r="BR31" i="88" a="1"/>
  <c r="AB19" i="88" a="1"/>
  <c r="BR32" i="88" a="1"/>
  <c r="H11" i="88" a="1"/>
  <c r="W17" i="88" a="1"/>
  <c r="W15" i="88" a="1"/>
  <c r="DM27" i="88" a="1"/>
  <c r="CE30" i="88" a="1"/>
  <c r="CE6" i="88" a="1"/>
  <c r="BN27" i="88" a="1"/>
  <c r="D25" i="88" a="1"/>
  <c r="K12" i="88" a="1"/>
  <c r="K29" i="88" a="1"/>
  <c r="E27" i="88" a="1"/>
  <c r="BK22" i="88" a="1"/>
  <c r="CJ14" i="88" a="1"/>
  <c r="R10" i="88" a="1"/>
  <c r="BK26" i="88" a="1"/>
  <c r="BN19" i="88" a="1"/>
  <c r="BI7" i="88" a="1"/>
  <c r="CE14" i="88" a="1"/>
  <c r="P30" i="88" a="1"/>
  <c r="E31" i="88" a="1"/>
  <c r="BR15" i="88" a="1"/>
  <c r="BR5" i="88" a="1"/>
  <c r="BJ8" i="88" a="1"/>
  <c r="BI12" i="88" a="1"/>
  <c r="CJ17" i="88" a="1"/>
  <c r="BU14" i="88" a="1"/>
  <c r="C12" i="88" a="1"/>
  <c r="BI31" i="88" a="1"/>
  <c r="DM14" i="88" a="1"/>
  <c r="BC25" i="88" a="1"/>
  <c r="AB4" i="88" a="1"/>
  <c r="CJ8" i="88" a="1"/>
  <c r="H17" i="88" a="1"/>
  <c r="DM23" i="88" a="1"/>
  <c r="Z16" i="88" a="1"/>
  <c r="W29" i="88" a="1"/>
  <c r="BR18" i="88" a="1"/>
  <c r="H21" i="88" a="1"/>
  <c r="K16" i="88" a="1"/>
  <c r="BN7" i="88" a="1"/>
  <c r="BC23" i="88" a="1"/>
  <c r="BZ31" i="88" a="1"/>
  <c r="BU28" i="88" a="1"/>
  <c r="BI11" i="88" a="1"/>
  <c r="BI21" i="88" a="1"/>
  <c r="BI15" i="88" a="1"/>
  <c r="DM32" i="88" a="1"/>
  <c r="U5" i="88" a="1"/>
  <c r="BC15" i="88" a="1"/>
  <c r="C13" i="88" a="1"/>
  <c r="D9" i="88" a="1"/>
  <c r="BZ5" i="88" a="1"/>
  <c r="K15" i="88" a="1"/>
  <c r="BZ23" i="88" a="1"/>
  <c r="DM25" i="88" a="1"/>
  <c r="W27" i="88" a="1"/>
  <c r="U29" i="88" a="1"/>
  <c r="DM22" i="88" a="1"/>
  <c r="H29" i="88" a="1"/>
  <c r="W19" i="88" a="1"/>
  <c r="E11" i="88" a="1"/>
  <c r="BN6" i="88" a="1"/>
  <c r="AB21" i="88" a="1"/>
  <c r="D24" i="88" a="1"/>
  <c r="BI30" i="88" a="1"/>
  <c r="AB9" i="88" a="1"/>
  <c r="P27" i="88" a="1"/>
  <c r="M32" i="88" a="1"/>
  <c r="BJ25" i="88" a="1"/>
  <c r="R8" i="88" a="1"/>
  <c r="DM29" i="88" a="1"/>
  <c r="BU12" i="88" a="1"/>
  <c r="H22" i="88" a="1"/>
  <c r="D28" i="88" a="1"/>
  <c r="H26" i="88" a="1"/>
  <c r="BC20" i="88" a="1"/>
  <c r="BU32" i="88" a="1"/>
  <c r="DM7" i="88" a="1"/>
  <c r="BI28" i="88" a="1"/>
  <c r="Z30" i="88" a="1"/>
  <c r="K31" i="88" a="1"/>
  <c r="D22" i="88" a="1"/>
  <c r="U11" i="88" a="1"/>
  <c r="Z21" i="88" a="1"/>
  <c r="R26" i="88" a="1"/>
  <c r="BC28" i="88" a="1"/>
  <c r="BJ23" i="88" a="1"/>
  <c r="D27" i="88" a="1"/>
  <c r="D30" i="88" a="1"/>
  <c r="R16" i="88" a="1"/>
  <c r="W32" i="88" a="1"/>
  <c r="BK25" i="88" a="1"/>
  <c r="CE8" i="88" a="1"/>
  <c r="BK28" i="88" a="1"/>
  <c r="E6" i="88" a="1"/>
  <c r="CJ11" i="88" a="1"/>
  <c r="BJ11" i="88" a="1"/>
  <c r="E23" i="88" a="1"/>
  <c r="P29" i="88" a="1"/>
  <c r="Z15" i="88" a="1"/>
  <c r="BN26" i="88" a="1"/>
  <c r="D5" i="88" a="1"/>
  <c r="BU29" i="88" a="1"/>
  <c r="Z18" i="88" a="1"/>
  <c r="BJ31" i="88" a="1"/>
  <c r="BK13" i="88" a="1"/>
  <c r="BN8" i="88" a="1"/>
  <c r="BI8" i="88" a="1"/>
  <c r="P31" i="88" a="1"/>
  <c r="AB26" i="88" a="1"/>
  <c r="AB24" i="88" a="1"/>
  <c r="E21" i="88" a="1"/>
  <c r="CE15" i="88" a="1"/>
  <c r="CE11" i="88" a="1"/>
  <c r="CJ26" i="88" a="1"/>
  <c r="BU8" i="88" a="1"/>
  <c r="CJ15" i="88" a="1"/>
  <c r="CJ31" i="88" a="1"/>
  <c r="DM21" i="88" a="1"/>
  <c r="C5" i="88" a="1"/>
  <c r="K17" i="88" a="1"/>
  <c r="H8" i="88" a="1"/>
  <c r="BU15" i="88" a="1"/>
  <c r="BU13" i="88" a="1"/>
  <c r="Z32" i="88" a="1"/>
  <c r="D17" i="88" a="1"/>
  <c r="E12" i="88" a="1"/>
  <c r="DM10" i="88" a="1"/>
  <c r="BK9" i="88" a="1"/>
  <c r="BR21" i="88" a="1"/>
  <c r="D31" i="88" a="1"/>
  <c r="BJ21" i="88" a="1"/>
  <c r="D23" i="88" a="1"/>
  <c r="E10" i="88" a="1"/>
  <c r="P8" i="88" a="1"/>
  <c r="U24" i="88" a="1"/>
  <c r="C20" i="88" a="1"/>
  <c r="BC30" i="88" a="1"/>
  <c r="BI18" i="88" a="1"/>
  <c r="BN28" i="88" a="1"/>
  <c r="R11" i="88" a="1"/>
  <c r="Z17" i="88" a="1"/>
  <c r="BN13" i="88" a="1"/>
  <c r="U17" i="88" a="1"/>
  <c r="BR30" i="88" a="1"/>
  <c r="K21" i="88" a="1"/>
  <c r="AB10" i="88" a="1"/>
  <c r="CJ29" i="88" a="1"/>
  <c r="Z31" i="88" a="1"/>
  <c r="W23" i="88" a="1"/>
  <c r="C14" i="88" a="1"/>
  <c r="BZ13" i="88" a="1"/>
  <c r="U13" i="88" a="1"/>
  <c r="BZ9" i="88" a="1"/>
  <c r="CE20" i="88" a="1"/>
  <c r="DM28" i="88" a="1"/>
  <c r="W6" i="88" a="1"/>
  <c r="BU25" i="88" a="1"/>
  <c r="AB27" i="88" a="1"/>
  <c r="U19" i="88" a="1"/>
  <c r="D11" i="88" a="1"/>
  <c r="BK4" i="88" a="1"/>
  <c r="R25" i="88" a="1"/>
  <c r="DM24" i="88" a="1"/>
  <c r="BJ26" i="88" a="1"/>
  <c r="CE25" i="88" a="1"/>
  <c r="Z23" i="88" a="1"/>
  <c r="H20" i="88" a="1"/>
  <c r="K26" i="88" a="1"/>
  <c r="R23" i="88" a="1"/>
  <c r="M27" i="88" a="1"/>
  <c r="E4" i="88" a="1"/>
  <c r="CJ22" i="88" a="1"/>
  <c r="BI24" i="88" a="1"/>
  <c r="P28" i="88" a="1"/>
  <c r="BJ22" i="88" a="1"/>
  <c r="BU6" i="88" a="1"/>
  <c r="CE27" i="88" a="1"/>
  <c r="DM11" i="88" a="1"/>
  <c r="C26" i="88" a="1"/>
  <c r="U30" i="88" a="1"/>
  <c r="Z25" i="88" a="1"/>
  <c r="BI23" i="88" a="1"/>
  <c r="CJ23" i="88" a="1"/>
  <c r="BI27" i="88" a="1"/>
  <c r="CE12" i="88" a="1"/>
  <c r="BK7" i="88" a="1"/>
  <c r="CE5" i="88" a="1"/>
  <c r="M5" i="88" a="1"/>
  <c r="U18" i="88" a="1"/>
  <c r="CE4" i="88" a="1"/>
  <c r="E19" i="88" a="1"/>
  <c r="W16" i="88" a="1"/>
  <c r="U8" i="88" a="1"/>
  <c r="K10" i="88" a="1"/>
  <c r="BR19" i="88" a="1"/>
  <c r="W28" i="88" a="1"/>
  <c r="R30" i="88" a="1"/>
  <c r="P26" i="88" a="1"/>
  <c r="C16" i="88" a="1"/>
  <c r="K4" i="88" a="1"/>
  <c r="AB15" i="88" a="1"/>
  <c r="CE21" i="88" a="1"/>
  <c r="BN20" i="88" a="1"/>
  <c r="CJ10" i="88" a="1"/>
  <c r="AB14" i="88" a="1"/>
  <c r="R12" i="88" a="1"/>
  <c r="BN30" i="88" a="1"/>
  <c r="BI14" i="88" a="1"/>
  <c r="BN17" i="88" a="1"/>
  <c r="K28" i="88" a="1"/>
  <c r="BZ17" i="88" a="1"/>
  <c r="BK5" i="88" a="1"/>
  <c r="BZ10" i="88" a="1"/>
  <c r="W22" i="88" a="1"/>
  <c r="BN12" i="88" a="1"/>
  <c r="BK24" i="88" a="1"/>
  <c r="C29" i="88" a="1"/>
  <c r="CJ21" i="88" a="1"/>
  <c r="H32" i="88" a="1"/>
  <c r="M15" i="88" a="1"/>
  <c r="D14" i="88" a="1"/>
  <c r="W31" i="88" a="1"/>
  <c r="BI6" i="88" a="1"/>
  <c r="BR20" i="88" a="1"/>
  <c r="BC7" i="88" a="1"/>
  <c r="BU27" i="88" a="1"/>
  <c r="CE28" i="88" a="1"/>
  <c r="R31" i="88" a="1"/>
  <c r="BC21" i="88" a="1"/>
  <c r="K18" i="88" a="1"/>
  <c r="W25" i="88" a="1"/>
  <c r="C28" i="88" a="1"/>
  <c r="W26" i="88" a="1"/>
  <c r="P6" i="88" a="1"/>
  <c r="BC5" i="88" a="1"/>
  <c r="AB28" i="88" a="1"/>
  <c r="H4" i="88" a="1"/>
  <c r="Z5" i="88" a="1"/>
  <c r="U27" i="88" a="1"/>
  <c r="DM12" i="88" a="1"/>
  <c r="K27" i="88" a="1"/>
  <c r="BR26" i="88" a="1"/>
  <c r="M11" i="88" a="1"/>
  <c r="CJ25" i="88" a="1"/>
  <c r="U12" i="88" a="1"/>
  <c r="DM31" i="88" a="1"/>
  <c r="C17" i="88" a="1"/>
  <c r="C27" i="88" a="1"/>
  <c r="AB17" i="88" a="1"/>
  <c r="BC11" i="88" a="1"/>
  <c r="BZ24" i="88" a="1"/>
  <c r="P21" i="88" a="1"/>
  <c r="AB12" i="88" a="1"/>
  <c r="BU30" i="88" a="1"/>
  <c r="BJ29" i="88" a="1"/>
  <c r="M22" i="88" a="1"/>
  <c r="M8" i="88" a="1"/>
  <c r="BZ26" i="88" a="1"/>
  <c r="DM26" i="88" a="1"/>
  <c r="R22" i="88" a="1"/>
  <c r="H31" i="88" a="1"/>
  <c r="E30" i="88" a="1"/>
  <c r="BZ20" i="88" a="1"/>
  <c r="M14" i="88" a="1"/>
  <c r="BR8" i="88" a="1"/>
  <c r="R7" i="88" a="1"/>
  <c r="P20" i="88" a="1"/>
  <c r="H10" i="88" a="1"/>
  <c r="DM8" i="88" a="1"/>
  <c r="C23" i="88" a="1"/>
  <c r="AB25" i="88" a="1"/>
  <c r="CE24" i="88" a="1"/>
  <c r="E7" i="88" a="1"/>
  <c r="P11" i="88" a="1"/>
  <c r="H5" i="88" a="1"/>
  <c r="AB29" i="88" a="1"/>
  <c r="Z26" i="88" a="1"/>
  <c r="E17" i="88" a="1"/>
  <c r="BU24" i="88" a="1"/>
  <c r="C21" i="88" a="1"/>
  <c r="H19" i="88" a="1"/>
  <c r="BK12" i="88" a="1"/>
  <c r="BR22" i="88" a="1"/>
  <c r="M19" i="88" a="1"/>
  <c r="P23" i="88" a="1"/>
  <c r="C4" i="88" a="1"/>
  <c r="DM16" i="88" a="1"/>
  <c r="BJ15" i="88" a="1"/>
  <c r="BI17" i="88" a="1"/>
  <c r="DM4" i="88" a="1"/>
  <c r="CJ32" i="88" a="1"/>
  <c r="AB20" i="88" a="1"/>
  <c r="BR11" i="88" a="1"/>
  <c r="U15" i="88" a="1"/>
  <c r="R28" i="88" a="1"/>
  <c r="E28" i="88" a="1"/>
  <c r="U10" i="88" a="1"/>
  <c r="BZ14" i="88" a="1"/>
  <c r="BK18" i="88" a="1"/>
  <c r="BK23" i="88" a="1"/>
  <c r="M13" i="88" a="1"/>
  <c r="R29" i="88" a="1"/>
  <c r="M25" i="88" a="1"/>
  <c r="BN29" i="88" a="1"/>
  <c r="BN16" i="88" a="1"/>
  <c r="BC4" i="88" a="1"/>
  <c r="M26" i="88" a="1"/>
  <c r="BR17" i="88" a="1"/>
  <c r="E8" i="88" a="1"/>
  <c r="H14" i="88" a="1"/>
  <c r="R15" i="88" a="1"/>
  <c r="BR27" i="88" a="1"/>
  <c r="AB31" i="88" a="1"/>
  <c r="W14" i="88" a="1"/>
  <c r="BJ10" i="88" a="1"/>
  <c r="AB23" i="88" a="1"/>
  <c r="K19" i="88" a="1"/>
  <c r="BK14" i="88" a="1"/>
  <c r="Z11" i="88" a="1"/>
  <c r="W20" i="88" a="1"/>
  <c r="BR12" i="88" a="1"/>
  <c r="D15" i="88" a="1"/>
  <c r="P19" i="88" a="1"/>
  <c r="CE18" i="88" a="1"/>
  <c r="BN18" i="88" a="1"/>
  <c r="E32" i="88" a="1"/>
  <c r="D21" i="88" a="1"/>
  <c r="P24" i="88" a="1"/>
  <c r="BC12" i="88" a="1"/>
  <c r="U23" i="88" a="1"/>
  <c r="BI16" i="88" a="1"/>
  <c r="BR14" i="88" a="1"/>
  <c r="H16" i="88" a="1"/>
  <c r="R6" i="88" a="1"/>
  <c r="U28" i="88" a="1"/>
  <c r="BC24" i="88" a="1"/>
  <c r="E16" i="88" a="1"/>
  <c r="Z29" i="88" a="1"/>
  <c r="C31" i="88" a="1"/>
  <c r="D20" i="88" a="1"/>
  <c r="C25" i="88" a="1"/>
  <c r="BJ32" i="88" a="1"/>
  <c r="BZ29" i="88" a="1"/>
  <c r="AB30" i="88" a="1"/>
  <c r="R5" i="88" a="1"/>
  <c r="R27" i="88" a="1"/>
  <c r="BK20" i="88" a="1"/>
  <c r="U32" i="88" a="1"/>
  <c r="BJ24" i="88" a="1"/>
  <c r="BZ25" i="88" a="1"/>
  <c r="BK27" i="88" a="1"/>
  <c r="BI32" i="88" a="1"/>
  <c r="CJ7" i="88" a="1"/>
  <c r="P18" i="88" a="1"/>
  <c r="BU7" i="88" a="1"/>
  <c r="W10" i="88" a="1"/>
  <c r="M21" i="88" a="1"/>
  <c r="BN21" i="88" a="1"/>
  <c r="D16" i="88" a="1"/>
  <c r="BR29" i="88" a="1"/>
  <c r="BJ20" i="88" a="1"/>
  <c r="U26" i="88" a="1"/>
  <c r="BN23" i="88" a="1"/>
  <c r="R17" i="88" a="1"/>
  <c r="CJ20" i="88" a="1"/>
  <c r="BJ19" i="88" a="1"/>
  <c r="CE16" i="88" a="1"/>
  <c r="P16" i="88" a="1"/>
  <c r="H12" i="88" a="1"/>
  <c r="BZ21" i="88" a="1"/>
  <c r="BN25" i="88" a="1"/>
  <c r="C15" i="88" a="1"/>
  <c r="AB22" i="88" a="1"/>
  <c r="BN32" i="88" a="1"/>
  <c r="BK16" i="88" a="1"/>
  <c r="BJ17" i="88" a="1"/>
  <c r="C30" i="88" a="1"/>
  <c r="P17" i="88" a="1"/>
  <c r="Z10" i="88" a="1"/>
  <c r="P25" i="88" a="1"/>
  <c r="BZ22" i="88" a="1"/>
  <c r="M23" i="88" a="1"/>
  <c r="BK21" i="88" a="1"/>
  <c r="D12" i="88" a="1"/>
  <c r="BC9" i="88" a="1"/>
  <c r="BJ14" i="88" a="1"/>
  <c r="D29" i="88" a="1"/>
  <c r="BU10" i="88" a="1"/>
  <c r="U9" i="88" a="1"/>
  <c r="AB18" i="88" a="1"/>
  <c r="CE23" i="88" a="1"/>
  <c r="R13" i="88" a="1"/>
  <c r="K22" i="88" a="1"/>
  <c r="D32" i="88" a="1"/>
  <c r="BR9" i="88" a="1"/>
  <c r="P15" i="88" a="1"/>
  <c r="BR28" i="88" a="1"/>
  <c r="H28" i="88" a="1"/>
  <c r="BK31" i="88" a="1"/>
  <c r="CE32" i="88" a="1"/>
  <c r="BI20" i="88" a="1"/>
  <c r="BR4" i="88" a="1"/>
  <c r="BN15" i="88" a="1"/>
  <c r="BI19" i="88" a="1"/>
  <c r="Z24" i="88" a="1"/>
  <c r="BN24" i="88" a="1"/>
  <c r="BU23" i="88" a="1"/>
  <c r="BI10" i="88" a="1"/>
  <c r="D19" i="88" a="1"/>
  <c r="BZ28" i="88" a="1"/>
  <c r="BN4" i="88" a="1"/>
  <c r="BI25" i="88" a="1"/>
  <c r="BU26" i="88" a="1"/>
  <c r="BI4" i="88" a="1"/>
  <c r="U21" i="88" a="1"/>
  <c r="M7" i="88" a="1"/>
  <c r="R24" i="88" a="1"/>
  <c r="BU11" i="88" a="1"/>
  <c r="BC8" i="88" a="1"/>
  <c r="M12" i="88" a="1"/>
  <c r="BZ15" i="88" a="1"/>
  <c r="AB16" i="88" a="1"/>
  <c r="E22" i="88" a="1"/>
  <c r="R19" i="88" a="1"/>
  <c r="BJ28" i="88" a="1"/>
  <c r="Z20" i="88" a="1"/>
  <c r="C9" i="88" a="1"/>
  <c r="BC32" i="88" a="1"/>
  <c r="R32" i="88" a="1"/>
  <c r="CQ9" i="88" l="1"/>
  <c r="CR9" i="88"/>
  <c r="CQ5" i="88"/>
  <c r="CR5" i="88"/>
  <c r="AI6" i="88"/>
  <c r="AG6" i="88"/>
  <c r="M31" i="88"/>
  <c r="BW31" i="88" s="1"/>
  <c r="E25" i="88"/>
  <c r="U6" i="88"/>
  <c r="AF6" i="88" s="1"/>
  <c r="BR11" i="88"/>
  <c r="BT11" i="88" s="1"/>
  <c r="DM9" i="88"/>
  <c r="DN9" i="88" s="1"/>
  <c r="DQ9" i="88" s="1"/>
  <c r="Z12" i="88"/>
  <c r="H20" i="88"/>
  <c r="M22" i="88"/>
  <c r="BW22" i="88" s="1"/>
  <c r="D10" i="88"/>
  <c r="AP10" i="88" s="1"/>
  <c r="C28" i="88"/>
  <c r="AJ28" i="88" s="1"/>
  <c r="E27" i="88"/>
  <c r="P11" i="88"/>
  <c r="P7" i="88"/>
  <c r="BC29" i="88"/>
  <c r="BD29" i="88" s="1"/>
  <c r="BG29" i="88" s="1"/>
  <c r="P8" i="88"/>
  <c r="Q9" i="88" s="1"/>
  <c r="S9" i="88" s="1"/>
  <c r="BR32" i="88"/>
  <c r="BT32" i="88" s="1"/>
  <c r="BN19" i="88"/>
  <c r="BQ19" i="88" s="1"/>
  <c r="CJ25" i="88"/>
  <c r="DM22" i="88"/>
  <c r="DN22" i="88" s="1"/>
  <c r="DQ22" i="88" s="1"/>
  <c r="BK32" i="88"/>
  <c r="W27" i="88"/>
  <c r="CG27" i="88" s="1"/>
  <c r="DM23" i="88"/>
  <c r="DN23" i="88" s="1"/>
  <c r="DQ23" i="88" s="1"/>
  <c r="BJ19" i="88"/>
  <c r="Z30" i="88"/>
  <c r="DM8" i="88"/>
  <c r="DN8" i="88" s="1"/>
  <c r="DQ8" i="88" s="1"/>
  <c r="BI8" i="88"/>
  <c r="CS8" i="88" s="1"/>
  <c r="CE17" i="88"/>
  <c r="D16" i="88"/>
  <c r="P26" i="88"/>
  <c r="U27" i="88"/>
  <c r="BU31" i="88"/>
  <c r="Z19" i="88"/>
  <c r="BK5" i="88"/>
  <c r="D23" i="88"/>
  <c r="K22" i="88"/>
  <c r="BJ17" i="88"/>
  <c r="W13" i="88"/>
  <c r="CG13" i="88" s="1"/>
  <c r="CJ13" i="88"/>
  <c r="P21" i="88"/>
  <c r="Z11" i="88"/>
  <c r="C15" i="88"/>
  <c r="AJ15" i="88" s="1"/>
  <c r="BJ32" i="88"/>
  <c r="W20" i="88"/>
  <c r="CG20" i="88" s="1"/>
  <c r="BR4" i="88"/>
  <c r="BT4" i="88" s="1"/>
  <c r="CE30" i="88"/>
  <c r="U28" i="88"/>
  <c r="W14" i="88"/>
  <c r="CG14" i="88" s="1"/>
  <c r="R17" i="88"/>
  <c r="CB17" i="88" s="1"/>
  <c r="R27" i="88"/>
  <c r="CB27" i="88" s="1"/>
  <c r="CJ24" i="88"/>
  <c r="H17" i="88"/>
  <c r="DM7" i="88"/>
  <c r="DN7" i="88" s="1"/>
  <c r="DQ7" i="88" s="1"/>
  <c r="BZ24" i="88"/>
  <c r="K13" i="88"/>
  <c r="BC30" i="88"/>
  <c r="BD30" i="88" s="1"/>
  <c r="BG30" i="88" s="1"/>
  <c r="P30" i="88"/>
  <c r="K17" i="88"/>
  <c r="H13" i="88"/>
  <c r="BI16" i="88"/>
  <c r="CS16" i="88" s="1"/>
  <c r="DM28" i="88"/>
  <c r="DN28" i="88" s="1"/>
  <c r="DQ28" i="88" s="1"/>
  <c r="BI11" i="88"/>
  <c r="CS11" i="88" s="1"/>
  <c r="M12" i="88"/>
  <c r="BW12" i="88" s="1"/>
  <c r="W21" i="88"/>
  <c r="CG21" i="88" s="1"/>
  <c r="BN16" i="88"/>
  <c r="BQ16" i="88" s="1"/>
  <c r="BI6" i="88"/>
  <c r="CS6" i="88" s="1"/>
  <c r="DM12" i="88"/>
  <c r="DN12" i="88" s="1"/>
  <c r="DQ12" i="88" s="1"/>
  <c r="R24" i="88"/>
  <c r="CB24" i="88" s="1"/>
  <c r="CE19" i="88"/>
  <c r="BR12" i="88"/>
  <c r="BT12" i="88" s="1"/>
  <c r="D25" i="88"/>
  <c r="E22" i="88"/>
  <c r="BZ13" i="88"/>
  <c r="W24" i="88"/>
  <c r="CG24" i="88" s="1"/>
  <c r="BI13" i="88"/>
  <c r="CS13" i="88" s="1"/>
  <c r="CE5" i="88"/>
  <c r="CP5" i="88" s="1"/>
  <c r="CE24" i="88"/>
  <c r="BR5" i="88"/>
  <c r="BT5" i="88" s="1"/>
  <c r="DG5" i="88" s="1"/>
  <c r="DH5" i="88" s="1"/>
  <c r="K12" i="88"/>
  <c r="D14" i="88"/>
  <c r="K26" i="88"/>
  <c r="BU23" i="88"/>
  <c r="BC5" i="88"/>
  <c r="BD5" i="88" s="1"/>
  <c r="BG5" i="88" s="1"/>
  <c r="BI22" i="88"/>
  <c r="CS22" i="88" s="1"/>
  <c r="BU7" i="88"/>
  <c r="BI19" i="88"/>
  <c r="CS19" i="88" s="1"/>
  <c r="BZ5" i="88"/>
  <c r="D9" i="88"/>
  <c r="H23" i="88"/>
  <c r="D32" i="88"/>
  <c r="Z8" i="88"/>
  <c r="C4" i="88"/>
  <c r="AP4" i="88" s="1"/>
  <c r="BK13" i="88"/>
  <c r="M19" i="88"/>
  <c r="BW19" i="88" s="1"/>
  <c r="CE23" i="88"/>
  <c r="DM25" i="88"/>
  <c r="DN25" i="88" s="1"/>
  <c r="DQ25" i="88" s="1"/>
  <c r="D8" i="88"/>
  <c r="E11" i="88"/>
  <c r="BK25" i="88"/>
  <c r="BU10" i="88"/>
  <c r="C9" i="88"/>
  <c r="AJ9" i="88" s="1"/>
  <c r="K21" i="88"/>
  <c r="BR25" i="88"/>
  <c r="BT25" i="88" s="1"/>
  <c r="BJ30" i="88"/>
  <c r="BZ15" i="88"/>
  <c r="CE16" i="88"/>
  <c r="C22" i="88"/>
  <c r="AJ22" i="88" s="1"/>
  <c r="BN28" i="88"/>
  <c r="BQ28" i="88" s="1"/>
  <c r="U12" i="88"/>
  <c r="P17" i="88"/>
  <c r="BJ22" i="88"/>
  <c r="E23" i="88"/>
  <c r="CJ26" i="88"/>
  <c r="BN26" i="88"/>
  <c r="BQ26" i="88" s="1"/>
  <c r="CJ29" i="88"/>
  <c r="K4" i="88"/>
  <c r="BU21" i="88"/>
  <c r="H22" i="88"/>
  <c r="CE25" i="88"/>
  <c r="H10" i="88"/>
  <c r="E12" i="88"/>
  <c r="BN11" i="88"/>
  <c r="BQ11" i="88" s="1"/>
  <c r="BR8" i="88"/>
  <c r="BT8" i="88" s="1"/>
  <c r="R16" i="88"/>
  <c r="CB16" i="88" s="1"/>
  <c r="BN15" i="88"/>
  <c r="BQ15" i="88" s="1"/>
  <c r="C20" i="88"/>
  <c r="AJ20" i="88" s="1"/>
  <c r="CE28" i="88"/>
  <c r="BZ23" i="88"/>
  <c r="BC27" i="88"/>
  <c r="BD27" i="88" s="1"/>
  <c r="BG27" i="88" s="1"/>
  <c r="U30" i="88"/>
  <c r="M15" i="88"/>
  <c r="BW15" i="88" s="1"/>
  <c r="W18" i="88"/>
  <c r="CG18" i="88" s="1"/>
  <c r="CJ23" i="88"/>
  <c r="H24" i="88"/>
  <c r="D30" i="88"/>
  <c r="CJ14" i="88"/>
  <c r="BR26" i="88"/>
  <c r="BT26" i="88" s="1"/>
  <c r="BU24" i="88"/>
  <c r="H14" i="88"/>
  <c r="CE8" i="88"/>
  <c r="BN8" i="88"/>
  <c r="BQ8" i="88" s="1"/>
  <c r="M23" i="88"/>
  <c r="BW23" i="88" s="1"/>
  <c r="R4" i="88"/>
  <c r="CB4" i="88" s="1"/>
  <c r="CC4" i="88" s="1"/>
  <c r="CD4" i="88" s="1"/>
  <c r="H16" i="88"/>
  <c r="D18" i="88"/>
  <c r="BI20" i="88"/>
  <c r="CS20" i="88" s="1"/>
  <c r="D31" i="88"/>
  <c r="BC28" i="88"/>
  <c r="BD28" i="88" s="1"/>
  <c r="BG28" i="88" s="1"/>
  <c r="R30" i="88"/>
  <c r="CB30" i="88" s="1"/>
  <c r="C32" i="88"/>
  <c r="C11" i="88"/>
  <c r="CE12" i="88"/>
  <c r="D5" i="88"/>
  <c r="CE15" i="88"/>
  <c r="D7" i="88"/>
  <c r="AP7" i="88" s="1"/>
  <c r="AG7" i="88" s="1"/>
  <c r="U8" i="88"/>
  <c r="BU16" i="88"/>
  <c r="BZ27" i="88"/>
  <c r="BJ18" i="88"/>
  <c r="AB30" i="88"/>
  <c r="CL30" i="88" s="1"/>
  <c r="D29" i="88"/>
  <c r="W28" i="88"/>
  <c r="CG28" i="88" s="1"/>
  <c r="E32" i="88"/>
  <c r="P6" i="88"/>
  <c r="BR30" i="88"/>
  <c r="BT30" i="88" s="1"/>
  <c r="BI23" i="88"/>
  <c r="CS23" i="88" s="1"/>
  <c r="BK14" i="88"/>
  <c r="BC14" i="88"/>
  <c r="BD14" i="88" s="1"/>
  <c r="BG14" i="88" s="1"/>
  <c r="M25" i="88"/>
  <c r="BW25" i="88" s="1"/>
  <c r="M16" i="88"/>
  <c r="BW16" i="88" s="1"/>
  <c r="AB23" i="88"/>
  <c r="CL23" i="88" s="1"/>
  <c r="D21" i="88"/>
  <c r="BJ25" i="88"/>
  <c r="U23" i="88"/>
  <c r="W6" i="88"/>
  <c r="CG6" i="88" s="1"/>
  <c r="U17" i="88"/>
  <c r="BI29" i="88"/>
  <c r="CS29" i="88" s="1"/>
  <c r="BK27" i="88"/>
  <c r="BC7" i="88"/>
  <c r="BD7" i="88" s="1"/>
  <c r="BG7" i="88" s="1"/>
  <c r="BK16" i="88"/>
  <c r="CE29" i="88"/>
  <c r="R6" i="88"/>
  <c r="CB6" i="88" s="1"/>
  <c r="BN21" i="88"/>
  <c r="BQ21" i="88" s="1"/>
  <c r="Z32" i="88"/>
  <c r="BC24" i="88"/>
  <c r="BD24" i="88" s="1"/>
  <c r="BG24" i="88" s="1"/>
  <c r="BZ21" i="88"/>
  <c r="K24" i="88"/>
  <c r="BI10" i="88"/>
  <c r="CS10" i="88" s="1"/>
  <c r="BC18" i="88"/>
  <c r="BD18" i="88" s="1"/>
  <c r="BG18" i="88" s="1"/>
  <c r="BK17" i="88"/>
  <c r="M18" i="88"/>
  <c r="BW18" i="88" s="1"/>
  <c r="BI7" i="88"/>
  <c r="P20" i="88"/>
  <c r="BZ29" i="88"/>
  <c r="R5" i="88"/>
  <c r="CB5" i="88" s="1"/>
  <c r="BI27" i="88"/>
  <c r="CS27" i="88" s="1"/>
  <c r="AB18" i="88"/>
  <c r="CL18" i="88" s="1"/>
  <c r="BC32" i="88"/>
  <c r="BD32" i="88" s="1"/>
  <c r="BG32" i="88" s="1"/>
  <c r="BU15" i="88"/>
  <c r="E13" i="88"/>
  <c r="C18" i="88"/>
  <c r="D26" i="88"/>
  <c r="DM27" i="88"/>
  <c r="DN27" i="88" s="1"/>
  <c r="DQ27" i="88" s="1"/>
  <c r="Z16" i="88"/>
  <c r="P19" i="88"/>
  <c r="BC19" i="88"/>
  <c r="BD19" i="88" s="1"/>
  <c r="BG19" i="88" s="1"/>
  <c r="U15" i="88"/>
  <c r="V16" i="88" s="1"/>
  <c r="H25" i="88"/>
  <c r="E31" i="88"/>
  <c r="U32" i="88"/>
  <c r="P24" i="88"/>
  <c r="E26" i="88"/>
  <c r="U5" i="88"/>
  <c r="R19" i="88"/>
  <c r="CB19" i="88" s="1"/>
  <c r="U22" i="88"/>
  <c r="K27" i="88"/>
  <c r="C5" i="88"/>
  <c r="M17" i="88"/>
  <c r="BW17" i="88" s="1"/>
  <c r="C21" i="88"/>
  <c r="AJ21" i="88" s="1"/>
  <c r="BC26" i="88"/>
  <c r="BD26" i="88" s="1"/>
  <c r="BG26" i="88" s="1"/>
  <c r="M30" i="88"/>
  <c r="BW30" i="88" s="1"/>
  <c r="CJ7" i="88"/>
  <c r="H4" i="88"/>
  <c r="BN13" i="88"/>
  <c r="BQ13" i="88" s="1"/>
  <c r="DG13" i="88" s="1"/>
  <c r="E15" i="88"/>
  <c r="BK29" i="88"/>
  <c r="Z25" i="88"/>
  <c r="Z23" i="88"/>
  <c r="H30" i="88"/>
  <c r="BZ30" i="88"/>
  <c r="BZ12" i="88"/>
  <c r="W15" i="88"/>
  <c r="CG15" i="88" s="1"/>
  <c r="H12" i="88"/>
  <c r="U25" i="88"/>
  <c r="BZ32" i="88"/>
  <c r="CE4" i="88"/>
  <c r="AB13" i="88"/>
  <c r="CL13" i="88" s="1"/>
  <c r="Z21" i="88"/>
  <c r="R23" i="88"/>
  <c r="CB23" i="88" s="1"/>
  <c r="BZ28" i="88"/>
  <c r="U29" i="88"/>
  <c r="BK31" i="88"/>
  <c r="U9" i="88"/>
  <c r="AB12" i="88"/>
  <c r="CL12" i="88" s="1"/>
  <c r="U24" i="88"/>
  <c r="M27" i="88"/>
  <c r="BW27" i="88" s="1"/>
  <c r="AB4" i="88"/>
  <c r="CL4" i="88" s="1"/>
  <c r="CM4" i="88" s="1"/>
  <c r="CN6" i="88" s="1"/>
  <c r="BK20" i="88"/>
  <c r="DM16" i="88"/>
  <c r="DN16" i="88" s="1"/>
  <c r="DQ16" i="88" s="1"/>
  <c r="P12" i="88"/>
  <c r="R18" i="88"/>
  <c r="CB18" i="88" s="1"/>
  <c r="P18" i="88"/>
  <c r="BR18" i="88"/>
  <c r="BT18" i="88" s="1"/>
  <c r="R21" i="88"/>
  <c r="CB21" i="88" s="1"/>
  <c r="D28" i="88"/>
  <c r="R25" i="88"/>
  <c r="CB25" i="88" s="1"/>
  <c r="BR31" i="88"/>
  <c r="BT31" i="88" s="1"/>
  <c r="AB16" i="88"/>
  <c r="CL16" i="88" s="1"/>
  <c r="AB20" i="88"/>
  <c r="CL20" i="88" s="1"/>
  <c r="R29" i="88"/>
  <c r="CB29" i="88" s="1"/>
  <c r="K25" i="88"/>
  <c r="CE32" i="88"/>
  <c r="M11" i="88"/>
  <c r="BW11" i="88" s="1"/>
  <c r="AB21" i="88"/>
  <c r="CL21" i="88" s="1"/>
  <c r="K28" i="88"/>
  <c r="W17" i="88"/>
  <c r="CG17" i="88" s="1"/>
  <c r="BZ10" i="88"/>
  <c r="BC12" i="88"/>
  <c r="BD12" i="88" s="1"/>
  <c r="BG12" i="88" s="1"/>
  <c r="BJ20" i="88"/>
  <c r="C8" i="88"/>
  <c r="AJ8" i="88" s="1"/>
  <c r="D20" i="88"/>
  <c r="C19" i="88"/>
  <c r="AJ19" i="88" s="1"/>
  <c r="CE22" i="88"/>
  <c r="BR21" i="88"/>
  <c r="BT21" i="88" s="1"/>
  <c r="M24" i="88"/>
  <c r="BW24" i="88" s="1"/>
  <c r="U26" i="88"/>
  <c r="BU29" i="88"/>
  <c r="BK7" i="88"/>
  <c r="DM14" i="88"/>
  <c r="DN14" i="88" s="1"/>
  <c r="DQ14" i="88" s="1"/>
  <c r="Z10" i="88"/>
  <c r="BC17" i="88"/>
  <c r="BD17" i="88" s="1"/>
  <c r="BG17" i="88" s="1"/>
  <c r="CE6" i="88"/>
  <c r="BR9" i="88"/>
  <c r="BT9" i="88" s="1"/>
  <c r="DG9" i="88" s="1"/>
  <c r="DH9" i="88" s="1"/>
  <c r="Z9" i="88"/>
  <c r="R22" i="88"/>
  <c r="CB22" i="88" s="1"/>
  <c r="H18" i="88"/>
  <c r="C25" i="88"/>
  <c r="AJ25" i="88" s="1"/>
  <c r="M26" i="88"/>
  <c r="BW26" i="88" s="1"/>
  <c r="AB31" i="88"/>
  <c r="CL31" i="88" s="1"/>
  <c r="W29" i="88"/>
  <c r="CG29" i="88" s="1"/>
  <c r="M5" i="88"/>
  <c r="BW5" i="88" s="1"/>
  <c r="U10" i="88"/>
  <c r="BZ31" i="88"/>
  <c r="AB9" i="88"/>
  <c r="CL9" i="88" s="1"/>
  <c r="U11" i="88"/>
  <c r="CE27" i="88"/>
  <c r="M4" i="88"/>
  <c r="BW4" i="88" s="1"/>
  <c r="P4" i="88"/>
  <c r="Q4" i="88" s="1"/>
  <c r="CE26" i="88"/>
  <c r="DM11" i="88"/>
  <c r="DN11" i="88" s="1"/>
  <c r="DQ11" i="88" s="1"/>
  <c r="AB7" i="88"/>
  <c r="CL7" i="88" s="1"/>
  <c r="W16" i="88"/>
  <c r="CG16" i="88" s="1"/>
  <c r="BU6" i="88"/>
  <c r="BJ10" i="88"/>
  <c r="BR17" i="88"/>
  <c r="BT17" i="88" s="1"/>
  <c r="R26" i="88"/>
  <c r="CB26" i="88" s="1"/>
  <c r="K31" i="88"/>
  <c r="BK9" i="88"/>
  <c r="P29" i="88"/>
  <c r="P15" i="88"/>
  <c r="Z18" i="88"/>
  <c r="C14" i="88"/>
  <c r="K30" i="88"/>
  <c r="C16" i="88"/>
  <c r="AJ16" i="88" s="1"/>
  <c r="BU25" i="88"/>
  <c r="M29" i="88"/>
  <c r="BW29" i="88" s="1"/>
  <c r="DM20" i="88"/>
  <c r="DN20" i="88" s="1"/>
  <c r="DQ20" i="88" s="1"/>
  <c r="BU32" i="88"/>
  <c r="D24" i="88"/>
  <c r="BN7" i="88"/>
  <c r="BQ7" i="88" s="1"/>
  <c r="DG7" i="88" s="1"/>
  <c r="BJ23" i="88"/>
  <c r="R28" i="88"/>
  <c r="CB28" i="88" s="1"/>
  <c r="BK15" i="88"/>
  <c r="P28" i="88"/>
  <c r="BJ6" i="88"/>
  <c r="AB17" i="88"/>
  <c r="CL17" i="88" s="1"/>
  <c r="P22" i="88"/>
  <c r="DM32" i="88"/>
  <c r="DN32" i="88" s="1"/>
  <c r="DQ32" i="88" s="1"/>
  <c r="P10" i="88"/>
  <c r="Q10" i="88" s="1"/>
  <c r="BJ13" i="88"/>
  <c r="BN32" i="88"/>
  <c r="BQ32" i="88" s="1"/>
  <c r="BZ17" i="88"/>
  <c r="BN22" i="88"/>
  <c r="BQ22" i="88" s="1"/>
  <c r="R32" i="88"/>
  <c r="CB32" i="88" s="1"/>
  <c r="BU30" i="88"/>
  <c r="M8" i="88"/>
  <c r="BW8" i="88" s="1"/>
  <c r="BC8" i="88"/>
  <c r="BD8" i="88" s="1"/>
  <c r="BG8" i="88" s="1"/>
  <c r="BN17" i="88"/>
  <c r="BQ17" i="88" s="1"/>
  <c r="BR28" i="88"/>
  <c r="BT28" i="88" s="1"/>
  <c r="E10" i="88"/>
  <c r="R7" i="88"/>
  <c r="CB7" i="88" s="1"/>
  <c r="CC7" i="88" s="1"/>
  <c r="BI15" i="88"/>
  <c r="CS15" i="88" s="1"/>
  <c r="M14" i="88"/>
  <c r="BW14" i="88" s="1"/>
  <c r="K8" i="88"/>
  <c r="BC22" i="88"/>
  <c r="BD22" i="88" s="1"/>
  <c r="BG22" i="88" s="1"/>
  <c r="E20" i="88"/>
  <c r="BU22" i="88"/>
  <c r="C24" i="88"/>
  <c r="AJ24" i="88" s="1"/>
  <c r="BU26" i="88"/>
  <c r="BR16" i="88"/>
  <c r="BT16" i="88" s="1"/>
  <c r="BI14" i="88"/>
  <c r="CS14" i="88" s="1"/>
  <c r="CE18" i="88"/>
  <c r="BU27" i="88"/>
  <c r="Z27" i="88"/>
  <c r="BN29" i="88"/>
  <c r="BQ29" i="88" s="1"/>
  <c r="BU4" i="88"/>
  <c r="CJ21" i="88"/>
  <c r="DM26" i="88"/>
  <c r="DN26" i="88" s="1"/>
  <c r="DQ26" i="88" s="1"/>
  <c r="CJ11" i="88"/>
  <c r="BI12" i="88"/>
  <c r="Z14" i="88"/>
  <c r="E16" i="88"/>
  <c r="BN12" i="88"/>
  <c r="BQ12" i="88" s="1"/>
  <c r="BU8" i="88"/>
  <c r="CE20" i="88"/>
  <c r="BN23" i="88"/>
  <c r="BQ23" i="88" s="1"/>
  <c r="AB24" i="88"/>
  <c r="CL24" i="88" s="1"/>
  <c r="W25" i="88"/>
  <c r="CG25" i="88" s="1"/>
  <c r="BR27" i="88"/>
  <c r="BT27" i="88" s="1"/>
  <c r="CJ31" i="88"/>
  <c r="BN4" i="88"/>
  <c r="BQ4" i="88" s="1"/>
  <c r="BR22" i="88"/>
  <c r="BT22" i="88" s="1"/>
  <c r="H9" i="88"/>
  <c r="Z28" i="88"/>
  <c r="H8" i="88"/>
  <c r="P13" i="88"/>
  <c r="DM10" i="88"/>
  <c r="DN10" i="88" s="1"/>
  <c r="DQ10" i="88" s="1"/>
  <c r="BC15" i="88"/>
  <c r="BD15" i="88" s="1"/>
  <c r="BG15" i="88" s="1"/>
  <c r="K19" i="88"/>
  <c r="Z20" i="88"/>
  <c r="BN31" i="88"/>
  <c r="BQ31" i="88" s="1"/>
  <c r="E30" i="88"/>
  <c r="H31" i="88"/>
  <c r="BI4" i="88"/>
  <c r="BN20" i="88"/>
  <c r="BQ20" i="88" s="1"/>
  <c r="R14" i="88"/>
  <c r="CB14" i="88" s="1"/>
  <c r="BU12" i="88"/>
  <c r="CE21" i="88"/>
  <c r="AB32" i="88"/>
  <c r="CL32" i="88" s="1"/>
  <c r="C26" i="88"/>
  <c r="AJ26" i="88" s="1"/>
  <c r="AB15" i="88"/>
  <c r="CL15" i="88" s="1"/>
  <c r="R31" i="88"/>
  <c r="CB31" i="88" s="1"/>
  <c r="W31" i="88"/>
  <c r="CG31" i="88" s="1"/>
  <c r="M28" i="88"/>
  <c r="BW28" i="88" s="1"/>
  <c r="BZ19" i="88"/>
  <c r="BU18" i="88"/>
  <c r="U7" i="88"/>
  <c r="BJ21" i="88"/>
  <c r="CJ8" i="88"/>
  <c r="R15" i="88"/>
  <c r="CB15" i="88" s="1"/>
  <c r="C30" i="88"/>
  <c r="CE7" i="88"/>
  <c r="E14" i="88"/>
  <c r="D19" i="88"/>
  <c r="BI28" i="88"/>
  <c r="CS28" i="88" s="1"/>
  <c r="R12" i="88"/>
  <c r="CB12" i="88" s="1"/>
  <c r="M9" i="88"/>
  <c r="BW9" i="88" s="1"/>
  <c r="CJ28" i="88"/>
  <c r="DM19" i="88"/>
  <c r="DN19" i="88" s="1"/>
  <c r="DQ19" i="88" s="1"/>
  <c r="DM15" i="88"/>
  <c r="DN15" i="88" s="1"/>
  <c r="DQ15" i="88" s="1"/>
  <c r="W23" i="88"/>
  <c r="CG23" i="88" s="1"/>
  <c r="BJ31" i="88"/>
  <c r="K29" i="88"/>
  <c r="BN25" i="88"/>
  <c r="BQ25" i="88" s="1"/>
  <c r="K23" i="88"/>
  <c r="E6" i="88"/>
  <c r="C12" i="88"/>
  <c r="CJ18" i="88"/>
  <c r="DM24" i="88"/>
  <c r="DN24" i="88" s="1"/>
  <c r="DQ24" i="88" s="1"/>
  <c r="BI32" i="88"/>
  <c r="CS32" i="88" s="1"/>
  <c r="H19" i="88"/>
  <c r="AB22" i="88"/>
  <c r="CL22" i="88" s="1"/>
  <c r="R8" i="88"/>
  <c r="CB8" i="88" s="1"/>
  <c r="CC8" i="88" s="1"/>
  <c r="BK18" i="88"/>
  <c r="Z24" i="88"/>
  <c r="D22" i="88"/>
  <c r="BI25" i="88"/>
  <c r="CS25" i="88" s="1"/>
  <c r="BC25" i="88"/>
  <c r="BD25" i="88" s="1"/>
  <c r="BG25" i="88" s="1"/>
  <c r="M32" i="88"/>
  <c r="BW32" i="88" s="1"/>
  <c r="H5" i="88"/>
  <c r="Z5" i="88"/>
  <c r="CJ15" i="88"/>
  <c r="E19" i="88"/>
  <c r="C23" i="88"/>
  <c r="AJ23" i="88" s="1"/>
  <c r="BI24" i="88"/>
  <c r="CS24" i="88" s="1"/>
  <c r="CJ22" i="88"/>
  <c r="H27" i="88"/>
  <c r="BJ29" i="88"/>
  <c r="DM5" i="88"/>
  <c r="DN5" i="88" s="1"/>
  <c r="DQ5" i="88" s="1"/>
  <c r="BN24" i="88"/>
  <c r="BQ24" i="88" s="1"/>
  <c r="BR19" i="88"/>
  <c r="BT19" i="88" s="1"/>
  <c r="BR24" i="88"/>
  <c r="BT24" i="88" s="1"/>
  <c r="BC31" i="88"/>
  <c r="BD31" i="88" s="1"/>
  <c r="BG31" i="88" s="1"/>
  <c r="DM4" i="88"/>
  <c r="DN4" i="88" s="1"/>
  <c r="DP4" i="88" s="1"/>
  <c r="DQ4" i="88" s="1"/>
  <c r="K20" i="88"/>
  <c r="BU17" i="88"/>
  <c r="H26" i="88"/>
  <c r="W26" i="88"/>
  <c r="CG26" i="88" s="1"/>
  <c r="BU28" i="88"/>
  <c r="CJ32" i="88"/>
  <c r="BJ15" i="88"/>
  <c r="Z17" i="88"/>
  <c r="M21" i="88"/>
  <c r="BW21" i="88" s="1"/>
  <c r="BI26" i="88"/>
  <c r="CS26" i="88" s="1"/>
  <c r="BJ8" i="88"/>
  <c r="AB10" i="88"/>
  <c r="CL10" i="88" s="1"/>
  <c r="BC20" i="88"/>
  <c r="BD20" i="88" s="1"/>
  <c r="BG20" i="88" s="1"/>
  <c r="D11" i="88"/>
  <c r="R10" i="88"/>
  <c r="CB10" i="88" s="1"/>
  <c r="H15" i="88"/>
  <c r="E21" i="88"/>
  <c r="Z26" i="88"/>
  <c r="D27" i="88"/>
  <c r="AB29" i="88"/>
  <c r="CL29" i="88" s="1"/>
  <c r="CE11" i="88"/>
  <c r="BJ16" i="88"/>
  <c r="BZ22" i="88"/>
  <c r="BK21" i="88"/>
  <c r="Z29" i="88"/>
  <c r="CE31" i="88"/>
  <c r="C13" i="88"/>
  <c r="AP13" i="88" s="1"/>
  <c r="AG13" i="88" s="1"/>
  <c r="W10" i="88"/>
  <c r="CG10" i="88" s="1"/>
  <c r="BN27" i="88"/>
  <c r="BQ27" i="88" s="1"/>
  <c r="M7" i="88"/>
  <c r="BW7" i="88" s="1"/>
  <c r="D17" i="88"/>
  <c r="AB8" i="88"/>
  <c r="CL8" i="88" s="1"/>
  <c r="BJ11" i="88"/>
  <c r="Z15" i="88"/>
  <c r="CJ10" i="88"/>
  <c r="BN14" i="88"/>
  <c r="BQ14" i="88" s="1"/>
  <c r="BI21" i="88"/>
  <c r="CS21" i="88" s="1"/>
  <c r="AB25" i="88"/>
  <c r="CL25" i="88" s="1"/>
  <c r="BI31" i="88"/>
  <c r="CS31" i="88" s="1"/>
  <c r="BR29" i="88"/>
  <c r="BT29" i="88" s="1"/>
  <c r="DM31" i="88"/>
  <c r="DN31" i="88" s="1"/>
  <c r="DQ31" i="88" s="1"/>
  <c r="AB14" i="88"/>
  <c r="CL14" i="88" s="1"/>
  <c r="E17" i="88"/>
  <c r="BU13" i="88"/>
  <c r="BZ20" i="88"/>
  <c r="K9" i="88"/>
  <c r="P16" i="88"/>
  <c r="BJ14" i="88"/>
  <c r="DM17" i="88"/>
  <c r="DN17" i="88" s="1"/>
  <c r="DQ17" i="88" s="1"/>
  <c r="W19" i="88"/>
  <c r="CG19" i="88" s="1"/>
  <c r="DM21" i="88"/>
  <c r="DN21" i="88" s="1"/>
  <c r="DQ21" i="88" s="1"/>
  <c r="Z31" i="88"/>
  <c r="E28" i="88"/>
  <c r="K32" i="88"/>
  <c r="D15" i="88"/>
  <c r="DM30" i="88"/>
  <c r="DN30" i="88" s="1"/>
  <c r="DQ30" i="88" s="1"/>
  <c r="H11" i="88"/>
  <c r="CJ16" i="88"/>
  <c r="H32" i="88"/>
  <c r="C27" i="88"/>
  <c r="AJ27" i="88" s="1"/>
  <c r="CE14" i="88"/>
  <c r="P31" i="88"/>
  <c r="C29" i="88"/>
  <c r="AJ29" i="88" s="1"/>
  <c r="P25" i="88"/>
  <c r="BZ18" i="88"/>
  <c r="D12" i="88"/>
  <c r="BJ27" i="88"/>
  <c r="BC23" i="88"/>
  <c r="BD23" i="88" s="1"/>
  <c r="BG23" i="88" s="1"/>
  <c r="U19" i="88"/>
  <c r="V20" i="88" s="1"/>
  <c r="P14" i="88"/>
  <c r="W22" i="88"/>
  <c r="CG22" i="88" s="1"/>
  <c r="BC11" i="88"/>
  <c r="BD11" i="88" s="1"/>
  <c r="BG11" i="88" s="1"/>
  <c r="K18" i="88"/>
  <c r="BK22" i="88"/>
  <c r="BK26" i="88"/>
  <c r="DM29" i="88"/>
  <c r="DN29" i="88" s="1"/>
  <c r="DQ29" i="88" s="1"/>
  <c r="P32" i="88"/>
  <c r="R13" i="88"/>
  <c r="CB13" i="88" s="1"/>
  <c r="E7" i="88"/>
  <c r="BJ26" i="88"/>
  <c r="BR15" i="88"/>
  <c r="BT15" i="88" s="1"/>
  <c r="BI17" i="88"/>
  <c r="CS17" i="88" s="1"/>
  <c r="H21" i="88"/>
  <c r="BK24" i="88"/>
  <c r="BJ28" i="88"/>
  <c r="BI30" i="88"/>
  <c r="CS30" i="88" s="1"/>
  <c r="E4" i="88"/>
  <c r="R20" i="88"/>
  <c r="CB20" i="88" s="1"/>
  <c r="CJ20" i="88"/>
  <c r="AB27" i="88"/>
  <c r="CL27" i="88" s="1"/>
  <c r="BN30" i="88"/>
  <c r="BQ30" i="88" s="1"/>
  <c r="BK8" i="88"/>
  <c r="E18" i="88"/>
  <c r="CJ19" i="88"/>
  <c r="BJ24" i="88"/>
  <c r="CJ27" i="88"/>
  <c r="CJ30" i="88"/>
  <c r="C17" i="88"/>
  <c r="AJ17" i="88" s="1"/>
  <c r="BZ11" i="88"/>
  <c r="CA12" i="88" s="1"/>
  <c r="K10" i="88"/>
  <c r="BZ25" i="88"/>
  <c r="E29" i="88"/>
  <c r="CJ17" i="88"/>
  <c r="BR14" i="88"/>
  <c r="BT14" i="88" s="1"/>
  <c r="BI18" i="88"/>
  <c r="CS18" i="88" s="1"/>
  <c r="K15" i="88"/>
  <c r="BU11" i="88"/>
  <c r="K16" i="88"/>
  <c r="P23" i="88"/>
  <c r="BC21" i="88"/>
  <c r="BD21" i="88" s="1"/>
  <c r="BG21" i="88" s="1"/>
  <c r="BK28" i="88"/>
  <c r="U31" i="88"/>
  <c r="BN6" i="88"/>
  <c r="BQ6" i="88" s="1"/>
  <c r="DG6" i="88" s="1"/>
  <c r="BN18" i="88"/>
  <c r="BQ18" i="88" s="1"/>
  <c r="M20" i="88"/>
  <c r="BW20" i="88" s="1"/>
  <c r="BX20" i="88" s="1"/>
  <c r="BK23" i="88"/>
  <c r="P27" i="88"/>
  <c r="BZ16" i="88"/>
  <c r="CE9" i="88"/>
  <c r="BZ9" i="88"/>
  <c r="BZ26" i="88"/>
  <c r="BK4" i="88"/>
  <c r="BC9" i="88"/>
  <c r="BD9" i="88" s="1"/>
  <c r="BG9" i="88" s="1"/>
  <c r="U14" i="88"/>
  <c r="BC4" i="88"/>
  <c r="BD4" i="88" s="1"/>
  <c r="BG4" i="88" s="1"/>
  <c r="BZ14" i="88"/>
  <c r="BK12" i="88"/>
  <c r="BK19" i="88"/>
  <c r="BR23" i="88"/>
  <c r="BT23" i="88" s="1"/>
  <c r="AB26" i="88"/>
  <c r="CL26" i="88" s="1"/>
  <c r="H29" i="88"/>
  <c r="H28" i="88"/>
  <c r="C31" i="88"/>
  <c r="AJ31" i="88" s="1"/>
  <c r="U13" i="88"/>
  <c r="AB19" i="88"/>
  <c r="CL19" i="88" s="1"/>
  <c r="E8" i="88"/>
  <c r="M13" i="88"/>
  <c r="BW13" i="88" s="1"/>
  <c r="R11" i="88"/>
  <c r="CB11" i="88" s="1"/>
  <c r="U21" i="88"/>
  <c r="V21" i="88" s="1"/>
  <c r="U18" i="88"/>
  <c r="BU14" i="88"/>
  <c r="BR20" i="88"/>
  <c r="BT20" i="88" s="1"/>
  <c r="E24" i="88"/>
  <c r="AB28" i="88"/>
  <c r="CL28" i="88" s="1"/>
  <c r="W30" i="88"/>
  <c r="CG30" i="88" s="1"/>
  <c r="W32" i="88"/>
  <c r="CG32" i="88" s="1"/>
  <c r="DG10" i="88"/>
  <c r="CV9" i="88"/>
  <c r="CU9" i="88" s="1"/>
  <c r="CV5" i="88"/>
  <c r="CU5" i="88" s="1"/>
  <c r="Y4" i="88"/>
  <c r="AP14" i="88" l="1"/>
  <c r="AE14" i="88" s="1"/>
  <c r="AP18" i="88"/>
  <c r="AT18" i="88" s="1"/>
  <c r="DG15" i="88"/>
  <c r="V18" i="88"/>
  <c r="X18" i="88" s="1"/>
  <c r="DB12" i="88"/>
  <c r="CP12" i="88" s="1"/>
  <c r="CS12" i="88"/>
  <c r="DB7" i="88"/>
  <c r="CQ7" i="88" s="1"/>
  <c r="CS7" i="88"/>
  <c r="DB4" i="88"/>
  <c r="CV4" i="88" s="1"/>
  <c r="CU4" i="88" s="1"/>
  <c r="CS4" i="88"/>
  <c r="L11" i="88"/>
  <c r="N11" i="88" s="1"/>
  <c r="AE10" i="88"/>
  <c r="L12" i="88"/>
  <c r="N12" i="88" s="1"/>
  <c r="L14" i="88"/>
  <c r="N14" i="88" s="1"/>
  <c r="AE13" i="88"/>
  <c r="AE7" i="88"/>
  <c r="L15" i="88"/>
  <c r="N15" i="88" s="1"/>
  <c r="Q6" i="88"/>
  <c r="S6" i="88" s="1"/>
  <c r="AE6" i="88"/>
  <c r="L5" i="88"/>
  <c r="N5" i="88" s="1"/>
  <c r="AE4" i="88"/>
  <c r="AI10" i="88"/>
  <c r="AI7" i="88"/>
  <c r="CK32" i="88"/>
  <c r="CM32" i="88" s="1"/>
  <c r="CK12" i="88"/>
  <c r="CM12" i="88" s="1"/>
  <c r="BV6" i="88"/>
  <c r="BX6" i="88" s="1"/>
  <c r="CA5" i="88"/>
  <c r="CC5" i="88" s="1"/>
  <c r="CD5" i="88" s="1"/>
  <c r="CO5" i="88"/>
  <c r="CF31" i="88"/>
  <c r="CH31" i="88" s="1"/>
  <c r="CK7" i="88"/>
  <c r="CM7" i="88" s="1"/>
  <c r="CN7" i="88" s="1"/>
  <c r="CF20" i="88"/>
  <c r="CH20" i="88" s="1"/>
  <c r="BV21" i="88"/>
  <c r="BX21" i="88" s="1"/>
  <c r="BV19" i="88"/>
  <c r="BX19" i="88" s="1"/>
  <c r="BV9" i="88"/>
  <c r="BX9" i="88" s="1"/>
  <c r="BV10" i="88"/>
  <c r="BX10" i="88" s="1"/>
  <c r="CF13" i="88"/>
  <c r="CH13" i="88" s="1"/>
  <c r="CA9" i="88"/>
  <c r="CC9" i="88" s="1"/>
  <c r="CO9" i="88"/>
  <c r="CF10" i="88"/>
  <c r="CH10" i="88" s="1"/>
  <c r="CP9" i="88"/>
  <c r="CK9" i="88"/>
  <c r="CM9" i="88" s="1"/>
  <c r="CK19" i="88"/>
  <c r="CM19" i="88" s="1"/>
  <c r="CF7" i="88"/>
  <c r="CH7" i="88" s="1"/>
  <c r="BV24" i="88"/>
  <c r="BX24" i="88" s="1"/>
  <c r="CK13" i="88"/>
  <c r="CM13" i="88" s="1"/>
  <c r="CF14" i="88"/>
  <c r="CH14" i="88" s="1"/>
  <c r="CF11" i="88"/>
  <c r="CH11" i="88" s="1"/>
  <c r="BV28" i="88"/>
  <c r="BX28" i="88" s="1"/>
  <c r="BV4" i="88"/>
  <c r="BX4" i="88" s="1"/>
  <c r="CF4" i="88"/>
  <c r="CH4" i="88" s="1"/>
  <c r="CI4" i="88" s="1"/>
  <c r="AG10" i="88"/>
  <c r="AF4" i="88"/>
  <c r="AG4" i="88"/>
  <c r="AA13" i="88"/>
  <c r="AC13" i="88" s="1"/>
  <c r="AA6" i="88"/>
  <c r="AC6" i="88" s="1"/>
  <c r="AA22" i="88"/>
  <c r="AC22" i="88" s="1"/>
  <c r="AA14" i="88"/>
  <c r="AC14" i="88" s="1"/>
  <c r="AA23" i="88"/>
  <c r="AC23" i="88" s="1"/>
  <c r="AA17" i="88"/>
  <c r="AC17" i="88" s="1"/>
  <c r="AA8" i="88"/>
  <c r="AC8" i="88" s="1"/>
  <c r="AP5" i="88"/>
  <c r="AE5" i="88" s="1"/>
  <c r="CA25" i="88"/>
  <c r="CC25" i="88" s="1"/>
  <c r="AP20" i="88"/>
  <c r="Q17" i="88"/>
  <c r="S17" i="88" s="1"/>
  <c r="DB23" i="88"/>
  <c r="Q18" i="88"/>
  <c r="S18" i="88" s="1"/>
  <c r="AJ4" i="88"/>
  <c r="AI4" i="88" s="1"/>
  <c r="CF16" i="88"/>
  <c r="CH16" i="88" s="1"/>
  <c r="V31" i="88"/>
  <c r="X31" i="88" s="1"/>
  <c r="AP15" i="88"/>
  <c r="BV25" i="88"/>
  <c r="BX25" i="88" s="1"/>
  <c r="V26" i="88"/>
  <c r="X26" i="88" s="1"/>
  <c r="V28" i="88"/>
  <c r="X28" i="88" s="1"/>
  <c r="CF17" i="88"/>
  <c r="CH17" i="88" s="1"/>
  <c r="L4" i="88"/>
  <c r="N4" i="88" s="1"/>
  <c r="AS6" i="88"/>
  <c r="DG28" i="88"/>
  <c r="DB13" i="88"/>
  <c r="CR13" i="88" s="1"/>
  <c r="CK25" i="88"/>
  <c r="CM25" i="88" s="1"/>
  <c r="AP22" i="88"/>
  <c r="AG22" i="88" s="1"/>
  <c r="Q5" i="88"/>
  <c r="S5" i="88" s="1"/>
  <c r="CT5" i="88"/>
  <c r="DB10" i="88"/>
  <c r="CR10" i="88" s="1"/>
  <c r="DB8" i="88"/>
  <c r="CK31" i="88"/>
  <c r="CM31" i="88" s="1"/>
  <c r="CA18" i="88"/>
  <c r="CC18" i="88" s="1"/>
  <c r="AF7" i="88"/>
  <c r="Q25" i="88"/>
  <c r="S25" i="88" s="1"/>
  <c r="DG29" i="88"/>
  <c r="DB32" i="88"/>
  <c r="AF10" i="88"/>
  <c r="AA9" i="88"/>
  <c r="AC9" i="88" s="1"/>
  <c r="N7" i="88"/>
  <c r="DD9" i="88"/>
  <c r="DB31" i="88"/>
  <c r="V9" i="88"/>
  <c r="X9" i="88" s="1"/>
  <c r="DG27" i="88"/>
  <c r="DB21" i="88"/>
  <c r="BV13" i="88"/>
  <c r="BX13" i="88" s="1"/>
  <c r="L19" i="88"/>
  <c r="N19" i="88" s="1"/>
  <c r="DB24" i="88"/>
  <c r="L20" i="88"/>
  <c r="N20" i="88" s="1"/>
  <c r="Q19" i="88"/>
  <c r="S19" i="88" s="1"/>
  <c r="DG8" i="88"/>
  <c r="L32" i="88"/>
  <c r="N32" i="88" s="1"/>
  <c r="DG24" i="88"/>
  <c r="DG21" i="88"/>
  <c r="CK22" i="88"/>
  <c r="CM22" i="88" s="1"/>
  <c r="BV26" i="88"/>
  <c r="BX26" i="88" s="1"/>
  <c r="DG22" i="88"/>
  <c r="Q29" i="88"/>
  <c r="S29" i="88" s="1"/>
  <c r="CA17" i="88"/>
  <c r="CC17" i="88" s="1"/>
  <c r="DC9" i="88"/>
  <c r="CF8" i="88"/>
  <c r="CH8" i="88" s="1"/>
  <c r="CF5" i="88"/>
  <c r="CH5" i="88" s="1"/>
  <c r="CA10" i="88"/>
  <c r="CC10" i="88" s="1"/>
  <c r="CK24" i="88"/>
  <c r="CM24" i="88" s="1"/>
  <c r="BV23" i="88"/>
  <c r="BX23" i="88" s="1"/>
  <c r="AT6" i="88"/>
  <c r="BV5" i="88"/>
  <c r="BX5" i="88" s="1"/>
  <c r="CF9" i="88"/>
  <c r="CH9" i="88" s="1"/>
  <c r="CT9" i="88"/>
  <c r="CT4" i="88"/>
  <c r="AH9" i="88"/>
  <c r="DB16" i="88"/>
  <c r="CK18" i="88"/>
  <c r="CM18" i="88" s="1"/>
  <c r="CF6" i="88"/>
  <c r="CH6" i="88" s="1"/>
  <c r="BV14" i="88"/>
  <c r="BX14" i="88" s="1"/>
  <c r="AH27" i="88"/>
  <c r="X20" i="88"/>
  <c r="CA21" i="88"/>
  <c r="CC21" i="88" s="1"/>
  <c r="DG19" i="88"/>
  <c r="AA25" i="88"/>
  <c r="AC25" i="88" s="1"/>
  <c r="AP12" i="88"/>
  <c r="AG12" i="88" s="1"/>
  <c r="DG17" i="88"/>
  <c r="L28" i="88"/>
  <c r="N28" i="88" s="1"/>
  <c r="DG26" i="88"/>
  <c r="L26" i="88"/>
  <c r="N26" i="88" s="1"/>
  <c r="BV11" i="88"/>
  <c r="BX11" i="88" s="1"/>
  <c r="CT10" i="88"/>
  <c r="L24" i="88"/>
  <c r="N24" i="88" s="1"/>
  <c r="AP24" i="88"/>
  <c r="AG24" i="88" s="1"/>
  <c r="AA18" i="88"/>
  <c r="AC18" i="88" s="1"/>
  <c r="V11" i="88"/>
  <c r="X11" i="88" s="1"/>
  <c r="AP28" i="88"/>
  <c r="AT28" i="88" s="1"/>
  <c r="CF25" i="88"/>
  <c r="CH25" i="88" s="1"/>
  <c r="DB22" i="88"/>
  <c r="CF24" i="88"/>
  <c r="CH24" i="88" s="1"/>
  <c r="AJ13" i="88"/>
  <c r="AI13" i="88" s="1"/>
  <c r="CK17" i="88"/>
  <c r="CM17" i="88" s="1"/>
  <c r="AA16" i="88"/>
  <c r="AC16" i="88" s="1"/>
  <c r="DB26" i="88"/>
  <c r="L22" i="88"/>
  <c r="N22" i="88" s="1"/>
  <c r="CA11" i="88"/>
  <c r="CC11" i="88" s="1"/>
  <c r="AA27" i="88"/>
  <c r="AC27" i="88" s="1"/>
  <c r="CT17" i="88"/>
  <c r="AP26" i="88"/>
  <c r="AG26" i="88" s="1"/>
  <c r="AA28" i="88"/>
  <c r="AC28" i="88" s="1"/>
  <c r="DB15" i="88"/>
  <c r="Q15" i="88"/>
  <c r="S15" i="88" s="1"/>
  <c r="CA30" i="88"/>
  <c r="CC30" i="88" s="1"/>
  <c r="AP32" i="88"/>
  <c r="AT32" i="88" s="1"/>
  <c r="CK20" i="88"/>
  <c r="CM20" i="88" s="1"/>
  <c r="DB6" i="88"/>
  <c r="DB20" i="88"/>
  <c r="DC5" i="88"/>
  <c r="AP23" i="88"/>
  <c r="AG23" i="88" s="1"/>
  <c r="V32" i="88"/>
  <c r="X32" i="88" s="1"/>
  <c r="CA22" i="88"/>
  <c r="CC22" i="88" s="1"/>
  <c r="AP17" i="88"/>
  <c r="AT17" i="88" s="1"/>
  <c r="CF32" i="88"/>
  <c r="CH32" i="88" s="1"/>
  <c r="CC12" i="88"/>
  <c r="AH22" i="88"/>
  <c r="AP11" i="88"/>
  <c r="AG11" i="88" s="1"/>
  <c r="V27" i="88"/>
  <c r="X27" i="88" s="1"/>
  <c r="CT32" i="88"/>
  <c r="V23" i="88"/>
  <c r="X23" i="88" s="1"/>
  <c r="DG12" i="88"/>
  <c r="Q26" i="88"/>
  <c r="S26" i="88" s="1"/>
  <c r="Q7" i="88"/>
  <c r="S7" i="88" s="1"/>
  <c r="BV18" i="88"/>
  <c r="BX18" i="88" s="1"/>
  <c r="AA26" i="88"/>
  <c r="AC26" i="88" s="1"/>
  <c r="L23" i="88"/>
  <c r="N23" i="88" s="1"/>
  <c r="AH23" i="88"/>
  <c r="AP30" i="88"/>
  <c r="AG30" i="88" s="1"/>
  <c r="V29" i="88"/>
  <c r="X29" i="88" s="1"/>
  <c r="AA5" i="88"/>
  <c r="AC5" i="88" s="1"/>
  <c r="CA28" i="88"/>
  <c r="CC28" i="88" s="1"/>
  <c r="CA24" i="88"/>
  <c r="CC24" i="88" s="1"/>
  <c r="CA27" i="88"/>
  <c r="CC27" i="88" s="1"/>
  <c r="DB11" i="88"/>
  <c r="AA29" i="88"/>
  <c r="AC29" i="88" s="1"/>
  <c r="AT7" i="88"/>
  <c r="CA31" i="88"/>
  <c r="CC31" i="88" s="1"/>
  <c r="V24" i="88"/>
  <c r="X24" i="88" s="1"/>
  <c r="CF30" i="88"/>
  <c r="CH30" i="88" s="1"/>
  <c r="CK14" i="88"/>
  <c r="CM14" i="88" s="1"/>
  <c r="DC10" i="88"/>
  <c r="DG23" i="88"/>
  <c r="DB18" i="88"/>
  <c r="AS13" i="88"/>
  <c r="AJ32" i="88"/>
  <c r="CT6" i="88"/>
  <c r="AA21" i="88"/>
  <c r="AC21" i="88" s="1"/>
  <c r="CK11" i="88"/>
  <c r="CM11" i="88" s="1"/>
  <c r="V22" i="88"/>
  <c r="X22" i="88" s="1"/>
  <c r="L13" i="88"/>
  <c r="N13" i="88" s="1"/>
  <c r="AP25" i="88"/>
  <c r="AE25" i="88" s="1"/>
  <c r="AJ11" i="88"/>
  <c r="AS4" i="88"/>
  <c r="CA6" i="88"/>
  <c r="CC6" i="88" s="1"/>
  <c r="Q16" i="88"/>
  <c r="S16" i="88" s="1"/>
  <c r="CK8" i="88"/>
  <c r="CM8" i="88" s="1"/>
  <c r="CK10" i="88"/>
  <c r="CM10" i="88" s="1"/>
  <c r="CF26" i="88"/>
  <c r="CH26" i="88" s="1"/>
  <c r="Q22" i="88"/>
  <c r="S22" i="88" s="1"/>
  <c r="CT12" i="88"/>
  <c r="AS21" i="88"/>
  <c r="AS25" i="88"/>
  <c r="DB25" i="88"/>
  <c r="CA29" i="88"/>
  <c r="CC29" i="88" s="1"/>
  <c r="V14" i="88"/>
  <c r="X14" i="88" s="1"/>
  <c r="L16" i="88"/>
  <c r="N16" i="88" s="1"/>
  <c r="AH31" i="88"/>
  <c r="DG14" i="88"/>
  <c r="AH13" i="88"/>
  <c r="L9" i="88"/>
  <c r="N9" i="88" s="1"/>
  <c r="CF27" i="88"/>
  <c r="CH27" i="88" s="1"/>
  <c r="Q8" i="88"/>
  <c r="S8" i="88" s="1"/>
  <c r="AF13" i="88"/>
  <c r="X16" i="88"/>
  <c r="DC17" i="88"/>
  <c r="DG18" i="88"/>
  <c r="BV17" i="88"/>
  <c r="BX17" i="88" s="1"/>
  <c r="CK23" i="88"/>
  <c r="CM23" i="88" s="1"/>
  <c r="CT15" i="88"/>
  <c r="DG25" i="88"/>
  <c r="AH5" i="88"/>
  <c r="V13" i="88"/>
  <c r="X13" i="88" s="1"/>
  <c r="K37" i="88"/>
  <c r="AS18" i="88"/>
  <c r="DB28" i="88"/>
  <c r="AS32" i="88"/>
  <c r="AS28" i="88"/>
  <c r="DG20" i="88"/>
  <c r="BV27" i="88"/>
  <c r="BX27" i="88" s="1"/>
  <c r="S10" i="88"/>
  <c r="AS30" i="88"/>
  <c r="CT22" i="88"/>
  <c r="AS15" i="88"/>
  <c r="AS31" i="88"/>
  <c r="Q20" i="88"/>
  <c r="S20" i="88" s="1"/>
  <c r="DB29" i="88"/>
  <c r="AP29" i="88"/>
  <c r="AT29" i="88" s="1"/>
  <c r="CK27" i="88"/>
  <c r="CM27" i="88" s="1"/>
  <c r="CA15" i="88"/>
  <c r="CC15" i="88" s="1"/>
  <c r="AP8" i="88"/>
  <c r="AT8" i="88" s="1"/>
  <c r="AS26" i="88"/>
  <c r="CA13" i="88"/>
  <c r="CC13" i="88" s="1"/>
  <c r="DG16" i="88"/>
  <c r="Q31" i="88"/>
  <c r="S31" i="88" s="1"/>
  <c r="AA20" i="88"/>
  <c r="AC20" i="88" s="1"/>
  <c r="DG32" i="88"/>
  <c r="AS17" i="88"/>
  <c r="DB30" i="88"/>
  <c r="AS22" i="88"/>
  <c r="AH21" i="88"/>
  <c r="BV31" i="88"/>
  <c r="BX31" i="88" s="1"/>
  <c r="DB19" i="88"/>
  <c r="AS9" i="88"/>
  <c r="DB14" i="88"/>
  <c r="AH12" i="88"/>
  <c r="DG30" i="88"/>
  <c r="CT7" i="88"/>
  <c r="CT24" i="88"/>
  <c r="CF19" i="88"/>
  <c r="CH19" i="88" s="1"/>
  <c r="DG4" i="88"/>
  <c r="DB17" i="88"/>
  <c r="AP16" i="88"/>
  <c r="AE16" i="88" s="1"/>
  <c r="Q12" i="88"/>
  <c r="S12" i="88" s="1"/>
  <c r="DG11" i="88"/>
  <c r="CF21" i="88"/>
  <c r="CH21" i="88" s="1"/>
  <c r="V10" i="88"/>
  <c r="X10" i="88" s="1"/>
  <c r="DB27" i="88"/>
  <c r="AP21" i="88"/>
  <c r="AE21" i="88" s="1"/>
  <c r="AH6" i="88"/>
  <c r="DC31" i="88"/>
  <c r="CK16" i="88"/>
  <c r="CM16" i="88" s="1"/>
  <c r="AS19" i="88"/>
  <c r="V8" i="88"/>
  <c r="X8" i="88" s="1"/>
  <c r="DC23" i="88"/>
  <c r="DC24" i="88"/>
  <c r="CT18" i="88"/>
  <c r="L27" i="88"/>
  <c r="N27" i="88" s="1"/>
  <c r="AH32" i="88"/>
  <c r="CF12" i="88"/>
  <c r="CH12" i="88" s="1"/>
  <c r="AS23" i="88"/>
  <c r="DC15" i="88"/>
  <c r="AH14" i="88"/>
  <c r="AS12" i="88"/>
  <c r="CT26" i="88"/>
  <c r="AS11" i="88"/>
  <c r="AA30" i="88"/>
  <c r="AC30" i="88" s="1"/>
  <c r="V25" i="88"/>
  <c r="X25" i="88" s="1"/>
  <c r="AH24" i="88"/>
  <c r="DC28" i="88"/>
  <c r="BV16" i="88"/>
  <c r="BX16" i="88" s="1"/>
  <c r="DC8" i="88"/>
  <c r="DC18" i="88"/>
  <c r="CT28" i="88"/>
  <c r="AH10" i="88"/>
  <c r="DC20" i="88"/>
  <c r="BV32" i="88"/>
  <c r="BX32" i="88" s="1"/>
  <c r="BV8" i="88"/>
  <c r="BX8" i="88" s="1"/>
  <c r="X21" i="88"/>
  <c r="CT8" i="88"/>
  <c r="DD5" i="88"/>
  <c r="AH7" i="88"/>
  <c r="AA10" i="88"/>
  <c r="AC10" i="88" s="1"/>
  <c r="BV22" i="88"/>
  <c r="BX22" i="88" s="1"/>
  <c r="AS16" i="88"/>
  <c r="AH19" i="88"/>
  <c r="DC4" i="88"/>
  <c r="AH4" i="88"/>
  <c r="AC4" i="88"/>
  <c r="AD4" i="88" s="1"/>
  <c r="AH29" i="88"/>
  <c r="AS20" i="88"/>
  <c r="DG31" i="88"/>
  <c r="AA15" i="88"/>
  <c r="AC15" i="88" s="1"/>
  <c r="CT16" i="88"/>
  <c r="L10" i="88"/>
  <c r="N10" i="88" s="1"/>
  <c r="AA12" i="88"/>
  <c r="AC12" i="88" s="1"/>
  <c r="S4" i="88"/>
  <c r="L31" i="88"/>
  <c r="N31" i="88" s="1"/>
  <c r="L18" i="88"/>
  <c r="N18" i="88" s="1"/>
  <c r="DC7" i="88"/>
  <c r="AP9" i="88"/>
  <c r="AT9" i="88" s="1"/>
  <c r="CK29" i="88"/>
  <c r="CM29" i="88" s="1"/>
  <c r="AH25" i="88"/>
  <c r="CK15" i="88"/>
  <c r="CM15" i="88" s="1"/>
  <c r="AH15" i="88"/>
  <c r="AS7" i="88"/>
  <c r="AS24" i="88"/>
  <c r="DC12" i="88"/>
  <c r="DC19" i="88"/>
  <c r="L29" i="88"/>
  <c r="N29" i="88" s="1"/>
  <c r="BV29" i="88"/>
  <c r="BX29" i="88" s="1"/>
  <c r="Q11" i="88"/>
  <c r="S11" i="88" s="1"/>
  <c r="AH18" i="88"/>
  <c r="V7" i="88"/>
  <c r="X7" i="88" s="1"/>
  <c r="DC11" i="88"/>
  <c r="CF29" i="88"/>
  <c r="CH29" i="88" s="1"/>
  <c r="CA16" i="88"/>
  <c r="CC16" i="88" s="1"/>
  <c r="L17" i="88"/>
  <c r="N17" i="88" s="1"/>
  <c r="AJ30" i="88"/>
  <c r="CK28" i="88"/>
  <c r="CM28" i="88" s="1"/>
  <c r="AJ18" i="88"/>
  <c r="DC13" i="88"/>
  <c r="L21" i="88"/>
  <c r="N21" i="88" s="1"/>
  <c r="CT29" i="88"/>
  <c r="AH11" i="88"/>
  <c r="CA32" i="88"/>
  <c r="CC32" i="88" s="1"/>
  <c r="BV30" i="88"/>
  <c r="BX30" i="88" s="1"/>
  <c r="CT21" i="88"/>
  <c r="Q13" i="88"/>
  <c r="S13" i="88" s="1"/>
  <c r="DC21" i="88"/>
  <c r="AH30" i="88"/>
  <c r="DC22" i="88"/>
  <c r="CK30" i="88"/>
  <c r="CM30" i="88" s="1"/>
  <c r="AS29" i="88"/>
  <c r="AP31" i="88"/>
  <c r="AT31" i="88" s="1"/>
  <c r="AC7" i="88"/>
  <c r="AT10" i="88"/>
  <c r="AS5" i="88"/>
  <c r="CA26" i="88"/>
  <c r="CC26" i="88" s="1"/>
  <c r="AA11" i="88"/>
  <c r="AC11" i="88" s="1"/>
  <c r="V17" i="88"/>
  <c r="X17" i="88" s="1"/>
  <c r="V15" i="88"/>
  <c r="X15" i="88" s="1"/>
  <c r="DC30" i="88"/>
  <c r="V12" i="88"/>
  <c r="X12" i="88" s="1"/>
  <c r="CF28" i="88"/>
  <c r="CH28" i="88" s="1"/>
  <c r="V6" i="88"/>
  <c r="X6" i="88" s="1"/>
  <c r="DC29" i="88"/>
  <c r="AP19" i="88"/>
  <c r="AT19" i="88" s="1"/>
  <c r="Q28" i="88"/>
  <c r="S28" i="88" s="1"/>
  <c r="CK21" i="88"/>
  <c r="CM21" i="88" s="1"/>
  <c r="DC26" i="88"/>
  <c r="CT30" i="88"/>
  <c r="Q27" i="88"/>
  <c r="S27" i="88" s="1"/>
  <c r="Q32" i="88"/>
  <c r="S32" i="88" s="1"/>
  <c r="AA24" i="88"/>
  <c r="AC24" i="88" s="1"/>
  <c r="AH28" i="88"/>
  <c r="AH26" i="88"/>
  <c r="AA19" i="88"/>
  <c r="AC19" i="88" s="1"/>
  <c r="CT27" i="88"/>
  <c r="DC27" i="88"/>
  <c r="DC16" i="88"/>
  <c r="L30" i="88"/>
  <c r="N30" i="88" s="1"/>
  <c r="CF23" i="88"/>
  <c r="CH23" i="88" s="1"/>
  <c r="CA23" i="88"/>
  <c r="CC23" i="88" s="1"/>
  <c r="AS10" i="88"/>
  <c r="CT13" i="88"/>
  <c r="Q30" i="88"/>
  <c r="S30" i="88" s="1"/>
  <c r="AS14" i="88"/>
  <c r="BV7" i="88"/>
  <c r="BX7" i="88" s="1"/>
  <c r="AH16" i="88"/>
  <c r="DC25" i="88"/>
  <c r="AJ5" i="88"/>
  <c r="V30" i="88"/>
  <c r="X30" i="88" s="1"/>
  <c r="AA31" i="88"/>
  <c r="AC31" i="88" s="1"/>
  <c r="L25" i="88"/>
  <c r="N25" i="88" s="1"/>
  <c r="CF22" i="88"/>
  <c r="CH22" i="88" s="1"/>
  <c r="AJ12" i="88"/>
  <c r="CT11" i="88"/>
  <c r="CT31" i="88"/>
  <c r="AH17" i="88"/>
  <c r="CT25" i="88"/>
  <c r="Q14" i="88"/>
  <c r="S14" i="88" s="1"/>
  <c r="CF18" i="88"/>
  <c r="CH18" i="88" s="1"/>
  <c r="AS8" i="88"/>
  <c r="AP27" i="88"/>
  <c r="AT27" i="88" s="1"/>
  <c r="CK26" i="88"/>
  <c r="CM26" i="88" s="1"/>
  <c r="L8" i="88"/>
  <c r="N8" i="88" s="1"/>
  <c r="AS27" i="88"/>
  <c r="CT19" i="88"/>
  <c r="CA14" i="88"/>
  <c r="CC14" i="88" s="1"/>
  <c r="CA19" i="88"/>
  <c r="CC19" i="88" s="1"/>
  <c r="CT14" i="88"/>
  <c r="CT20" i="88"/>
  <c r="CA20" i="88"/>
  <c r="CC20" i="88" s="1"/>
  <c r="Q21" i="88"/>
  <c r="S21" i="88" s="1"/>
  <c r="AA32" i="88"/>
  <c r="AC32" i="88" s="1"/>
  <c r="AH8" i="88"/>
  <c r="Q24" i="88"/>
  <c r="S24" i="88" s="1"/>
  <c r="DC14" i="88"/>
  <c r="AH20" i="88"/>
  <c r="DC32" i="88"/>
  <c r="Q23" i="88"/>
  <c r="S23" i="88" s="1"/>
  <c r="AJ14" i="88"/>
  <c r="CT23" i="88"/>
  <c r="V19" i="88"/>
  <c r="X19" i="88" s="1"/>
  <c r="BV15" i="88"/>
  <c r="BX15" i="88" s="1"/>
  <c r="V5" i="88"/>
  <c r="X5" i="88" s="1"/>
  <c r="Y5" i="88" s="1"/>
  <c r="CF15" i="88"/>
  <c r="CH15" i="88" s="1"/>
  <c r="DC6" i="88"/>
  <c r="BV12" i="88"/>
  <c r="BX12" i="88" s="1"/>
  <c r="CN4" i="88"/>
  <c r="CN5" i="88"/>
  <c r="AT4" i="88"/>
  <c r="AT13" i="88"/>
  <c r="AT14" i="88" l="1"/>
  <c r="AI14" i="88"/>
  <c r="AG14" i="88"/>
  <c r="AF14" i="88"/>
  <c r="AF18" i="88"/>
  <c r="AI18" i="88"/>
  <c r="AG18" i="88"/>
  <c r="AE18" i="88"/>
  <c r="CV7" i="88"/>
  <c r="CU7" i="88" s="1"/>
  <c r="DD7" i="88"/>
  <c r="CV12" i="88"/>
  <c r="CU12" i="88" s="1"/>
  <c r="CO12" i="88"/>
  <c r="DH12" i="88"/>
  <c r="CQ12" i="88"/>
  <c r="DD12" i="88"/>
  <c r="CR4" i="88"/>
  <c r="DH7" i="88"/>
  <c r="CP7" i="88"/>
  <c r="CO7" i="88"/>
  <c r="CR12" i="88"/>
  <c r="CO4" i="88"/>
  <c r="CP4" i="88"/>
  <c r="CQ4" i="88"/>
  <c r="DJ4" i="88"/>
  <c r="DH4" i="88"/>
  <c r="CR7" i="88"/>
  <c r="DD4" i="88"/>
  <c r="CR17" i="88"/>
  <c r="CP14" i="88"/>
  <c r="CR14" i="88"/>
  <c r="CR18" i="88"/>
  <c r="CR26" i="88"/>
  <c r="CR11" i="88"/>
  <c r="CR15" i="88"/>
  <c r="CR31" i="88"/>
  <c r="CR23" i="88"/>
  <c r="CQ27" i="88"/>
  <c r="CR27" i="88"/>
  <c r="DD19" i="88"/>
  <c r="CR19" i="88"/>
  <c r="CR29" i="88"/>
  <c r="CR20" i="88"/>
  <c r="DD16" i="88"/>
  <c r="CR16" i="88"/>
  <c r="CR24" i="88"/>
  <c r="CR25" i="88"/>
  <c r="CO6" i="88"/>
  <c r="CR6" i="88"/>
  <c r="CR22" i="88"/>
  <c r="DD8" i="88"/>
  <c r="CR8" i="88"/>
  <c r="CR30" i="88"/>
  <c r="CR28" i="88"/>
  <c r="CR21" i="88"/>
  <c r="CR32" i="88"/>
  <c r="AE28" i="88"/>
  <c r="AI5" i="88"/>
  <c r="AE32" i="88"/>
  <c r="AE17" i="88"/>
  <c r="AE24" i="88"/>
  <c r="AE12" i="88"/>
  <c r="AE27" i="88"/>
  <c r="AE26" i="88"/>
  <c r="AE22" i="88"/>
  <c r="AE15" i="88"/>
  <c r="AE23" i="88"/>
  <c r="AE31" i="88"/>
  <c r="AE8" i="88"/>
  <c r="AI11" i="88"/>
  <c r="AE30" i="88"/>
  <c r="AE11" i="88"/>
  <c r="AE9" i="88"/>
  <c r="AE29" i="88"/>
  <c r="AE20" i="88"/>
  <c r="AE19" i="88"/>
  <c r="AI30" i="88"/>
  <c r="AI25" i="88"/>
  <c r="AI28" i="88"/>
  <c r="AI12" i="88"/>
  <c r="AI19" i="88"/>
  <c r="AI23" i="88"/>
  <c r="AI27" i="88"/>
  <c r="AI22" i="88"/>
  <c r="AI31" i="88"/>
  <c r="AI24" i="88"/>
  <c r="AI15" i="88"/>
  <c r="AI17" i="88"/>
  <c r="AI16" i="88"/>
  <c r="AI9" i="88"/>
  <c r="AI8" i="88"/>
  <c r="AI21" i="88"/>
  <c r="AI26" i="88"/>
  <c r="AI32" i="88"/>
  <c r="AI29" i="88"/>
  <c r="AI20" i="88"/>
  <c r="CP26" i="88"/>
  <c r="CP27" i="88"/>
  <c r="CO32" i="88"/>
  <c r="CO27" i="88"/>
  <c r="CO29" i="88"/>
  <c r="CP25" i="88"/>
  <c r="CO22" i="88"/>
  <c r="CO8" i="88"/>
  <c r="CP30" i="88"/>
  <c r="CO19" i="88"/>
  <c r="CQ32" i="88"/>
  <c r="CO14" i="88"/>
  <c r="CQ16" i="88"/>
  <c r="CP19" i="88"/>
  <c r="CP32" i="88"/>
  <c r="CP13" i="88"/>
  <c r="CP6" i="88"/>
  <c r="CO15" i="88"/>
  <c r="CO28" i="88"/>
  <c r="CQ13" i="88"/>
  <c r="CQ31" i="88"/>
  <c r="CQ17" i="88"/>
  <c r="CO25" i="88"/>
  <c r="CO30" i="88"/>
  <c r="CP24" i="88"/>
  <c r="CO26" i="88"/>
  <c r="DH10" i="88"/>
  <c r="CP10" i="88"/>
  <c r="CP11" i="88"/>
  <c r="CO23" i="88"/>
  <c r="CP28" i="88"/>
  <c r="CQ15" i="88"/>
  <c r="CO18" i="88"/>
  <c r="CO21" i="88"/>
  <c r="CP20" i="88"/>
  <c r="CP31" i="88"/>
  <c r="CQ11" i="88"/>
  <c r="CP16" i="88"/>
  <c r="CQ18" i="88"/>
  <c r="CQ8" i="88"/>
  <c r="CO13" i="88"/>
  <c r="CP17" i="88"/>
  <c r="DH6" i="88"/>
  <c r="CQ6" i="88"/>
  <c r="CP21" i="88"/>
  <c r="CO20" i="88"/>
  <c r="CO24" i="88"/>
  <c r="CQ19" i="88"/>
  <c r="CQ25" i="88"/>
  <c r="CO10" i="88"/>
  <c r="CQ22" i="88"/>
  <c r="CQ23" i="88"/>
  <c r="CQ14" i="88"/>
  <c r="CQ26" i="88"/>
  <c r="CQ10" i="88"/>
  <c r="CQ24" i="88"/>
  <c r="CO16" i="88"/>
  <c r="CQ20" i="88"/>
  <c r="CP18" i="88"/>
  <c r="CQ21" i="88"/>
  <c r="CP22" i="88"/>
  <c r="CP15" i="88"/>
  <c r="CO31" i="88"/>
  <c r="CQ29" i="88"/>
  <c r="CO17" i="88"/>
  <c r="CP8" i="88"/>
  <c r="CO11" i="88"/>
  <c r="CP29" i="88"/>
  <c r="CQ30" i="88"/>
  <c r="CP23" i="88"/>
  <c r="CQ28" i="88"/>
  <c r="AG27" i="88"/>
  <c r="AG15" i="88"/>
  <c r="AT5" i="88"/>
  <c r="AG9" i="88"/>
  <c r="AF5" i="88"/>
  <c r="AG20" i="88"/>
  <c r="AG17" i="88"/>
  <c r="AG28" i="88"/>
  <c r="AG19" i="88"/>
  <c r="AG8" i="88"/>
  <c r="AG21" i="88"/>
  <c r="AG25" i="88"/>
  <c r="AG5" i="88"/>
  <c r="AG32" i="88"/>
  <c r="AG29" i="88"/>
  <c r="AG16" i="88"/>
  <c r="AG31" i="88"/>
  <c r="DD23" i="88"/>
  <c r="AF20" i="88"/>
  <c r="CV23" i="88"/>
  <c r="CU23" i="88" s="1"/>
  <c r="DH23" i="88"/>
  <c r="AT20" i="88"/>
  <c r="DD32" i="88"/>
  <c r="AF15" i="88"/>
  <c r="AT22" i="88"/>
  <c r="CV21" i="88"/>
  <c r="CU21" i="88" s="1"/>
  <c r="AT15" i="88"/>
  <c r="DH13" i="88"/>
  <c r="DD31" i="88"/>
  <c r="DD13" i="88"/>
  <c r="DH27" i="88"/>
  <c r="AF22" i="88"/>
  <c r="CV32" i="88"/>
  <c r="CU32" i="88" s="1"/>
  <c r="CV24" i="88"/>
  <c r="CU24" i="88" s="1"/>
  <c r="DD6" i="88"/>
  <c r="CV8" i="88"/>
  <c r="CU8" i="88" s="1"/>
  <c r="AF24" i="88"/>
  <c r="DH20" i="88"/>
  <c r="DH8" i="88"/>
  <c r="CV6" i="88"/>
  <c r="CU6" i="88" s="1"/>
  <c r="CV16" i="88"/>
  <c r="CU16" i="88" s="1"/>
  <c r="AT26" i="88"/>
  <c r="AT24" i="88"/>
  <c r="AF26" i="88"/>
  <c r="CV10" i="88"/>
  <c r="CU10" i="88" s="1"/>
  <c r="DD10" i="88"/>
  <c r="DD24" i="88"/>
  <c r="CV13" i="88"/>
  <c r="CU13" i="88" s="1"/>
  <c r="DD20" i="88"/>
  <c r="DH32" i="88"/>
  <c r="DH31" i="88"/>
  <c r="DH24" i="88"/>
  <c r="CV31" i="88"/>
  <c r="CU31" i="88" s="1"/>
  <c r="CV20" i="88"/>
  <c r="CU20" i="88" s="1"/>
  <c r="DD21" i="88"/>
  <c r="T6" i="88"/>
  <c r="AF25" i="88"/>
  <c r="DH11" i="88"/>
  <c r="DH15" i="88"/>
  <c r="CI9" i="88"/>
  <c r="AF28" i="88"/>
  <c r="AF23" i="88"/>
  <c r="AT23" i="88"/>
  <c r="CV26" i="88"/>
  <c r="CU26" i="88" s="1"/>
  <c r="BY5" i="88"/>
  <c r="DD26" i="88"/>
  <c r="DH26" i="88"/>
  <c r="CN9" i="88"/>
  <c r="DH21" i="88"/>
  <c r="CV22" i="88"/>
  <c r="CU22" i="88" s="1"/>
  <c r="CI6" i="88"/>
  <c r="DD22" i="88"/>
  <c r="DH22" i="88"/>
  <c r="CI7" i="88"/>
  <c r="AF12" i="88"/>
  <c r="CI5" i="88"/>
  <c r="CN8" i="88"/>
  <c r="CI8" i="88"/>
  <c r="CV15" i="88"/>
  <c r="CU15" i="88" s="1"/>
  <c r="AT12" i="88"/>
  <c r="AF32" i="88"/>
  <c r="DD15" i="88"/>
  <c r="AT25" i="88"/>
  <c r="DH14" i="88"/>
  <c r="AF17" i="88"/>
  <c r="DH16" i="88"/>
  <c r="BY4" i="88"/>
  <c r="DE4" i="88" s="1"/>
  <c r="DF4" i="88" s="1"/>
  <c r="AF30" i="88"/>
  <c r="BY6" i="88"/>
  <c r="CV11" i="88"/>
  <c r="CU11" i="88" s="1"/>
  <c r="AT30" i="88"/>
  <c r="DD11" i="88"/>
  <c r="AF11" i="88"/>
  <c r="AT11" i="88"/>
  <c r="CV27" i="88"/>
  <c r="CU27" i="88" s="1"/>
  <c r="DD27" i="88"/>
  <c r="DH28" i="88"/>
  <c r="CN11" i="88"/>
  <c r="DD29" i="88"/>
  <c r="DH18" i="88"/>
  <c r="AD5" i="88"/>
  <c r="AT16" i="88"/>
  <c r="CV18" i="88"/>
  <c r="CU18" i="88" s="1"/>
  <c r="DD18" i="88"/>
  <c r="AF29" i="88"/>
  <c r="CN12" i="88"/>
  <c r="AD14" i="88"/>
  <c r="CN10" i="88"/>
  <c r="DD28" i="88"/>
  <c r="DH25" i="88"/>
  <c r="AF21" i="88"/>
  <c r="CV25" i="88"/>
  <c r="CU25" i="88" s="1"/>
  <c r="CN13" i="88"/>
  <c r="DH30" i="88"/>
  <c r="CN20" i="88"/>
  <c r="DD25" i="88"/>
  <c r="AF19" i="88"/>
  <c r="CV29" i="88"/>
  <c r="CU29" i="88" s="1"/>
  <c r="AF8" i="88"/>
  <c r="AF16" i="88"/>
  <c r="DD14" i="88"/>
  <c r="CV14" i="88"/>
  <c r="CU14" i="88" s="1"/>
  <c r="T14" i="88"/>
  <c r="AF27" i="88"/>
  <c r="CV19" i="88"/>
  <c r="CU19" i="88" s="1"/>
  <c r="DH19" i="88"/>
  <c r="CV28" i="88"/>
  <c r="CU28" i="88" s="1"/>
  <c r="DH29" i="88"/>
  <c r="BY7" i="88"/>
  <c r="T25" i="88"/>
  <c r="AD31" i="88"/>
  <c r="O5" i="88"/>
  <c r="O23" i="88"/>
  <c r="CI14" i="88"/>
  <c r="BY23" i="88"/>
  <c r="BY8" i="88"/>
  <c r="CI12" i="88"/>
  <c r="CI22" i="88"/>
  <c r="CI13" i="88"/>
  <c r="O9" i="88"/>
  <c r="CI10" i="88"/>
  <c r="CV17" i="88"/>
  <c r="CU17" i="88" s="1"/>
  <c r="CV30" i="88"/>
  <c r="CU30" i="88" s="1"/>
  <c r="O8" i="88"/>
  <c r="CD13" i="88"/>
  <c r="DH17" i="88"/>
  <c r="DD17" i="88"/>
  <c r="CI19" i="88"/>
  <c r="DD30" i="88"/>
  <c r="O20" i="88"/>
  <c r="CD32" i="88"/>
  <c r="CI17" i="88"/>
  <c r="Y17" i="88"/>
  <c r="AD18" i="88"/>
  <c r="T22" i="88"/>
  <c r="CD27" i="88"/>
  <c r="AT21" i="88"/>
  <c r="O31" i="88"/>
  <c r="BY30" i="88"/>
  <c r="CI11" i="88"/>
  <c r="CI20" i="88"/>
  <c r="CD28" i="88"/>
  <c r="Y22" i="88"/>
  <c r="O10" i="88"/>
  <c r="CD15" i="88"/>
  <c r="AF9" i="88"/>
  <c r="AD32" i="88"/>
  <c r="CI15" i="88"/>
  <c r="T7" i="88"/>
  <c r="T17" i="88"/>
  <c r="T29" i="88"/>
  <c r="CN19" i="88"/>
  <c r="CN16" i="88"/>
  <c r="BY13" i="88"/>
  <c r="Y30" i="88"/>
  <c r="CN18" i="88"/>
  <c r="CI26" i="88"/>
  <c r="T5" i="88"/>
  <c r="T30" i="88"/>
  <c r="T8" i="88"/>
  <c r="T21" i="88"/>
  <c r="CN15" i="88"/>
  <c r="CI21" i="88"/>
  <c r="CN31" i="88"/>
  <c r="T20" i="88"/>
  <c r="Y16" i="88"/>
  <c r="CI16" i="88"/>
  <c r="T16" i="88"/>
  <c r="AD6" i="88"/>
  <c r="CN26" i="88"/>
  <c r="CD29" i="88"/>
  <c r="Y28" i="88"/>
  <c r="T10" i="88"/>
  <c r="T18" i="88"/>
  <c r="BY21" i="88"/>
  <c r="AF31" i="88"/>
  <c r="CI27" i="88"/>
  <c r="O25" i="88"/>
  <c r="T13" i="88"/>
  <c r="CN17" i="88"/>
  <c r="T23" i="88"/>
  <c r="T4" i="88"/>
  <c r="T11" i="88"/>
  <c r="T19" i="88"/>
  <c r="BY17" i="88"/>
  <c r="Y23" i="88"/>
  <c r="AD28" i="88"/>
  <c r="Y27" i="88"/>
  <c r="Y13" i="88"/>
  <c r="Y21" i="88"/>
  <c r="CN14" i="88"/>
  <c r="T9" i="88"/>
  <c r="CI18" i="88"/>
  <c r="T31" i="88"/>
  <c r="T12" i="88"/>
  <c r="T15" i="88"/>
  <c r="BY32" i="88"/>
  <c r="Y11" i="88"/>
  <c r="Y24" i="88"/>
  <c r="AD24" i="88"/>
  <c r="AD21" i="88"/>
  <c r="BY26" i="88"/>
  <c r="AD8" i="88"/>
  <c r="O17" i="88"/>
  <c r="AD19" i="88"/>
  <c r="Y18" i="88"/>
  <c r="AD12" i="88"/>
  <c r="AD17" i="88"/>
  <c r="CD20" i="88"/>
  <c r="BY11" i="88"/>
  <c r="BY19" i="88"/>
  <c r="BY24" i="88"/>
  <c r="BY27" i="88"/>
  <c r="CD30" i="88"/>
  <c r="AD10" i="88"/>
  <c r="CD17" i="88"/>
  <c r="CN23" i="88"/>
  <c r="O4" i="88"/>
  <c r="O12" i="88"/>
  <c r="O19" i="88"/>
  <c r="O26" i="88"/>
  <c r="Y7" i="88"/>
  <c r="AD22" i="88"/>
  <c r="CI25" i="88"/>
  <c r="CN32" i="88"/>
  <c r="AD25" i="88"/>
  <c r="CD6" i="88"/>
  <c r="T32" i="88"/>
  <c r="O27" i="88"/>
  <c r="AD29" i="88"/>
  <c r="AD11" i="88"/>
  <c r="Y14" i="88"/>
  <c r="AD7" i="88"/>
  <c r="CI24" i="88"/>
  <c r="T26" i="88"/>
  <c r="AD16" i="88"/>
  <c r="CD16" i="88"/>
  <c r="AD23" i="88"/>
  <c r="BY9" i="88"/>
  <c r="BY18" i="88"/>
  <c r="BY29" i="88"/>
  <c r="CD23" i="88"/>
  <c r="CN21" i="88"/>
  <c r="Y31" i="88"/>
  <c r="CN25" i="88"/>
  <c r="O7" i="88"/>
  <c r="O16" i="88"/>
  <c r="O21" i="88"/>
  <c r="O28" i="88"/>
  <c r="Y10" i="88"/>
  <c r="CI30" i="88"/>
  <c r="Y29" i="88"/>
  <c r="CD31" i="88"/>
  <c r="CD14" i="88"/>
  <c r="CN30" i="88"/>
  <c r="CD9" i="88"/>
  <c r="O29" i="88"/>
  <c r="CN28" i="88"/>
  <c r="AD15" i="88"/>
  <c r="CD26" i="88"/>
  <c r="CN22" i="88"/>
  <c r="T24" i="88"/>
  <c r="CI32" i="88"/>
  <c r="Y25" i="88"/>
  <c r="CN24" i="88"/>
  <c r="BY14" i="88"/>
  <c r="BY12" i="88"/>
  <c r="BY22" i="88"/>
  <c r="BY28" i="88"/>
  <c r="AD30" i="88"/>
  <c r="CD19" i="88"/>
  <c r="O15" i="88"/>
  <c r="O18" i="88"/>
  <c r="O22" i="88"/>
  <c r="O32" i="88"/>
  <c r="Y9" i="88"/>
  <c r="AD26" i="88"/>
  <c r="Y26" i="88"/>
  <c r="CD10" i="88"/>
  <c r="BY25" i="88"/>
  <c r="CD25" i="88"/>
  <c r="T27" i="88"/>
  <c r="T28" i="88"/>
  <c r="CI28" i="88"/>
  <c r="Y15" i="88"/>
  <c r="BY10" i="88"/>
  <c r="BY16" i="88"/>
  <c r="BY20" i="88"/>
  <c r="BY31" i="88"/>
  <c r="AD9" i="88"/>
  <c r="AD20" i="88"/>
  <c r="AD27" i="88"/>
  <c r="CI23" i="88"/>
  <c r="CD18" i="88"/>
  <c r="O6" i="88"/>
  <c r="O11" i="88"/>
  <c r="O24" i="88"/>
  <c r="O30" i="88"/>
  <c r="Y6" i="88"/>
  <c r="Y20" i="88"/>
  <c r="CD8" i="88"/>
  <c r="AD13" i="88"/>
  <c r="CN29" i="88"/>
  <c r="CD22" i="88"/>
  <c r="CD21" i="88"/>
  <c r="Y19" i="88"/>
  <c r="BY15" i="88"/>
  <c r="CI31" i="88"/>
  <c r="CI29" i="88"/>
  <c r="CN27" i="88"/>
  <c r="O13" i="88"/>
  <c r="O14" i="88"/>
  <c r="CD24" i="88"/>
  <c r="Y8" i="88"/>
  <c r="Y32" i="88"/>
  <c r="Y12" i="88"/>
  <c r="CD12" i="88"/>
  <c r="CD7" i="88"/>
  <c r="CD11" i="88"/>
  <c r="D16" i="84"/>
  <c r="E16" i="84"/>
  <c r="F16" i="84"/>
  <c r="G16" i="84"/>
  <c r="H16" i="84"/>
  <c r="I16" i="84"/>
  <c r="J16" i="84"/>
  <c r="K16" i="84"/>
  <c r="L16" i="84"/>
  <c r="D17" i="84"/>
  <c r="E17" i="84"/>
  <c r="F17" i="84"/>
  <c r="G17" i="84"/>
  <c r="H17" i="84"/>
  <c r="I17" i="84"/>
  <c r="J17" i="84"/>
  <c r="K17" i="84"/>
  <c r="L17" i="84"/>
  <c r="D18" i="84"/>
  <c r="E18" i="84"/>
  <c r="F18" i="84"/>
  <c r="G18" i="84"/>
  <c r="H18" i="84"/>
  <c r="I18" i="84"/>
  <c r="J18" i="84"/>
  <c r="K18" i="84"/>
  <c r="L18" i="84"/>
  <c r="D19" i="84"/>
  <c r="E19" i="84"/>
  <c r="F19" i="84"/>
  <c r="G19" i="84"/>
  <c r="H19" i="84"/>
  <c r="I19" i="84"/>
  <c r="J19" i="84"/>
  <c r="K19" i="84"/>
  <c r="L19" i="84"/>
  <c r="D20" i="84"/>
  <c r="E20" i="84"/>
  <c r="F20" i="84"/>
  <c r="G20" i="84"/>
  <c r="H20" i="84"/>
  <c r="I20" i="84"/>
  <c r="J20" i="84"/>
  <c r="K20" i="84"/>
  <c r="L20" i="84"/>
  <c r="D21" i="84"/>
  <c r="E21" i="84"/>
  <c r="F21" i="84"/>
  <c r="G21" i="84"/>
  <c r="H21" i="84"/>
  <c r="I21" i="84"/>
  <c r="J21" i="84"/>
  <c r="K21" i="84"/>
  <c r="L21" i="84"/>
  <c r="D22" i="84"/>
  <c r="E22" i="84"/>
  <c r="F22" i="84"/>
  <c r="G22" i="84"/>
  <c r="H22" i="84"/>
  <c r="I22" i="84"/>
  <c r="J22" i="84"/>
  <c r="K22" i="84"/>
  <c r="L22" i="84"/>
  <c r="D23" i="84"/>
  <c r="E23" i="84"/>
  <c r="F23" i="84"/>
  <c r="G23" i="84"/>
  <c r="H23" i="84"/>
  <c r="I23" i="84"/>
  <c r="J23" i="84"/>
  <c r="K23" i="84"/>
  <c r="L23" i="84"/>
  <c r="D24" i="84"/>
  <c r="E24" i="84"/>
  <c r="F24" i="84"/>
  <c r="G24" i="84"/>
  <c r="H24" i="84"/>
  <c r="I24" i="84"/>
  <c r="J24" i="84"/>
  <c r="K24" i="84"/>
  <c r="L24" i="84"/>
  <c r="D25" i="84"/>
  <c r="E25" i="84"/>
  <c r="F25" i="84"/>
  <c r="G25" i="84"/>
  <c r="H25" i="84"/>
  <c r="I25" i="84"/>
  <c r="J25" i="84"/>
  <c r="K25" i="84"/>
  <c r="L25" i="84"/>
  <c r="D26" i="84"/>
  <c r="E26" i="84"/>
  <c r="F26" i="84"/>
  <c r="G26" i="84"/>
  <c r="H26" i="84"/>
  <c r="I26" i="84"/>
  <c r="J26" i="84"/>
  <c r="K26" i="84"/>
  <c r="L26" i="84"/>
  <c r="D27" i="84"/>
  <c r="E27" i="84"/>
  <c r="F27" i="84"/>
  <c r="G27" i="84"/>
  <c r="H27" i="84"/>
  <c r="I27" i="84"/>
  <c r="J27" i="84"/>
  <c r="K27" i="84"/>
  <c r="L27" i="84"/>
  <c r="D28" i="84"/>
  <c r="E28" i="84"/>
  <c r="F28" i="84"/>
  <c r="G28" i="84"/>
  <c r="H28" i="84"/>
  <c r="I28" i="84"/>
  <c r="J28" i="84"/>
  <c r="K28" i="84"/>
  <c r="L28" i="84"/>
  <c r="D29" i="84"/>
  <c r="E29" i="84"/>
  <c r="F29" i="84"/>
  <c r="G29" i="84"/>
  <c r="H29" i="84"/>
  <c r="I29" i="84"/>
  <c r="J29" i="84"/>
  <c r="K29" i="84"/>
  <c r="L29" i="84"/>
  <c r="D30" i="84"/>
  <c r="E30" i="84"/>
  <c r="F30" i="84"/>
  <c r="G30" i="84"/>
  <c r="H30" i="84"/>
  <c r="I30" i="84"/>
  <c r="J30" i="84"/>
  <c r="K30" i="84"/>
  <c r="L30" i="84"/>
  <c r="D31" i="84"/>
  <c r="E31" i="84"/>
  <c r="F31" i="84"/>
  <c r="G31" i="84"/>
  <c r="H31" i="84"/>
  <c r="I31" i="84"/>
  <c r="J31" i="84"/>
  <c r="K31" i="84"/>
  <c r="L31" i="84"/>
  <c r="D32" i="84"/>
  <c r="E32" i="84"/>
  <c r="F32" i="84"/>
  <c r="G32" i="84"/>
  <c r="H32" i="84"/>
  <c r="I32" i="84"/>
  <c r="J32" i="84"/>
  <c r="K32" i="84"/>
  <c r="L32" i="84"/>
  <c r="D33" i="84"/>
  <c r="E33" i="84"/>
  <c r="F33" i="84"/>
  <c r="G33" i="84"/>
  <c r="H33" i="84"/>
  <c r="I33" i="84"/>
  <c r="J33" i="84"/>
  <c r="K33" i="84"/>
  <c r="L33" i="84"/>
  <c r="D34" i="84"/>
  <c r="E34" i="84"/>
  <c r="F34" i="84"/>
  <c r="G34" i="84"/>
  <c r="H34" i="84"/>
  <c r="I34" i="84"/>
  <c r="J34" i="84"/>
  <c r="K34" i="84"/>
  <c r="L34" i="84"/>
  <c r="D35" i="84"/>
  <c r="E35" i="84"/>
  <c r="F35" i="84"/>
  <c r="G35" i="84"/>
  <c r="H35" i="84"/>
  <c r="I35" i="84"/>
  <c r="J35" i="84"/>
  <c r="K35" i="84"/>
  <c r="L35" i="84"/>
  <c r="D36" i="84"/>
  <c r="E36" i="84"/>
  <c r="F36" i="84"/>
  <c r="G36" i="84"/>
  <c r="H36" i="84"/>
  <c r="I36" i="84"/>
  <c r="J36" i="84"/>
  <c r="K36" i="84"/>
  <c r="L36" i="84"/>
  <c r="D37" i="84"/>
  <c r="E37" i="84"/>
  <c r="F37" i="84"/>
  <c r="G37" i="84"/>
  <c r="H37" i="84"/>
  <c r="I37" i="84"/>
  <c r="J37" i="84"/>
  <c r="K37" i="84"/>
  <c r="L37" i="84"/>
  <c r="D38" i="84"/>
  <c r="E38" i="84"/>
  <c r="F38" i="84"/>
  <c r="G38" i="84"/>
  <c r="H38" i="84"/>
  <c r="I38" i="84"/>
  <c r="J38" i="84"/>
  <c r="K38" i="84"/>
  <c r="L38" i="84"/>
  <c r="D39" i="84"/>
  <c r="E39" i="84"/>
  <c r="F39" i="84"/>
  <c r="G39" i="84"/>
  <c r="H39" i="84"/>
  <c r="I39" i="84"/>
  <c r="J39" i="84"/>
  <c r="K39" i="84"/>
  <c r="L39" i="84"/>
  <c r="D40" i="84"/>
  <c r="E40" i="84"/>
  <c r="F40" i="84"/>
  <c r="G40" i="84"/>
  <c r="H40" i="84"/>
  <c r="I40" i="84"/>
  <c r="J40" i="84"/>
  <c r="K40" i="84"/>
  <c r="L40" i="84"/>
  <c r="D41" i="84"/>
  <c r="E41" i="84"/>
  <c r="F41" i="84"/>
  <c r="G41" i="84"/>
  <c r="H41" i="84"/>
  <c r="I41" i="84"/>
  <c r="J41" i="84"/>
  <c r="K41" i="84"/>
  <c r="L41" i="84"/>
  <c r="D42" i="84"/>
  <c r="E42" i="84"/>
  <c r="F42" i="84"/>
  <c r="G42" i="84"/>
  <c r="H42" i="84"/>
  <c r="I42" i="84"/>
  <c r="J42" i="84"/>
  <c r="K42" i="84"/>
  <c r="L42" i="84"/>
  <c r="D43" i="84"/>
  <c r="E43" i="84"/>
  <c r="F43" i="84"/>
  <c r="G43" i="84"/>
  <c r="H43" i="84"/>
  <c r="I43" i="84"/>
  <c r="J43" i="84"/>
  <c r="K43" i="84"/>
  <c r="L43" i="84"/>
  <c r="D44" i="84"/>
  <c r="E44" i="84"/>
  <c r="F44" i="84"/>
  <c r="G44" i="84"/>
  <c r="H44" i="84"/>
  <c r="I44" i="84"/>
  <c r="J44" i="84"/>
  <c r="K44" i="84"/>
  <c r="L44" i="84"/>
  <c r="D45" i="84"/>
  <c r="E45" i="84"/>
  <c r="F45" i="84"/>
  <c r="G45" i="84"/>
  <c r="H45" i="84"/>
  <c r="I45" i="84"/>
  <c r="J45" i="84"/>
  <c r="K45" i="84"/>
  <c r="L45" i="84"/>
  <c r="C17" i="84"/>
  <c r="C18" i="84"/>
  <c r="C19" i="84"/>
  <c r="C20" i="84"/>
  <c r="C21" i="84"/>
  <c r="C22" i="84"/>
  <c r="C23" i="84"/>
  <c r="C24" i="84"/>
  <c r="C25" i="84"/>
  <c r="C26" i="84"/>
  <c r="C27" i="84"/>
  <c r="C28" i="84"/>
  <c r="C29" i="84"/>
  <c r="C30" i="84"/>
  <c r="C31" i="84"/>
  <c r="C32" i="84"/>
  <c r="C33" i="84"/>
  <c r="C34" i="84"/>
  <c r="C35" i="84"/>
  <c r="C36" i="84"/>
  <c r="C37" i="84"/>
  <c r="C38" i="84"/>
  <c r="C39" i="84"/>
  <c r="C40" i="84"/>
  <c r="C41" i="84"/>
  <c r="C42" i="84"/>
  <c r="C43" i="84"/>
  <c r="C44" i="84"/>
  <c r="C45" i="84"/>
  <c r="C16" i="84"/>
  <c r="DE5" i="88" l="1"/>
  <c r="DF5" i="88" s="1"/>
  <c r="DK4" i="88"/>
  <c r="DL4" i="88" s="1"/>
  <c r="DE6" i="88"/>
  <c r="DF6" i="88" s="1"/>
  <c r="AU5" i="88"/>
  <c r="AV5" i="88" s="1"/>
  <c r="DE23" i="88"/>
  <c r="DF23" i="88" s="1"/>
  <c r="AU17" i="88"/>
  <c r="AV17" i="88" s="1"/>
  <c r="DE17" i="88"/>
  <c r="DF17" i="88" s="1"/>
  <c r="DE11" i="88"/>
  <c r="DF11" i="88" s="1"/>
  <c r="AU30" i="88"/>
  <c r="AV30" i="88" s="1"/>
  <c r="DE8" i="88"/>
  <c r="DF8" i="88" s="1"/>
  <c r="DE20" i="88"/>
  <c r="DF20" i="88" s="1"/>
  <c r="DE10" i="88"/>
  <c r="DF10" i="88" s="1"/>
  <c r="DE32" i="88"/>
  <c r="DF32" i="88" s="1"/>
  <c r="AU14" i="88"/>
  <c r="AV14" i="88" s="1"/>
  <c r="AU25" i="88"/>
  <c r="AV25" i="88" s="1"/>
  <c r="AU31" i="88"/>
  <c r="AV31" i="88" s="1"/>
  <c r="DE7" i="88"/>
  <c r="DF7" i="88" s="1"/>
  <c r="DE21" i="88"/>
  <c r="DF21" i="88" s="1"/>
  <c r="DE18" i="88"/>
  <c r="DF18" i="88" s="1"/>
  <c r="DE15" i="88"/>
  <c r="DF15" i="88" s="1"/>
  <c r="AU9" i="88"/>
  <c r="AV9" i="88" s="1"/>
  <c r="DE29" i="88"/>
  <c r="DF29" i="88" s="1"/>
  <c r="AU32" i="88"/>
  <c r="AV32" i="88" s="1"/>
  <c r="AU18" i="88"/>
  <c r="AV18" i="88" s="1"/>
  <c r="AU19" i="88"/>
  <c r="AV19" i="88" s="1"/>
  <c r="AU27" i="88"/>
  <c r="AV27" i="88" s="1"/>
  <c r="DE25" i="88"/>
  <c r="DF25" i="88" s="1"/>
  <c r="DE16" i="88"/>
  <c r="DF16" i="88" s="1"/>
  <c r="AU10" i="88"/>
  <c r="AV10" i="88" s="1"/>
  <c r="AU24" i="88"/>
  <c r="AV24" i="88" s="1"/>
  <c r="DE13" i="88"/>
  <c r="DF13" i="88" s="1"/>
  <c r="AU11" i="88"/>
  <c r="AV11" i="88" s="1"/>
  <c r="AU28" i="88"/>
  <c r="AV28" i="88" s="1"/>
  <c r="DE30" i="88"/>
  <c r="DF30" i="88" s="1"/>
  <c r="AU21" i="88"/>
  <c r="AV21" i="88" s="1"/>
  <c r="AU15" i="88"/>
  <c r="AV15" i="88" s="1"/>
  <c r="AU26" i="88"/>
  <c r="AV26" i="88" s="1"/>
  <c r="DE27" i="88"/>
  <c r="DF27" i="88" s="1"/>
  <c r="AU13" i="88"/>
  <c r="AV13" i="88" s="1"/>
  <c r="AU23" i="88"/>
  <c r="AV23" i="88" s="1"/>
  <c r="DE19" i="88"/>
  <c r="DF19" i="88" s="1"/>
  <c r="AU16" i="88"/>
  <c r="AV16" i="88" s="1"/>
  <c r="DE24" i="88"/>
  <c r="DF24" i="88" s="1"/>
  <c r="DE9" i="88"/>
  <c r="DF9" i="88" s="1"/>
  <c r="DE28" i="88"/>
  <c r="DF28" i="88" s="1"/>
  <c r="DE14" i="88"/>
  <c r="DF14" i="88" s="1"/>
  <c r="AU4" i="88"/>
  <c r="AV4" i="88" s="1"/>
  <c r="AU6" i="88"/>
  <c r="AV6" i="88" s="1"/>
  <c r="DE22" i="88"/>
  <c r="DF22" i="88" s="1"/>
  <c r="AU7" i="88"/>
  <c r="AV7" i="88" s="1"/>
  <c r="AU8" i="88"/>
  <c r="AV8" i="88" s="1"/>
  <c r="AU22" i="88"/>
  <c r="AV22" i="88" s="1"/>
  <c r="DE12" i="88"/>
  <c r="DF12" i="88" s="1"/>
  <c r="AU20" i="88"/>
  <c r="AV20" i="88" s="1"/>
  <c r="DE26" i="88"/>
  <c r="DF26" i="88" s="1"/>
  <c r="AU29" i="88"/>
  <c r="AV29" i="88" s="1"/>
  <c r="DE31" i="88"/>
  <c r="DF31" i="88" s="1"/>
  <c r="AU12" i="88"/>
  <c r="AV12" i="88" s="1"/>
  <c r="A3" i="78"/>
  <c r="A4" i="78"/>
  <c r="A5" i="78"/>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A46" i="78"/>
  <c r="A47" i="78"/>
  <c r="A48" i="78"/>
  <c r="A49" i="78"/>
  <c r="A50" i="78"/>
  <c r="A51" i="78"/>
  <c r="A52" i="78"/>
  <c r="A53" i="78"/>
  <c r="A54" i="78"/>
  <c r="A55" i="78"/>
  <c r="A56" i="78"/>
  <c r="A57" i="78"/>
  <c r="A58" i="78"/>
  <c r="A59" i="78"/>
  <c r="A60" i="78"/>
  <c r="A61" i="78"/>
  <c r="A62" i="78"/>
  <c r="A63" i="78"/>
  <c r="A64" i="78"/>
  <c r="A65" i="78"/>
  <c r="A66" i="78"/>
  <c r="A67" i="78"/>
  <c r="A68" i="78"/>
  <c r="A69" i="78"/>
  <c r="A70" i="78"/>
  <c r="A71" i="78"/>
  <c r="A72" i="78"/>
  <c r="A73" i="78"/>
  <c r="A74" i="78"/>
  <c r="A75" i="78"/>
  <c r="A76" i="78"/>
  <c r="A77" i="78"/>
  <c r="A78" i="78"/>
  <c r="A79" i="78"/>
  <c r="A80" i="78"/>
  <c r="A81" i="78"/>
  <c r="A82" i="78"/>
  <c r="A83" i="78"/>
  <c r="A84" i="78"/>
  <c r="A85" i="78"/>
  <c r="A86" i="78"/>
  <c r="A87" i="78"/>
  <c r="A88" i="78"/>
  <c r="A89" i="78"/>
  <c r="A90" i="78"/>
  <c r="A91" i="78"/>
  <c r="A92" i="78"/>
  <c r="A93" i="78"/>
  <c r="A94" i="78"/>
  <c r="A95" i="78"/>
  <c r="A96" i="78"/>
  <c r="A97" i="78"/>
  <c r="A98" i="78"/>
  <c r="A99" i="78"/>
  <c r="A100" i="78"/>
  <c r="A101" i="78"/>
  <c r="A102" i="78"/>
  <c r="A103" i="78"/>
  <c r="A104" i="78"/>
  <c r="A105" i="78"/>
  <c r="A106" i="78"/>
  <c r="A107" i="78"/>
  <c r="A108" i="78"/>
  <c r="A109" i="78"/>
  <c r="A110" i="78"/>
  <c r="A111" i="78"/>
  <c r="A112" i="78"/>
  <c r="A113" i="78"/>
  <c r="A114" i="78"/>
  <c r="A115" i="78"/>
  <c r="A116" i="78"/>
  <c r="A117" i="78"/>
  <c r="A118" i="78"/>
  <c r="A119" i="78"/>
  <c r="A120" i="78"/>
  <c r="A121" i="78"/>
  <c r="A122" i="78"/>
  <c r="A123" i="78"/>
  <c r="A124" i="78"/>
  <c r="A125" i="78"/>
  <c r="A126" i="78"/>
  <c r="A127" i="78"/>
  <c r="A128" i="78"/>
  <c r="A129" i="78"/>
  <c r="A130" i="78"/>
  <c r="A131" i="78"/>
  <c r="A132" i="78"/>
  <c r="A133" i="78"/>
  <c r="A134" i="78"/>
  <c r="A135" i="78"/>
  <c r="A136" i="78"/>
  <c r="A137" i="78"/>
  <c r="A138" i="78"/>
  <c r="A139" i="78"/>
  <c r="A140" i="78"/>
  <c r="A141" i="78"/>
  <c r="A142" i="78"/>
  <c r="A143" i="78"/>
  <c r="A144" i="78"/>
  <c r="A145" i="78"/>
  <c r="A146" i="78"/>
  <c r="A147" i="78"/>
  <c r="A148" i="78"/>
  <c r="A149" i="78"/>
  <c r="A150" i="78"/>
  <c r="A151" i="78"/>
  <c r="A152" i="78"/>
  <c r="A153" i="78"/>
  <c r="A154" i="78"/>
  <c r="A155" i="78"/>
  <c r="A156" i="78"/>
  <c r="A157" i="78"/>
  <c r="A158" i="78"/>
  <c r="A159" i="78"/>
  <c r="A160" i="78"/>
  <c r="A161" i="78"/>
  <c r="A162" i="78"/>
  <c r="A163" i="78"/>
  <c r="A164" i="78"/>
  <c r="A165" i="78"/>
  <c r="A166" i="78"/>
  <c r="A167" i="78"/>
  <c r="A168" i="78"/>
  <c r="A169" i="78"/>
  <c r="A170" i="78"/>
  <c r="A171" i="78"/>
  <c r="A172" i="78"/>
  <c r="A173" i="78"/>
  <c r="A174" i="78"/>
  <c r="A175" i="78"/>
  <c r="A176" i="78"/>
  <c r="A177" i="78"/>
  <c r="A178" i="78"/>
  <c r="A179" i="78"/>
  <c r="A180" i="78"/>
  <c r="A181" i="78"/>
  <c r="A182" i="78"/>
  <c r="A183" i="78"/>
  <c r="A184" i="78"/>
  <c r="A185" i="78"/>
  <c r="A186" i="78"/>
  <c r="A187" i="78"/>
  <c r="A188" i="78"/>
  <c r="A189" i="78"/>
  <c r="A190" i="78"/>
  <c r="A191" i="78"/>
  <c r="A192" i="78"/>
  <c r="A193" i="78"/>
  <c r="A194" i="78"/>
  <c r="A195" i="78"/>
  <c r="A196" i="78"/>
  <c r="A197" i="78"/>
  <c r="A198" i="78"/>
  <c r="A199" i="78"/>
  <c r="A200" i="78"/>
  <c r="A201" i="78"/>
  <c r="A202" i="78"/>
  <c r="A203" i="78"/>
  <c r="A204" i="78"/>
  <c r="A205" i="78"/>
  <c r="A206" i="78"/>
  <c r="A207" i="78"/>
  <c r="A208" i="78"/>
  <c r="A209" i="78"/>
  <c r="A210" i="78"/>
  <c r="A211" i="78"/>
  <c r="A212" i="78"/>
  <c r="A213" i="78"/>
  <c r="A214" i="78"/>
  <c r="A215" i="78"/>
  <c r="A216" i="78"/>
  <c r="A217" i="78"/>
  <c r="A218" i="78"/>
  <c r="A219" i="78"/>
  <c r="A220" i="78"/>
  <c r="A221" i="78"/>
  <c r="A222" i="78"/>
  <c r="A223" i="78"/>
  <c r="A224" i="78"/>
  <c r="A225" i="78"/>
  <c r="A226" i="78"/>
  <c r="A227" i="78"/>
  <c r="A228" i="78"/>
  <c r="A229" i="78"/>
  <c r="A230" i="78"/>
  <c r="A231" i="78"/>
  <c r="A232" i="78"/>
  <c r="A233" i="78"/>
  <c r="A234" i="78"/>
  <c r="A235" i="78"/>
  <c r="A236" i="78"/>
  <c r="A237" i="78"/>
  <c r="A238" i="78"/>
  <c r="A239" i="78"/>
  <c r="A240" i="78"/>
  <c r="A241" i="78"/>
  <c r="A242" i="78"/>
  <c r="A243" i="78"/>
  <c r="A244" i="78"/>
  <c r="A245" i="78"/>
  <c r="A246" i="78"/>
  <c r="A247" i="78"/>
  <c r="A248" i="78"/>
  <c r="A249" i="78"/>
  <c r="A250" i="78"/>
  <c r="A251" i="78"/>
  <c r="A252" i="78"/>
  <c r="A253" i="78"/>
  <c r="A254" i="78"/>
  <c r="A255" i="78"/>
  <c r="A256" i="78"/>
  <c r="A257" i="78"/>
  <c r="A258" i="78"/>
  <c r="A259" i="78"/>
  <c r="A260" i="78"/>
  <c r="A261" i="78"/>
  <c r="A262" i="78"/>
  <c r="A263" i="78"/>
  <c r="A264" i="78"/>
  <c r="A265" i="78"/>
  <c r="A266" i="78"/>
  <c r="A267" i="78"/>
  <c r="A268" i="78"/>
  <c r="A269" i="78"/>
  <c r="A270" i="78"/>
  <c r="A271" i="78"/>
  <c r="A272" i="78"/>
  <c r="A273" i="78"/>
  <c r="A274" i="78"/>
  <c r="A275" i="78"/>
  <c r="A276" i="78"/>
  <c r="A277" i="78"/>
  <c r="A278" i="78"/>
  <c r="A279" i="78"/>
  <c r="A280" i="78"/>
  <c r="A281" i="78"/>
  <c r="A282" i="78"/>
  <c r="A283" i="78"/>
  <c r="A284" i="78"/>
  <c r="A285" i="78"/>
  <c r="A286" i="78"/>
  <c r="A287" i="78"/>
  <c r="A288" i="78"/>
  <c r="A289" i="78"/>
  <c r="A290" i="78"/>
  <c r="A291" i="78"/>
  <c r="A292" i="78"/>
  <c r="A293" i="78"/>
  <c r="A294" i="78"/>
  <c r="A295" i="78"/>
  <c r="A296" i="78"/>
  <c r="A297" i="78"/>
  <c r="A298" i="78"/>
  <c r="A299" i="78"/>
  <c r="A300" i="78"/>
  <c r="A301" i="78"/>
  <c r="A302" i="78"/>
  <c r="A303" i="78"/>
  <c r="A304" i="78"/>
  <c r="A305" i="78"/>
  <c r="A306" i="78"/>
  <c r="A307" i="78"/>
  <c r="A308" i="78"/>
  <c r="A309" i="78"/>
  <c r="A310" i="78"/>
  <c r="A311" i="78"/>
  <c r="A312" i="78"/>
  <c r="A313" i="78"/>
  <c r="A314" i="78"/>
  <c r="A315" i="78"/>
  <c r="A316" i="78"/>
  <c r="A317" i="78"/>
  <c r="A318" i="78"/>
  <c r="A319" i="78"/>
  <c r="A320" i="78"/>
  <c r="A321" i="78"/>
  <c r="A322" i="78"/>
  <c r="A323" i="78"/>
  <c r="A324" i="78"/>
  <c r="A325" i="78"/>
  <c r="A326" i="78"/>
  <c r="A327" i="78"/>
  <c r="A328" i="78"/>
  <c r="A329" i="78"/>
  <c r="A330" i="78"/>
  <c r="A331" i="78"/>
  <c r="A332" i="78"/>
  <c r="A333" i="78"/>
  <c r="A334" i="78"/>
  <c r="A335" i="78"/>
  <c r="A336" i="78"/>
  <c r="A337" i="78"/>
  <c r="A338" i="78"/>
  <c r="A339" i="78"/>
  <c r="A340" i="78"/>
  <c r="A341" i="78"/>
  <c r="A342" i="78"/>
  <c r="A343" i="78"/>
  <c r="A344" i="78"/>
  <c r="A345" i="78"/>
  <c r="A346" i="78"/>
  <c r="A347" i="78"/>
  <c r="A348" i="78"/>
  <c r="A349" i="78"/>
  <c r="A350" i="78"/>
  <c r="A351" i="78"/>
  <c r="A352" i="78"/>
  <c r="A353" i="78"/>
  <c r="A354" i="78"/>
  <c r="A355" i="78"/>
  <c r="A356" i="78"/>
  <c r="A357" i="78"/>
  <c r="A358" i="78"/>
  <c r="A359" i="78"/>
  <c r="A360" i="78"/>
  <c r="A361" i="78"/>
  <c r="A362" i="78"/>
  <c r="A363" i="78"/>
  <c r="A364" i="78"/>
  <c r="A365" i="78"/>
  <c r="A366" i="78"/>
  <c r="A367" i="78"/>
  <c r="A368" i="78"/>
  <c r="A369" i="78"/>
  <c r="A370" i="78"/>
  <c r="A371" i="78"/>
  <c r="A372" i="78"/>
  <c r="A373" i="78"/>
  <c r="A374" i="78"/>
  <c r="A375" i="78"/>
  <c r="A376" i="78"/>
  <c r="A377" i="78"/>
  <c r="A378" i="78"/>
  <c r="A379" i="78"/>
  <c r="A380" i="78"/>
  <c r="A381" i="78"/>
  <c r="A382" i="78"/>
  <c r="A383" i="78"/>
  <c r="A384" i="78"/>
  <c r="A385" i="78"/>
  <c r="A386" i="78"/>
  <c r="A387" i="78"/>
  <c r="A388" i="78"/>
  <c r="A389" i="78"/>
  <c r="A390" i="78"/>
  <c r="A391" i="78"/>
  <c r="A392" i="78"/>
  <c r="A393" i="78"/>
  <c r="A394" i="78"/>
  <c r="A395" i="78"/>
  <c r="A396" i="78"/>
  <c r="A397" i="78"/>
  <c r="A398" i="78"/>
  <c r="A399" i="78"/>
  <c r="A400" i="78"/>
  <c r="A401" i="78"/>
  <c r="A402" i="78"/>
  <c r="A403" i="78"/>
  <c r="A404" i="78"/>
  <c r="A405" i="78"/>
  <c r="A406" i="78"/>
  <c r="A407" i="78"/>
  <c r="A408" i="78"/>
  <c r="A409" i="78"/>
  <c r="A410" i="78"/>
  <c r="A411" i="78"/>
  <c r="A2" i="78"/>
  <c r="I6" i="88" a="1"/>
  <c r="I28" i="88" a="1"/>
  <c r="I16" i="88" a="1"/>
  <c r="I22" i="88" a="1"/>
  <c r="I7" i="88" a="1"/>
  <c r="I8" i="88" a="1"/>
  <c r="I27" i="88" a="1"/>
  <c r="I9" i="88" a="1"/>
  <c r="I18" i="88" a="1"/>
  <c r="I32" i="88" a="1"/>
  <c r="I20" i="88" a="1"/>
  <c r="I29" i="88" a="1"/>
  <c r="I26" i="88" a="1"/>
  <c r="I13" i="88" a="1"/>
  <c r="I17" i="88" a="1"/>
  <c r="I10" i="88" a="1"/>
  <c r="I30" i="88" a="1"/>
  <c r="I15" i="88" a="1"/>
  <c r="I31" i="88" a="1"/>
  <c r="I11" i="88" a="1"/>
  <c r="I25" i="88" a="1"/>
  <c r="I5" i="88" a="1"/>
  <c r="I19" i="88" a="1"/>
  <c r="I21" i="88" a="1"/>
  <c r="I4" i="88" a="1"/>
  <c r="I24" i="88" a="1"/>
  <c r="I14" i="88" a="1"/>
  <c r="I12" i="88" a="1"/>
  <c r="I23" i="88" a="1"/>
  <c r="I30" i="88" l="1"/>
  <c r="J30" i="88" s="1"/>
  <c r="I27" i="88"/>
  <c r="J27" i="88" s="1"/>
  <c r="I10" i="88"/>
  <c r="J10" i="88" s="1"/>
  <c r="I24" i="88"/>
  <c r="J24" i="88" s="1"/>
  <c r="I28" i="88"/>
  <c r="J28" i="88" s="1"/>
  <c r="I7" i="88"/>
  <c r="J7" i="88" s="1"/>
  <c r="I29" i="88"/>
  <c r="J29" i="88" s="1"/>
  <c r="I22" i="88"/>
  <c r="J22" i="88" s="1"/>
  <c r="I16" i="88"/>
  <c r="J16" i="88" s="1"/>
  <c r="I13" i="88"/>
  <c r="J13" i="88" s="1"/>
  <c r="I5" i="88"/>
  <c r="J5" i="88" s="1"/>
  <c r="I14" i="88"/>
  <c r="J14" i="88" s="1"/>
  <c r="I15" i="88"/>
  <c r="J15" i="88" s="1"/>
  <c r="I17" i="88"/>
  <c r="J17" i="88" s="1"/>
  <c r="I8" i="88"/>
  <c r="J8" i="88" s="1"/>
  <c r="I6" i="88"/>
  <c r="J6" i="88" s="1"/>
  <c r="I19" i="88"/>
  <c r="J19" i="88" s="1"/>
  <c r="I20" i="88"/>
  <c r="J20" i="88" s="1"/>
  <c r="I11" i="88"/>
  <c r="J11" i="88" s="1"/>
  <c r="I32" i="88"/>
  <c r="J32" i="88" s="1"/>
  <c r="I9" i="88"/>
  <c r="J9" i="88" s="1"/>
  <c r="I12" i="88"/>
  <c r="J12" i="88" s="1"/>
  <c r="I21" i="88"/>
  <c r="J21" i="88" s="1"/>
  <c r="I4" i="88"/>
  <c r="J4" i="88" s="1"/>
  <c r="I31" i="88"/>
  <c r="J31" i="88" s="1"/>
  <c r="I26" i="88"/>
  <c r="J26" i="88" s="1"/>
  <c r="I23" i="88"/>
  <c r="J23" i="88" s="1"/>
  <c r="I18" i="88"/>
  <c r="J18" i="88" s="1"/>
  <c r="I25" i="88"/>
  <c r="J25" i="88" s="1"/>
  <c r="A3" i="75"/>
  <c r="A4" i="75"/>
  <c r="A5" i="75"/>
  <c r="A6"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49" i="75"/>
  <c r="A50" i="75"/>
  <c r="A51" i="75"/>
  <c r="A52" i="75"/>
  <c r="A53" i="75"/>
  <c r="A54" i="75"/>
  <c r="A55" i="75"/>
  <c r="A56" i="75"/>
  <c r="A57" i="75"/>
  <c r="A58"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A94" i="75"/>
  <c r="A95" i="75"/>
  <c r="A96" i="75"/>
  <c r="A97" i="75"/>
  <c r="A98" i="75"/>
  <c r="A99" i="75"/>
  <c r="A100" i="75"/>
  <c r="A101" i="75"/>
  <c r="A102" i="75"/>
  <c r="A103" i="75"/>
  <c r="A104" i="75"/>
  <c r="A105" i="75"/>
  <c r="A106" i="75"/>
  <c r="A107" i="75"/>
  <c r="A108" i="75"/>
  <c r="A109" i="75"/>
  <c r="A110" i="75"/>
  <c r="A111" i="75"/>
  <c r="A112" i="75"/>
  <c r="A113" i="75"/>
  <c r="A114" i="75"/>
  <c r="A115" i="75"/>
  <c r="A116" i="75"/>
  <c r="A117" i="75"/>
  <c r="A118" i="75"/>
  <c r="A119" i="75"/>
  <c r="A120" i="75"/>
  <c r="A121" i="75"/>
  <c r="A122" i="75"/>
  <c r="A123" i="75"/>
  <c r="A124" i="75"/>
  <c r="A125" i="75"/>
  <c r="A126" i="75"/>
  <c r="A127" i="75"/>
  <c r="A128" i="75"/>
  <c r="A129" i="75"/>
  <c r="A130" i="75"/>
  <c r="A131" i="75"/>
  <c r="A132" i="75"/>
  <c r="A133" i="75"/>
  <c r="A134" i="75"/>
  <c r="A135" i="75"/>
  <c r="A136" i="75"/>
  <c r="A137" i="75"/>
  <c r="A138" i="75"/>
  <c r="A139" i="75"/>
  <c r="A140" i="75"/>
  <c r="A141" i="75"/>
  <c r="A142" i="75"/>
  <c r="A143" i="75"/>
  <c r="A144" i="75"/>
  <c r="A145" i="75"/>
  <c r="A146" i="75"/>
  <c r="A147" i="75"/>
  <c r="A148" i="75"/>
  <c r="A149" i="75"/>
  <c r="A150" i="75"/>
  <c r="A151" i="75"/>
  <c r="A152" i="75"/>
  <c r="A153" i="75"/>
  <c r="A154" i="75"/>
  <c r="A155" i="75"/>
  <c r="A156" i="75"/>
  <c r="A157" i="75"/>
  <c r="A158" i="75"/>
  <c r="A159" i="75"/>
  <c r="A160" i="75"/>
  <c r="A161" i="75"/>
  <c r="A162" i="75"/>
  <c r="A163" i="75"/>
  <c r="A164" i="75"/>
  <c r="A165" i="75"/>
  <c r="A166" i="75"/>
  <c r="A167" i="75"/>
  <c r="A168" i="75"/>
  <c r="A169" i="75"/>
  <c r="A170" i="75"/>
  <c r="A171" i="75"/>
  <c r="A172" i="75"/>
  <c r="A173" i="75"/>
  <c r="A174" i="75"/>
  <c r="A175" i="75"/>
  <c r="A176" i="75"/>
  <c r="A177" i="75"/>
  <c r="A178" i="75"/>
  <c r="A179" i="75"/>
  <c r="A180" i="75"/>
  <c r="A181" i="75"/>
  <c r="A182" i="75"/>
  <c r="A183" i="75"/>
  <c r="A184" i="75"/>
  <c r="A185" i="75"/>
  <c r="A186" i="75"/>
  <c r="A187" i="75"/>
  <c r="A188" i="75"/>
  <c r="A189" i="75"/>
  <c r="A190" i="75"/>
  <c r="A191" i="75"/>
  <c r="A192" i="75"/>
  <c r="A193" i="75"/>
  <c r="A194" i="75"/>
  <c r="A195" i="75"/>
  <c r="A196" i="75"/>
  <c r="A197" i="75"/>
  <c r="A198" i="75"/>
  <c r="A199" i="75"/>
  <c r="A200" i="75"/>
  <c r="A201" i="75"/>
  <c r="A202" i="75"/>
  <c r="A203" i="75"/>
  <c r="A204" i="75"/>
  <c r="A205" i="75"/>
  <c r="A206" i="75"/>
  <c r="A207" i="75"/>
  <c r="A208" i="75"/>
  <c r="A209" i="75"/>
  <c r="A210" i="75"/>
  <c r="A211" i="75"/>
  <c r="A212" i="75"/>
  <c r="A213" i="75"/>
  <c r="A214" i="75"/>
  <c r="A215" i="75"/>
  <c r="A216" i="75"/>
  <c r="A217" i="75"/>
  <c r="A218" i="75"/>
  <c r="A219" i="75"/>
  <c r="A220" i="75"/>
  <c r="A221" i="75"/>
  <c r="A222" i="75"/>
  <c r="A223" i="75"/>
  <c r="A224" i="75"/>
  <c r="A225" i="75"/>
  <c r="A226" i="75"/>
  <c r="A227" i="75"/>
  <c r="A228" i="75"/>
  <c r="A229" i="75"/>
  <c r="A230" i="75"/>
  <c r="A231" i="75"/>
  <c r="A232" i="75"/>
  <c r="A233" i="75"/>
  <c r="A234" i="75"/>
  <c r="A235" i="75"/>
  <c r="A236" i="75"/>
  <c r="A237" i="75"/>
  <c r="A238" i="75"/>
  <c r="A239" i="75"/>
  <c r="A240" i="75"/>
  <c r="A241" i="75"/>
  <c r="A242" i="75"/>
  <c r="A243" i="75"/>
  <c r="A244" i="75"/>
  <c r="A245" i="75"/>
  <c r="A246" i="75"/>
  <c r="A247" i="75"/>
  <c r="A248" i="75"/>
  <c r="A249" i="75"/>
  <c r="A250" i="75"/>
  <c r="A251" i="75"/>
  <c r="A252" i="75"/>
  <c r="A253" i="75"/>
  <c r="A254" i="75"/>
  <c r="A255" i="75"/>
  <c r="A256" i="75"/>
  <c r="A257" i="75"/>
  <c r="A258" i="75"/>
  <c r="A259" i="75"/>
  <c r="A260" i="75"/>
  <c r="A261" i="75"/>
  <c r="A262" i="75"/>
  <c r="A263" i="75"/>
  <c r="A264" i="75"/>
  <c r="A265" i="75"/>
  <c r="A266" i="75"/>
  <c r="A267" i="75"/>
  <c r="A268" i="75"/>
  <c r="A269" i="75"/>
  <c r="A270" i="75"/>
  <c r="A271" i="75"/>
  <c r="A272" i="75"/>
  <c r="A273" i="75"/>
  <c r="A274" i="75"/>
  <c r="A275" i="75"/>
  <c r="A276" i="75"/>
  <c r="A277" i="75"/>
  <c r="A278" i="75"/>
  <c r="A279" i="75"/>
  <c r="A280" i="75"/>
  <c r="A281" i="75"/>
  <c r="A282" i="75"/>
  <c r="A283" i="75"/>
  <c r="A284" i="75"/>
  <c r="A285" i="75"/>
  <c r="A286" i="75"/>
  <c r="A287" i="75"/>
  <c r="A288" i="75"/>
  <c r="A289" i="75"/>
  <c r="A290" i="75"/>
  <c r="A291" i="75"/>
  <c r="A292" i="75"/>
  <c r="A293" i="75"/>
  <c r="A294" i="75"/>
  <c r="A295" i="75"/>
  <c r="A296" i="75"/>
  <c r="A297" i="75"/>
  <c r="A298" i="75"/>
  <c r="A299" i="75"/>
  <c r="A300" i="75"/>
  <c r="A301" i="75"/>
  <c r="A2" i="75"/>
  <c r="A3" i="72"/>
  <c r="A4" i="72"/>
  <c r="A5" i="72"/>
  <c r="A6" i="72"/>
  <c r="A7" i="72"/>
  <c r="A8" i="72"/>
  <c r="A9" i="72"/>
  <c r="A10" i="72"/>
  <c r="A11" i="72"/>
  <c r="A12" i="72"/>
  <c r="A13" i="72"/>
  <c r="A14" i="72"/>
  <c r="A15" i="72"/>
  <c r="A16" i="72"/>
  <c r="A17" i="72"/>
  <c r="A18" i="72"/>
  <c r="A19" i="72"/>
  <c r="A20" i="72"/>
  <c r="A21" i="72"/>
  <c r="A22" i="72"/>
  <c r="A23" i="72"/>
  <c r="A24" i="72"/>
  <c r="A25" i="72"/>
  <c r="A26" i="72"/>
  <c r="A27" i="72"/>
  <c r="A28" i="72"/>
  <c r="A29" i="72"/>
  <c r="A30" i="72"/>
  <c r="A31" i="72"/>
  <c r="A32" i="72"/>
  <c r="A33" i="72"/>
  <c r="A34" i="72"/>
  <c r="A35" i="72"/>
  <c r="A36" i="72"/>
  <c r="A37" i="72"/>
  <c r="A38" i="72"/>
  <c r="A39" i="72"/>
  <c r="A40" i="72"/>
  <c r="A41" i="72"/>
  <c r="A42" i="72"/>
  <c r="A43" i="72"/>
  <c r="A44" i="72"/>
  <c r="A45" i="72"/>
  <c r="A46" i="72"/>
  <c r="A47" i="72"/>
  <c r="A48" i="72"/>
  <c r="A49" i="72"/>
  <c r="A50" i="72"/>
  <c r="A51" i="72"/>
  <c r="A52" i="72"/>
  <c r="A53" i="72"/>
  <c r="A54" i="72"/>
  <c r="A55" i="72"/>
  <c r="A56" i="72"/>
  <c r="A57" i="72"/>
  <c r="A58" i="72"/>
  <c r="A59" i="72"/>
  <c r="A60" i="72"/>
  <c r="A61" i="72"/>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72"/>
  <c r="A98" i="72"/>
  <c r="A99" i="72"/>
  <c r="A100" i="72"/>
  <c r="A101" i="72"/>
  <c r="A102" i="72"/>
  <c r="A103" i="72"/>
  <c r="A104" i="72"/>
  <c r="A105" i="72"/>
  <c r="A106" i="72"/>
  <c r="A107" i="72"/>
  <c r="A108" i="72"/>
  <c r="A109" i="72"/>
  <c r="A110" i="72"/>
  <c r="A111" i="72"/>
  <c r="A112" i="72"/>
  <c r="A113" i="72"/>
  <c r="A114" i="72"/>
  <c r="A115" i="72"/>
  <c r="A116" i="72"/>
  <c r="A117" i="72"/>
  <c r="A118" i="72"/>
  <c r="A119" i="72"/>
  <c r="A120" i="72"/>
  <c r="A121" i="72"/>
  <c r="A122" i="72"/>
  <c r="A123" i="72"/>
  <c r="A124" i="72"/>
  <c r="A125" i="72"/>
  <c r="A126" i="72"/>
  <c r="A127" i="72"/>
  <c r="A128" i="72"/>
  <c r="A129" i="72"/>
  <c r="A130" i="72"/>
  <c r="A131" i="72"/>
  <c r="A132" i="72"/>
  <c r="A133" i="72"/>
  <c r="A134" i="72"/>
  <c r="A135" i="72"/>
  <c r="A136" i="72"/>
  <c r="A137" i="72"/>
  <c r="A138" i="72"/>
  <c r="A139" i="72"/>
  <c r="A140" i="72"/>
  <c r="A141" i="72"/>
  <c r="A142" i="72"/>
  <c r="A143" i="72"/>
  <c r="A144" i="72"/>
  <c r="A145" i="72"/>
  <c r="A146" i="72"/>
  <c r="A147" i="72"/>
  <c r="A148" i="72"/>
  <c r="A149" i="72"/>
  <c r="A150" i="72"/>
  <c r="A151" i="72"/>
  <c r="A152" i="72"/>
  <c r="A153" i="72"/>
  <c r="A154" i="72"/>
  <c r="A155" i="72"/>
  <c r="A156" i="72"/>
  <c r="A157" i="72"/>
  <c r="A158" i="72"/>
  <c r="A159" i="72"/>
  <c r="A160" i="72"/>
  <c r="A161" i="72"/>
  <c r="A162" i="72"/>
  <c r="A163" i="72"/>
  <c r="A164" i="72"/>
  <c r="A165" i="72"/>
  <c r="A166" i="72"/>
  <c r="A167" i="72"/>
  <c r="A168" i="72"/>
  <c r="A169" i="72"/>
  <c r="A170" i="72"/>
  <c r="A171" i="72"/>
  <c r="A172" i="72"/>
  <c r="A173" i="72"/>
  <c r="A174" i="72"/>
  <c r="A175" i="72"/>
  <c r="A176" i="72"/>
  <c r="A177" i="72"/>
  <c r="A178" i="72"/>
  <c r="A179" i="72"/>
  <c r="A180" i="72"/>
  <c r="A181" i="72"/>
  <c r="A182" i="72"/>
  <c r="A183" i="72"/>
  <c r="A184" i="72"/>
  <c r="A185" i="72"/>
  <c r="A186" i="72"/>
  <c r="A187" i="72"/>
  <c r="A188" i="72"/>
  <c r="A189" i="72"/>
  <c r="A190" i="72"/>
  <c r="A191" i="72"/>
  <c r="A192" i="72"/>
  <c r="A193" i="72"/>
  <c r="A194" i="72"/>
  <c r="A195" i="72"/>
  <c r="A196" i="72"/>
  <c r="A197" i="72"/>
  <c r="A198" i="72"/>
  <c r="A199" i="72"/>
  <c r="A200" i="72"/>
  <c r="A201" i="72"/>
  <c r="A202" i="72"/>
  <c r="A203" i="72"/>
  <c r="A204" i="72"/>
  <c r="A205" i="72"/>
  <c r="A206" i="72"/>
  <c r="A207" i="72"/>
  <c r="A208" i="72"/>
  <c r="A209" i="72"/>
  <c r="A210" i="72"/>
  <c r="A211" i="72"/>
  <c r="A212" i="72"/>
  <c r="A213" i="72"/>
  <c r="A214" i="72"/>
  <c r="A215" i="72"/>
  <c r="A216" i="72"/>
  <c r="A217" i="72"/>
  <c r="A218" i="72"/>
  <c r="A219" i="72"/>
  <c r="A220" i="72"/>
  <c r="A221" i="72"/>
  <c r="A222" i="72"/>
  <c r="A223" i="72"/>
  <c r="A224" i="72"/>
  <c r="A225" i="72"/>
  <c r="A226" i="72"/>
  <c r="A227" i="72"/>
  <c r="A228" i="72"/>
  <c r="A229" i="72"/>
  <c r="A230" i="72"/>
  <c r="A231" i="72"/>
  <c r="A232" i="72"/>
  <c r="A233" i="72"/>
  <c r="A234" i="72"/>
  <c r="A235" i="72"/>
  <c r="A236" i="72"/>
  <c r="A237" i="72"/>
  <c r="A238" i="72"/>
  <c r="A239" i="72"/>
  <c r="A240" i="72"/>
  <c r="A241" i="72"/>
  <c r="A242" i="72"/>
  <c r="A243" i="72"/>
  <c r="A244" i="72"/>
  <c r="A245" i="72"/>
  <c r="A246" i="72"/>
  <c r="A247" i="72"/>
  <c r="A248" i="72"/>
  <c r="A249" i="72"/>
  <c r="A250" i="72"/>
  <c r="A251" i="72"/>
  <c r="A252" i="72"/>
  <c r="A253" i="72"/>
  <c r="A254" i="72"/>
  <c r="A255" i="72"/>
  <c r="A256" i="72"/>
  <c r="A257" i="72"/>
  <c r="A258" i="72"/>
  <c r="A259" i="72"/>
  <c r="A260" i="72"/>
  <c r="A261" i="72"/>
  <c r="A262" i="72"/>
  <c r="A263" i="72"/>
  <c r="A264" i="72"/>
  <c r="A265" i="72"/>
  <c r="A266" i="72"/>
  <c r="A267" i="72"/>
  <c r="A268" i="72"/>
  <c r="A269" i="72"/>
  <c r="A270" i="72"/>
  <c r="A271" i="72"/>
  <c r="A272" i="72"/>
  <c r="A273" i="72"/>
  <c r="A274" i="72"/>
  <c r="A275" i="72"/>
  <c r="A276" i="72"/>
  <c r="A277" i="72"/>
  <c r="A278" i="72"/>
  <c r="A279" i="72"/>
  <c r="A280" i="72"/>
  <c r="A281" i="72"/>
  <c r="A282" i="72"/>
  <c r="A283" i="72"/>
  <c r="A284" i="72"/>
  <c r="A285" i="72"/>
  <c r="A286" i="72"/>
  <c r="A287" i="72"/>
  <c r="A288" i="72"/>
  <c r="A289" i="72"/>
  <c r="A290" i="72"/>
  <c r="A291" i="72"/>
  <c r="A292" i="72"/>
  <c r="A293" i="72"/>
  <c r="A294" i="72"/>
  <c r="A295" i="72"/>
  <c r="A296" i="72"/>
  <c r="A297" i="72"/>
  <c r="A298" i="72"/>
  <c r="A299" i="72"/>
  <c r="A300" i="72"/>
  <c r="A301" i="72"/>
  <c r="A2" i="72"/>
  <c r="A3" i="74"/>
  <c r="A4" i="74"/>
  <c r="A5" i="74"/>
  <c r="A6" i="74"/>
  <c r="A7" i="74"/>
  <c r="A8" i="74"/>
  <c r="A9" i="74"/>
  <c r="A10" i="74"/>
  <c r="A11" i="74"/>
  <c r="A12" i="74"/>
  <c r="A13" i="74"/>
  <c r="A14" i="74"/>
  <c r="A15" i="74"/>
  <c r="A16" i="74"/>
  <c r="A17" i="74"/>
  <c r="A18" i="74"/>
  <c r="A19" i="74"/>
  <c r="A20" i="74"/>
  <c r="A21" i="74"/>
  <c r="A22" i="74"/>
  <c r="A23" i="74"/>
  <c r="A24" i="74"/>
  <c r="A25" i="74"/>
  <c r="A26" i="74"/>
  <c r="A27" i="74"/>
  <c r="A28" i="74"/>
  <c r="A29" i="74"/>
  <c r="A30" i="74"/>
  <c r="A31" i="74"/>
  <c r="A32" i="74"/>
  <c r="A33" i="74"/>
  <c r="A34" i="74"/>
  <c r="A35" i="74"/>
  <c r="A36" i="74"/>
  <c r="A37" i="74"/>
  <c r="A38" i="74"/>
  <c r="A39" i="74"/>
  <c r="A40" i="74"/>
  <c r="A41" i="74"/>
  <c r="A42" i="74"/>
  <c r="A43" i="74"/>
  <c r="A44" i="74"/>
  <c r="A45" i="74"/>
  <c r="A46" i="74"/>
  <c r="A47" i="74"/>
  <c r="A48" i="74"/>
  <c r="A49" i="74"/>
  <c r="A50" i="74"/>
  <c r="A51" i="74"/>
  <c r="A52" i="74"/>
  <c r="A53" i="74"/>
  <c r="A54" i="74"/>
  <c r="A55" i="74"/>
  <c r="A56" i="74"/>
  <c r="A57" i="74"/>
  <c r="A58" i="74"/>
  <c r="A59" i="74"/>
  <c r="A60" i="74"/>
  <c r="A61" i="74"/>
  <c r="A62" i="74"/>
  <c r="A63" i="74"/>
  <c r="A64" i="74"/>
  <c r="A65" i="74"/>
  <c r="A66" i="74"/>
  <c r="A67" i="74"/>
  <c r="A68" i="74"/>
  <c r="A69" i="74"/>
  <c r="A70" i="74"/>
  <c r="A71" i="74"/>
  <c r="A72" i="74"/>
  <c r="A73" i="74"/>
  <c r="A74" i="74"/>
  <c r="A75" i="74"/>
  <c r="A76" i="74"/>
  <c r="A77" i="74"/>
  <c r="A78" i="74"/>
  <c r="A79" i="74"/>
  <c r="A80" i="74"/>
  <c r="A81" i="74"/>
  <c r="A82" i="74"/>
  <c r="A83" i="74"/>
  <c r="A84" i="74"/>
  <c r="A85" i="74"/>
  <c r="A86" i="74"/>
  <c r="A87" i="74"/>
  <c r="A88" i="74"/>
  <c r="A89" i="74"/>
  <c r="A90" i="74"/>
  <c r="A91" i="74"/>
  <c r="A92" i="74"/>
  <c r="A93" i="74"/>
  <c r="A94" i="74"/>
  <c r="A95" i="74"/>
  <c r="A96" i="74"/>
  <c r="A97" i="74"/>
  <c r="A98" i="74"/>
  <c r="A99" i="74"/>
  <c r="A100" i="74"/>
  <c r="A101" i="74"/>
  <c r="A102" i="74"/>
  <c r="A103" i="74"/>
  <c r="A104" i="74"/>
  <c r="A105" i="74"/>
  <c r="A106" i="74"/>
  <c r="A107" i="74"/>
  <c r="A108" i="74"/>
  <c r="A109" i="74"/>
  <c r="A110" i="74"/>
  <c r="A111" i="74"/>
  <c r="A112" i="74"/>
  <c r="A113" i="74"/>
  <c r="A114" i="74"/>
  <c r="A115" i="74"/>
  <c r="A116" i="74"/>
  <c r="A117" i="74"/>
  <c r="A118" i="74"/>
  <c r="A119" i="74"/>
  <c r="A120" i="74"/>
  <c r="A121" i="74"/>
  <c r="A122" i="74"/>
  <c r="A123" i="74"/>
  <c r="A124" i="74"/>
  <c r="A125" i="74"/>
  <c r="A126" i="74"/>
  <c r="A127" i="74"/>
  <c r="A128" i="74"/>
  <c r="A129" i="74"/>
  <c r="A130" i="74"/>
  <c r="A131" i="74"/>
  <c r="A132" i="74"/>
  <c r="A133" i="74"/>
  <c r="A134" i="74"/>
  <c r="A135" i="74"/>
  <c r="A136" i="74"/>
  <c r="A137" i="74"/>
  <c r="A138" i="74"/>
  <c r="A139" i="74"/>
  <c r="A140" i="74"/>
  <c r="A141" i="74"/>
  <c r="A142" i="74"/>
  <c r="A143" i="74"/>
  <c r="A144" i="74"/>
  <c r="A145" i="74"/>
  <c r="A146" i="74"/>
  <c r="A147" i="74"/>
  <c r="A148" i="74"/>
  <c r="A149" i="74"/>
  <c r="A150" i="74"/>
  <c r="A151" i="74"/>
  <c r="A152" i="74"/>
  <c r="A153" i="74"/>
  <c r="A154" i="74"/>
  <c r="A155" i="74"/>
  <c r="A156" i="74"/>
  <c r="A157" i="74"/>
  <c r="A158" i="74"/>
  <c r="A159" i="74"/>
  <c r="A160" i="74"/>
  <c r="A161" i="74"/>
  <c r="A162" i="74"/>
  <c r="A163" i="74"/>
  <c r="A164" i="74"/>
  <c r="A165" i="74"/>
  <c r="A166" i="74"/>
  <c r="A167" i="74"/>
  <c r="A168" i="74"/>
  <c r="A169" i="74"/>
  <c r="A170" i="74"/>
  <c r="A171" i="74"/>
  <c r="A172" i="74"/>
  <c r="A173" i="74"/>
  <c r="A174" i="74"/>
  <c r="A175" i="74"/>
  <c r="A176" i="74"/>
  <c r="A177" i="74"/>
  <c r="A178" i="74"/>
  <c r="A179" i="74"/>
  <c r="A180" i="74"/>
  <c r="A181" i="74"/>
  <c r="A182" i="74"/>
  <c r="A183" i="74"/>
  <c r="A184" i="74"/>
  <c r="A185" i="74"/>
  <c r="A186" i="74"/>
  <c r="A187" i="74"/>
  <c r="A188" i="74"/>
  <c r="A189" i="74"/>
  <c r="A190" i="74"/>
  <c r="A191" i="74"/>
  <c r="A192" i="74"/>
  <c r="A193" i="74"/>
  <c r="A194" i="74"/>
  <c r="A195" i="74"/>
  <c r="A196" i="74"/>
  <c r="A197" i="74"/>
  <c r="A198" i="74"/>
  <c r="A199" i="74"/>
  <c r="A200" i="74"/>
  <c r="A201" i="74"/>
  <c r="A202" i="74"/>
  <c r="A203" i="74"/>
  <c r="A204" i="74"/>
  <c r="A205" i="74"/>
  <c r="A206" i="74"/>
  <c r="A207" i="74"/>
  <c r="A208" i="74"/>
  <c r="A209" i="74"/>
  <c r="A210" i="74"/>
  <c r="A211" i="74"/>
  <c r="A212" i="74"/>
  <c r="A213" i="74"/>
  <c r="A214" i="74"/>
  <c r="A215" i="74"/>
  <c r="A216" i="74"/>
  <c r="A217" i="74"/>
  <c r="A218" i="74"/>
  <c r="A219" i="74"/>
  <c r="A220" i="74"/>
  <c r="A221" i="74"/>
  <c r="A222" i="74"/>
  <c r="A223" i="74"/>
  <c r="A224" i="74"/>
  <c r="A225" i="74"/>
  <c r="A226" i="74"/>
  <c r="A227" i="74"/>
  <c r="A228" i="74"/>
  <c r="A229" i="74"/>
  <c r="A230" i="74"/>
  <c r="A231" i="74"/>
  <c r="A232" i="74"/>
  <c r="A233" i="74"/>
  <c r="A234" i="74"/>
  <c r="A235" i="74"/>
  <c r="A236" i="74"/>
  <c r="A237" i="74"/>
  <c r="A238" i="74"/>
  <c r="A239" i="74"/>
  <c r="A240" i="74"/>
  <c r="A241" i="74"/>
  <c r="A242" i="74"/>
  <c r="A243" i="74"/>
  <c r="A244" i="74"/>
  <c r="A245" i="74"/>
  <c r="A246" i="74"/>
  <c r="A247" i="74"/>
  <c r="A248" i="74"/>
  <c r="A249" i="74"/>
  <c r="A250" i="74"/>
  <c r="A251" i="74"/>
  <c r="A252" i="74"/>
  <c r="A253" i="74"/>
  <c r="A254" i="74"/>
  <c r="A255" i="74"/>
  <c r="A256" i="74"/>
  <c r="A257" i="74"/>
  <c r="A258" i="74"/>
  <c r="A259" i="74"/>
  <c r="A260" i="74"/>
  <c r="A261" i="74"/>
  <c r="A262" i="74"/>
  <c r="A263" i="74"/>
  <c r="A264" i="74"/>
  <c r="A265" i="74"/>
  <c r="A266" i="74"/>
  <c r="A267" i="74"/>
  <c r="A268" i="74"/>
  <c r="A269" i="74"/>
  <c r="A270" i="74"/>
  <c r="A271" i="74"/>
  <c r="A272" i="74"/>
  <c r="A273" i="74"/>
  <c r="A274" i="74"/>
  <c r="A275" i="74"/>
  <c r="A276" i="74"/>
  <c r="A277" i="74"/>
  <c r="A278" i="74"/>
  <c r="A279" i="74"/>
  <c r="A280" i="74"/>
  <c r="A281" i="74"/>
  <c r="A282" i="74"/>
  <c r="A283" i="74"/>
  <c r="A284" i="74"/>
  <c r="A285" i="74"/>
  <c r="A286" i="74"/>
  <c r="A287" i="74"/>
  <c r="A288" i="74"/>
  <c r="A289" i="74"/>
  <c r="A290" i="74"/>
  <c r="A291" i="74"/>
  <c r="A292" i="74"/>
  <c r="A293" i="74"/>
  <c r="A294" i="74"/>
  <c r="A295" i="74"/>
  <c r="A296" i="74"/>
  <c r="A297" i="74"/>
  <c r="A298" i="74"/>
  <c r="A299" i="74"/>
  <c r="A300" i="74"/>
  <c r="A301" i="74"/>
  <c r="A2" i="74"/>
  <c r="A3" i="73"/>
  <c r="A4" i="73"/>
  <c r="A5" i="73"/>
  <c r="A6" i="73"/>
  <c r="A7" i="73"/>
  <c r="A8"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7" i="73"/>
  <c r="A48" i="73"/>
  <c r="A49" i="73"/>
  <c r="A50" i="73"/>
  <c r="A51" i="73"/>
  <c r="A52" i="73"/>
  <c r="A53" i="73"/>
  <c r="A54" i="73"/>
  <c r="A55" i="73"/>
  <c r="A56" i="73"/>
  <c r="A57" i="73"/>
  <c r="A58" i="73"/>
  <c r="A59" i="73"/>
  <c r="A60" i="73"/>
  <c r="A61" i="73"/>
  <c r="A62" i="73"/>
  <c r="A63" i="73"/>
  <c r="A64" i="73"/>
  <c r="A65" i="73"/>
  <c r="A66" i="73"/>
  <c r="A67" i="73"/>
  <c r="A68" i="73"/>
  <c r="A69" i="73"/>
  <c r="A70" i="73"/>
  <c r="A71" i="73"/>
  <c r="A72" i="73"/>
  <c r="A73" i="73"/>
  <c r="A74" i="73"/>
  <c r="A75" i="73"/>
  <c r="A76" i="73"/>
  <c r="A77" i="73"/>
  <c r="A78" i="73"/>
  <c r="A79" i="73"/>
  <c r="A80" i="73"/>
  <c r="A81" i="73"/>
  <c r="A82" i="73"/>
  <c r="A83" i="73"/>
  <c r="A84" i="73"/>
  <c r="A85" i="73"/>
  <c r="A86" i="73"/>
  <c r="A87" i="73"/>
  <c r="A88" i="73"/>
  <c r="A89" i="73"/>
  <c r="A90" i="73"/>
  <c r="A91" i="73"/>
  <c r="A92" i="73"/>
  <c r="A93" i="73"/>
  <c r="A94" i="73"/>
  <c r="A95" i="73"/>
  <c r="A96" i="73"/>
  <c r="A97" i="73"/>
  <c r="A98" i="73"/>
  <c r="A99" i="73"/>
  <c r="A100" i="73"/>
  <c r="A101" i="73"/>
  <c r="A102" i="73"/>
  <c r="A103" i="73"/>
  <c r="A104" i="73"/>
  <c r="A105" i="73"/>
  <c r="A106" i="73"/>
  <c r="A107" i="73"/>
  <c r="A108" i="73"/>
  <c r="A109" i="73"/>
  <c r="A110" i="73"/>
  <c r="A111" i="73"/>
  <c r="A112" i="73"/>
  <c r="A113" i="73"/>
  <c r="A114" i="73"/>
  <c r="A115" i="73"/>
  <c r="A116" i="73"/>
  <c r="A117" i="73"/>
  <c r="A118" i="73"/>
  <c r="A119" i="73"/>
  <c r="A120" i="73"/>
  <c r="A121" i="73"/>
  <c r="A122" i="73"/>
  <c r="A123" i="73"/>
  <c r="A124" i="73"/>
  <c r="A125" i="73"/>
  <c r="A126" i="73"/>
  <c r="A127" i="73"/>
  <c r="A128" i="73"/>
  <c r="A129" i="73"/>
  <c r="A130" i="73"/>
  <c r="A131" i="73"/>
  <c r="A132" i="73"/>
  <c r="A133" i="73"/>
  <c r="A134" i="73"/>
  <c r="A135" i="73"/>
  <c r="A136" i="73"/>
  <c r="A137" i="73"/>
  <c r="A138" i="73"/>
  <c r="A139" i="73"/>
  <c r="A140" i="73"/>
  <c r="A141" i="73"/>
  <c r="A142" i="73"/>
  <c r="A143" i="73"/>
  <c r="A144" i="73"/>
  <c r="A145" i="73"/>
  <c r="A146" i="73"/>
  <c r="A147" i="73"/>
  <c r="A148" i="73"/>
  <c r="A149" i="73"/>
  <c r="A150" i="73"/>
  <c r="A151" i="73"/>
  <c r="A152" i="73"/>
  <c r="A153" i="73"/>
  <c r="A154" i="73"/>
  <c r="A155" i="73"/>
  <c r="A156" i="73"/>
  <c r="A157" i="73"/>
  <c r="A158" i="73"/>
  <c r="A159" i="73"/>
  <c r="A160" i="73"/>
  <c r="A161" i="73"/>
  <c r="A162" i="73"/>
  <c r="A163" i="73"/>
  <c r="A164" i="73"/>
  <c r="A165" i="73"/>
  <c r="A166" i="73"/>
  <c r="A167" i="73"/>
  <c r="A168" i="73"/>
  <c r="A169" i="73"/>
  <c r="A170" i="73"/>
  <c r="A171" i="73"/>
  <c r="A172" i="73"/>
  <c r="A173" i="73"/>
  <c r="A174" i="73"/>
  <c r="A175" i="73"/>
  <c r="A176" i="73"/>
  <c r="A177" i="73"/>
  <c r="A178" i="73"/>
  <c r="A179" i="73"/>
  <c r="A180" i="73"/>
  <c r="A181" i="73"/>
  <c r="A182" i="73"/>
  <c r="A183" i="73"/>
  <c r="A184" i="73"/>
  <c r="A185" i="73"/>
  <c r="A186" i="73"/>
  <c r="A187" i="73"/>
  <c r="A188" i="73"/>
  <c r="A189" i="73"/>
  <c r="A190" i="73"/>
  <c r="A191" i="73"/>
  <c r="A192" i="73"/>
  <c r="A193" i="73"/>
  <c r="A194" i="73"/>
  <c r="A195" i="73"/>
  <c r="A196" i="73"/>
  <c r="A197" i="73"/>
  <c r="A198" i="73"/>
  <c r="A199" i="73"/>
  <c r="A200" i="73"/>
  <c r="A201" i="73"/>
  <c r="A202" i="73"/>
  <c r="A203" i="73"/>
  <c r="A204" i="73"/>
  <c r="A205" i="73"/>
  <c r="A206" i="73"/>
  <c r="A207" i="73"/>
  <c r="A208" i="73"/>
  <c r="A209" i="73"/>
  <c r="A210" i="73"/>
  <c r="A211" i="73"/>
  <c r="A212" i="73"/>
  <c r="A213" i="73"/>
  <c r="A214" i="73"/>
  <c r="A215" i="73"/>
  <c r="A216" i="73"/>
  <c r="A217" i="73"/>
  <c r="A218" i="73"/>
  <c r="A219" i="73"/>
  <c r="A220" i="73"/>
  <c r="A221" i="73"/>
  <c r="A222" i="73"/>
  <c r="A223" i="73"/>
  <c r="A224" i="73"/>
  <c r="A225" i="73"/>
  <c r="A226" i="73"/>
  <c r="A227" i="73"/>
  <c r="A228" i="73"/>
  <c r="A229" i="73"/>
  <c r="A230" i="73"/>
  <c r="A231" i="73"/>
  <c r="A232" i="73"/>
  <c r="A233" i="73"/>
  <c r="A234" i="73"/>
  <c r="A235" i="73"/>
  <c r="A236" i="73"/>
  <c r="A237" i="73"/>
  <c r="A238" i="73"/>
  <c r="A239" i="73"/>
  <c r="A240" i="73"/>
  <c r="A241" i="73"/>
  <c r="A242" i="73"/>
  <c r="A243" i="73"/>
  <c r="A244" i="73"/>
  <c r="A245" i="73"/>
  <c r="A246" i="73"/>
  <c r="A247" i="73"/>
  <c r="A248" i="73"/>
  <c r="A249" i="73"/>
  <c r="A250" i="73"/>
  <c r="A251" i="73"/>
  <c r="A252" i="73"/>
  <c r="A253" i="73"/>
  <c r="A254" i="73"/>
  <c r="A255" i="73"/>
  <c r="A256" i="73"/>
  <c r="A257" i="73"/>
  <c r="A258" i="73"/>
  <c r="A259" i="73"/>
  <c r="A260" i="73"/>
  <c r="A261" i="73"/>
  <c r="A262" i="73"/>
  <c r="A263" i="73"/>
  <c r="A264" i="73"/>
  <c r="A265" i="73"/>
  <c r="A266" i="73"/>
  <c r="A267" i="73"/>
  <c r="A268" i="73"/>
  <c r="A269" i="73"/>
  <c r="A270" i="73"/>
  <c r="A271" i="73"/>
  <c r="A272" i="73"/>
  <c r="A273" i="73"/>
  <c r="A274" i="73"/>
  <c r="A275" i="73"/>
  <c r="A276" i="73"/>
  <c r="A277" i="73"/>
  <c r="A278" i="73"/>
  <c r="A279" i="73"/>
  <c r="A280" i="73"/>
  <c r="A281" i="73"/>
  <c r="A282" i="73"/>
  <c r="A283" i="73"/>
  <c r="A284" i="73"/>
  <c r="A285" i="73"/>
  <c r="A286" i="73"/>
  <c r="A287" i="73"/>
  <c r="A288" i="73"/>
  <c r="A289" i="73"/>
  <c r="A290" i="73"/>
  <c r="A291" i="73"/>
  <c r="A292" i="73"/>
  <c r="A293" i="73"/>
  <c r="A294" i="73"/>
  <c r="A295" i="73"/>
  <c r="A296" i="73"/>
  <c r="A297" i="73"/>
  <c r="A298" i="73"/>
  <c r="A299" i="73"/>
  <c r="A300" i="73"/>
  <c r="A301" i="73"/>
  <c r="A2" i="73"/>
  <c r="AW16" i="88" l="1"/>
  <c r="AX16" i="88" s="1"/>
  <c r="AW6" i="88"/>
  <c r="AX6" i="88" s="1"/>
  <c r="AW29" i="88"/>
  <c r="AX29" i="88" s="1"/>
  <c r="AW12" i="88"/>
  <c r="AX12" i="88" s="1"/>
  <c r="AW17" i="88"/>
  <c r="AX17" i="88" s="1"/>
  <c r="AW7" i="88"/>
  <c r="AX7" i="88" s="1"/>
  <c r="AW19" i="88"/>
  <c r="AX19" i="88" s="1"/>
  <c r="AW4" i="88"/>
  <c r="AX4" i="88" s="1"/>
  <c r="AW8" i="88"/>
  <c r="AX8" i="88" s="1"/>
  <c r="AW25" i="88"/>
  <c r="AX25" i="88" s="1"/>
  <c r="AW9" i="88"/>
  <c r="AX9" i="88" s="1"/>
  <c r="AW15" i="88"/>
  <c r="AX15" i="88" s="1"/>
  <c r="AW28" i="88"/>
  <c r="AX28" i="88" s="1"/>
  <c r="AW31" i="88"/>
  <c r="AX31" i="88" s="1"/>
  <c r="AW21" i="88"/>
  <c r="AX21" i="88" s="1"/>
  <c r="AW18" i="88"/>
  <c r="AX18" i="88" s="1"/>
  <c r="AW32" i="88"/>
  <c r="AX32" i="88" s="1"/>
  <c r="AW14" i="88"/>
  <c r="AX14" i="88" s="1"/>
  <c r="AW24" i="88"/>
  <c r="AX24" i="88" s="1"/>
  <c r="AW23" i="88"/>
  <c r="AX23" i="88" s="1"/>
  <c r="AW11" i="88"/>
  <c r="AX11" i="88" s="1"/>
  <c r="AW5" i="88"/>
  <c r="AX5" i="88" s="1"/>
  <c r="AW10" i="88"/>
  <c r="AX10" i="88" s="1"/>
  <c r="AW30" i="88"/>
  <c r="AX30" i="88" s="1"/>
  <c r="AW22" i="88"/>
  <c r="AX22" i="88" s="1"/>
  <c r="AW26" i="88"/>
  <c r="AX26" i="88" s="1"/>
  <c r="AW20" i="88"/>
  <c r="AX20" i="88" s="1"/>
  <c r="AW13" i="88"/>
  <c r="AX13" i="88" s="1"/>
  <c r="AW27" i="88"/>
  <c r="AX27" i="88" s="1"/>
  <c r="C5" i="71"/>
  <c r="C6" i="71"/>
  <c r="C7" i="71"/>
  <c r="C8" i="71"/>
  <c r="C9" i="71"/>
  <c r="C10" i="71"/>
  <c r="C11" i="71"/>
  <c r="C12" i="71"/>
  <c r="C13" i="71"/>
  <c r="C14" i="71"/>
  <c r="C15" i="71"/>
  <c r="C16" i="71"/>
  <c r="C17" i="71"/>
  <c r="C18" i="71"/>
  <c r="C19" i="71"/>
  <c r="C20" i="71"/>
  <c r="C21" i="71"/>
  <c r="C22" i="71"/>
  <c r="C23" i="71"/>
  <c r="C24" i="71"/>
  <c r="C25" i="71"/>
  <c r="C26" i="71"/>
  <c r="C27" i="71"/>
  <c r="C28" i="71"/>
  <c r="C29" i="71"/>
  <c r="C30" i="71"/>
  <c r="C31" i="71"/>
  <c r="C32" i="71"/>
  <c r="C4" i="71"/>
  <c r="B5" i="71" l="1"/>
  <c r="B6" i="71"/>
  <c r="B7" i="71"/>
  <c r="B8" i="71"/>
  <c r="B9" i="71"/>
  <c r="B10" i="71"/>
  <c r="B11" i="71"/>
  <c r="B12" i="71"/>
  <c r="B13" i="71"/>
  <c r="B14" i="71"/>
  <c r="B15" i="71"/>
  <c r="B16" i="71"/>
  <c r="B17" i="71"/>
  <c r="B18" i="71"/>
  <c r="B19" i="71"/>
  <c r="B20" i="71"/>
  <c r="B21" i="71"/>
  <c r="B22" i="71"/>
  <c r="B23" i="71"/>
  <c r="B24" i="71"/>
  <c r="B25" i="71"/>
  <c r="B26" i="71"/>
  <c r="B27" i="71"/>
  <c r="B28" i="71"/>
  <c r="B29" i="71"/>
  <c r="B30" i="71"/>
  <c r="B31" i="71"/>
  <c r="B32" i="71"/>
  <c r="B4" i="71"/>
  <c r="I3" i="90" l="1"/>
  <c r="BL3" i="90" s="1"/>
  <c r="BW3" i="90" s="1"/>
  <c r="I15" i="90"/>
  <c r="BL15" i="90" s="1"/>
  <c r="BW15" i="90" s="1"/>
  <c r="I4" i="90" l="1"/>
  <c r="BL4" i="90" s="1"/>
  <c r="BW4" i="90" s="1"/>
  <c r="C20" i="90"/>
  <c r="BF20" i="90" s="1"/>
  <c r="BQ20" i="90" s="1"/>
  <c r="I16" i="90"/>
  <c r="BL16" i="90" s="1"/>
  <c r="BW16" i="90" s="1"/>
  <c r="D12" i="90"/>
  <c r="BG12" i="90" s="1"/>
  <c r="BR12" i="90" s="1"/>
  <c r="C19" i="90"/>
  <c r="BF19" i="90" s="1"/>
  <c r="BQ19" i="90" s="1"/>
  <c r="D15" i="90"/>
  <c r="BG15" i="90" s="1"/>
  <c r="BR15" i="90" s="1"/>
  <c r="J30" i="90"/>
  <c r="BM30" i="90" s="1"/>
  <c r="BX30" i="90" s="1"/>
  <c r="I30" i="90"/>
  <c r="BL30" i="90" s="1"/>
  <c r="BW30" i="90" s="1"/>
  <c r="C30" i="90"/>
  <c r="BF30" i="90" s="1"/>
  <c r="BQ30" i="90" s="1"/>
  <c r="J26" i="90"/>
  <c r="BM26" i="90" s="1"/>
  <c r="BX26" i="90" s="1"/>
  <c r="J14" i="90"/>
  <c r="BM14" i="90" s="1"/>
  <c r="BX14" i="90" s="1"/>
  <c r="I14" i="90"/>
  <c r="BL14" i="90" s="1"/>
  <c r="BW14" i="90" s="1"/>
  <c r="J10" i="90"/>
  <c r="BM10" i="90" s="1"/>
  <c r="BX10" i="90" s="1"/>
  <c r="B6" i="90"/>
  <c r="BE6" i="90" s="1"/>
  <c r="BP6" i="90" s="1"/>
  <c r="B2" i="90"/>
  <c r="BE2" i="90" s="1"/>
  <c r="BP2" i="90" s="1"/>
  <c r="E2" i="90"/>
  <c r="BH2" i="90" s="1"/>
  <c r="BS2" i="90" s="1"/>
  <c r="J19" i="90"/>
  <c r="BM19" i="90" s="1"/>
  <c r="BX19" i="90" s="1"/>
  <c r="B18" i="90"/>
  <c r="BE18" i="90" s="1"/>
  <c r="BP18" i="90" s="1"/>
  <c r="F18" i="90"/>
  <c r="BI18" i="90" s="1"/>
  <c r="BT18" i="90" s="1"/>
  <c r="D18" i="90"/>
  <c r="BG18" i="90" s="1"/>
  <c r="BR18" i="90" s="1"/>
  <c r="C18" i="90"/>
  <c r="BF18" i="90" s="1"/>
  <c r="BQ18" i="90" s="1"/>
  <c r="E18" i="90"/>
  <c r="BH18" i="90" s="1"/>
  <c r="BS18" i="90" s="1"/>
  <c r="F6" i="90"/>
  <c r="BI6" i="90" s="1"/>
  <c r="BT6" i="90" s="1"/>
  <c r="K24" i="90"/>
  <c r="BN24" i="90" s="1"/>
  <c r="J12" i="90"/>
  <c r="BM12" i="90" s="1"/>
  <c r="BX12" i="90" s="1"/>
  <c r="J8" i="90"/>
  <c r="BM8" i="90" s="1"/>
  <c r="BX8" i="90" s="1"/>
  <c r="J23" i="90"/>
  <c r="BM23" i="90" s="1"/>
  <c r="BX23" i="90" s="1"/>
  <c r="I23" i="90"/>
  <c r="BL23" i="90" s="1"/>
  <c r="BW23" i="90" s="1"/>
  <c r="B23" i="90"/>
  <c r="BE23" i="90" s="1"/>
  <c r="BP23" i="90" s="1"/>
  <c r="E23" i="90"/>
  <c r="BH23" i="90" s="1"/>
  <c r="BS23" i="90" s="1"/>
  <c r="D23" i="90"/>
  <c r="BG23" i="90" s="1"/>
  <c r="BR23" i="90" s="1"/>
  <c r="E19" i="90"/>
  <c r="BH19" i="90" s="1"/>
  <c r="BS19" i="90" s="1"/>
  <c r="I7" i="90"/>
  <c r="BL7" i="90" s="1"/>
  <c r="BW7" i="90" s="1"/>
  <c r="E7" i="90"/>
  <c r="BH7" i="90" s="1"/>
  <c r="BS7" i="90" s="1"/>
  <c r="D7" i="90"/>
  <c r="BG7" i="90" s="1"/>
  <c r="BR7" i="90" s="1"/>
  <c r="J22" i="90"/>
  <c r="BM22" i="90" s="1"/>
  <c r="BX22" i="90" s="1"/>
  <c r="I22" i="90"/>
  <c r="BL22" i="90" s="1"/>
  <c r="BW22" i="90" s="1"/>
  <c r="E22" i="90"/>
  <c r="BH22" i="90" s="1"/>
  <c r="BS22" i="90" s="1"/>
  <c r="D22" i="90"/>
  <c r="BG22" i="90" s="1"/>
  <c r="BR22" i="90" s="1"/>
  <c r="B22" i="90"/>
  <c r="BE22" i="90" s="1"/>
  <c r="BP22" i="90" s="1"/>
  <c r="C22" i="90"/>
  <c r="BF22" i="90" s="1"/>
  <c r="BQ22" i="90" s="1"/>
  <c r="J6" i="90"/>
  <c r="BM6" i="90" s="1"/>
  <c r="BX6" i="90" s="1"/>
  <c r="I6" i="90"/>
  <c r="BL6" i="90" s="1"/>
  <c r="BW6" i="90" s="1"/>
  <c r="K2" i="90"/>
  <c r="BN2" i="90" s="1"/>
  <c r="BY2" i="90" s="1"/>
  <c r="B27" i="90"/>
  <c r="BE27" i="90" s="1"/>
  <c r="BP27" i="90" s="1"/>
  <c r="K23" i="90"/>
  <c r="BN23" i="90" s="1"/>
  <c r="D19" i="90"/>
  <c r="BG19" i="90" s="1"/>
  <c r="BR19" i="90" s="1"/>
  <c r="K19" i="90"/>
  <c r="BN19" i="90" s="1"/>
  <c r="K7" i="90"/>
  <c r="BN7" i="90" s="1"/>
  <c r="J3" i="90"/>
  <c r="BM3" i="90" s="1"/>
  <c r="BX3" i="90" s="1"/>
  <c r="F3" i="90"/>
  <c r="BI3" i="90" s="1"/>
  <c r="BT3" i="90" s="1"/>
  <c r="K26" i="90"/>
  <c r="BN26" i="90" s="1"/>
  <c r="I26" i="90"/>
  <c r="BL26" i="90" s="1"/>
  <c r="BW26" i="90" s="1"/>
  <c r="B26" i="90"/>
  <c r="BE26" i="90" s="1"/>
  <c r="BP26" i="90" s="1"/>
  <c r="F26" i="90"/>
  <c r="BI26" i="90" s="1"/>
  <c r="BT26" i="90" s="1"/>
  <c r="C26" i="90"/>
  <c r="BF26" i="90" s="1"/>
  <c r="BQ26" i="90" s="1"/>
  <c r="E26" i="90"/>
  <c r="BH26" i="90" s="1"/>
  <c r="BS26" i="90" s="1"/>
  <c r="F22" i="90"/>
  <c r="BI22" i="90" s="1"/>
  <c r="BT22" i="90" s="1"/>
  <c r="K10" i="90"/>
  <c r="BN10" i="90" s="1"/>
  <c r="I10" i="90"/>
  <c r="BL10" i="90" s="1"/>
  <c r="BW10" i="90" s="1"/>
  <c r="E10" i="90"/>
  <c r="BH10" i="90" s="1"/>
  <c r="BS10" i="90" s="1"/>
  <c r="D10" i="90"/>
  <c r="BG10" i="90" s="1"/>
  <c r="BR10" i="90" s="1"/>
  <c r="C10" i="90"/>
  <c r="BF10" i="90" s="1"/>
  <c r="BQ10" i="90" s="1"/>
  <c r="B10" i="90"/>
  <c r="BE10" i="90" s="1"/>
  <c r="BP10" i="90" s="1"/>
  <c r="C6" i="90"/>
  <c r="BF6" i="90" s="1"/>
  <c r="BQ6" i="90" s="1"/>
  <c r="J2" i="90"/>
  <c r="BM2" i="90" s="1"/>
  <c r="BX2" i="90" s="1"/>
  <c r="J28" i="90"/>
  <c r="BM28" i="90" s="1"/>
  <c r="BX28" i="90" s="1"/>
  <c r="I28" i="90"/>
  <c r="BL28" i="90" s="1"/>
  <c r="BW28" i="90" s="1"/>
  <c r="D28" i="90"/>
  <c r="BG28" i="90" s="1"/>
  <c r="BR28" i="90" s="1"/>
  <c r="C28" i="90"/>
  <c r="BF28" i="90" s="1"/>
  <c r="BQ28" i="90" s="1"/>
  <c r="D27" i="90"/>
  <c r="BG27" i="90" s="1"/>
  <c r="BR27" i="90" s="1"/>
  <c r="F11" i="90"/>
  <c r="BI11" i="90" s="1"/>
  <c r="BT11" i="90" s="1"/>
  <c r="F7" i="90"/>
  <c r="BI7" i="90" s="1"/>
  <c r="BT7" i="90" s="1"/>
  <c r="C3" i="90"/>
  <c r="BF3" i="90" s="1"/>
  <c r="BQ3" i="90" s="1"/>
  <c r="D26" i="90"/>
  <c r="BG26" i="90" s="1"/>
  <c r="BR26" i="90" s="1"/>
  <c r="F10" i="90"/>
  <c r="BI10" i="90" s="1"/>
  <c r="BT10" i="90" s="1"/>
  <c r="D6" i="90"/>
  <c r="BG6" i="90" s="1"/>
  <c r="BR6" i="90" s="1"/>
  <c r="I2" i="90"/>
  <c r="BL2" i="90" s="1"/>
  <c r="BW2" i="90" s="1"/>
  <c r="B30" i="90"/>
  <c r="BE30" i="90" s="1"/>
  <c r="BP30" i="90" s="1"/>
  <c r="B14" i="90"/>
  <c r="BE14" i="90" s="1"/>
  <c r="BP14" i="90" s="1"/>
  <c r="F14" i="90"/>
  <c r="BI14" i="90" s="1"/>
  <c r="BT14" i="90" s="1"/>
  <c r="I19" i="90"/>
  <c r="BL19" i="90" s="1"/>
  <c r="BW19" i="90" s="1"/>
  <c r="C15" i="90"/>
  <c r="BF15" i="90" s="1"/>
  <c r="BQ15" i="90" s="1"/>
  <c r="K30" i="90"/>
  <c r="BN30" i="90" s="1"/>
  <c r="K14" i="90"/>
  <c r="BN14" i="90" s="1"/>
  <c r="F2" i="90"/>
  <c r="BI2" i="90" s="1"/>
  <c r="BT2" i="90" s="1"/>
  <c r="D16" i="90"/>
  <c r="BG16" i="90" s="1"/>
  <c r="BR16" i="90" s="1"/>
  <c r="B20" i="90"/>
  <c r="BE20" i="90" s="1"/>
  <c r="BP20" i="90" s="1"/>
  <c r="F20" i="90"/>
  <c r="BI20" i="90" s="1"/>
  <c r="BT20" i="90" s="1"/>
  <c r="E15" i="90"/>
  <c r="BH15" i="90" s="1"/>
  <c r="BS15" i="90" s="1"/>
  <c r="D30" i="90"/>
  <c r="BG30" i="90" s="1"/>
  <c r="BR30" i="90" s="1"/>
  <c r="F30" i="90"/>
  <c r="BI30" i="90" s="1"/>
  <c r="BT30" i="90" s="1"/>
  <c r="E30" i="90"/>
  <c r="BH30" i="90" s="1"/>
  <c r="BS30" i="90" s="1"/>
  <c r="J18" i="90"/>
  <c r="BM18" i="90" s="1"/>
  <c r="BX18" i="90" s="1"/>
  <c r="I18" i="90"/>
  <c r="BL18" i="90" s="1"/>
  <c r="BW18" i="90" s="1"/>
  <c r="C14" i="90"/>
  <c r="BF14" i="90" s="1"/>
  <c r="BQ14" i="90" s="1"/>
  <c r="E14" i="90"/>
  <c r="BH14" i="90" s="1"/>
  <c r="BS14" i="90" s="1"/>
  <c r="D14" i="90"/>
  <c r="BG14" i="90" s="1"/>
  <c r="BR14" i="90" s="1"/>
  <c r="E6" i="90"/>
  <c r="BH6" i="90" s="1"/>
  <c r="BS6" i="90" s="1"/>
  <c r="C2" i="90"/>
  <c r="BF2" i="90" s="1"/>
  <c r="BQ2" i="90" s="1"/>
  <c r="E16" i="90"/>
  <c r="BH16" i="90" s="1"/>
  <c r="BS16" i="90" s="1"/>
  <c r="D3" i="90"/>
  <c r="BG3" i="90" s="1"/>
  <c r="BR3" i="90" s="1"/>
  <c r="K6" i="90"/>
  <c r="BN6" i="90" s="1"/>
  <c r="D2" i="90"/>
  <c r="BG2" i="90" s="1"/>
  <c r="BR2" i="90" s="1"/>
  <c r="K22" i="90"/>
  <c r="BN22" i="90" s="1"/>
  <c r="K28" i="90"/>
  <c r="BN28" i="90" s="1"/>
  <c r="K16" i="90"/>
  <c r="BN16" i="90" s="1"/>
  <c r="C11" i="90"/>
  <c r="BF11" i="90" s="1"/>
  <c r="BQ11" i="90" s="1"/>
  <c r="E11" i="90"/>
  <c r="BH11" i="90" s="1"/>
  <c r="BS11" i="90" s="1"/>
  <c r="B28" i="90"/>
  <c r="BE28" i="90" s="1"/>
  <c r="BP28" i="90" s="1"/>
  <c r="C27" i="90"/>
  <c r="BF27" i="90" s="1"/>
  <c r="BQ27" i="90" s="1"/>
  <c r="I11" i="90"/>
  <c r="BL11" i="90" s="1"/>
  <c r="BW11" i="90" s="1"/>
  <c r="C7" i="90"/>
  <c r="BF7" i="90" s="1"/>
  <c r="BQ7" i="90" s="1"/>
  <c r="K27" i="90"/>
  <c r="BN27" i="90" s="1"/>
  <c r="F4" i="90"/>
  <c r="BI4" i="90" s="1"/>
  <c r="BT4" i="90" s="1"/>
  <c r="J4" i="90"/>
  <c r="BM4" i="90" s="1"/>
  <c r="BX4" i="90" s="1"/>
  <c r="E27" i="90"/>
  <c r="BH27" i="90" s="1"/>
  <c r="BS27" i="90" s="1"/>
  <c r="K11" i="90"/>
  <c r="BN11" i="90" s="1"/>
  <c r="K3" i="90"/>
  <c r="BN3" i="90" s="1"/>
  <c r="K20" i="90"/>
  <c r="BN20" i="90" s="1"/>
  <c r="B11" i="90"/>
  <c r="BE11" i="90" s="1"/>
  <c r="BP11" i="90" s="1"/>
  <c r="J7" i="90"/>
  <c r="BM7" i="90" s="1"/>
  <c r="BX7" i="90" s="1"/>
  <c r="C23" i="90"/>
  <c r="BF23" i="90" s="1"/>
  <c r="BQ23" i="90" s="1"/>
  <c r="E28" i="90"/>
  <c r="BH28" i="90" s="1"/>
  <c r="BS28" i="90" s="1"/>
  <c r="F28" i="90"/>
  <c r="BI28" i="90" s="1"/>
  <c r="BT28" i="90" s="1"/>
  <c r="E12" i="90"/>
  <c r="BH12" i="90" s="1"/>
  <c r="BS12" i="90" s="1"/>
  <c r="E4" i="90"/>
  <c r="BH4" i="90" s="1"/>
  <c r="BS4" i="90" s="1"/>
  <c r="E20" i="90"/>
  <c r="BH20" i="90" s="1"/>
  <c r="BS20" i="90" s="1"/>
  <c r="K18" i="90"/>
  <c r="BN18" i="90" s="1"/>
  <c r="D20" i="90"/>
  <c r="BG20" i="90" s="1"/>
  <c r="BR20" i="90" s="1"/>
  <c r="J16" i="90"/>
  <c r="BM16" i="90" s="1"/>
  <c r="BX16" i="90" s="1"/>
  <c r="K15" i="90"/>
  <c r="BN15" i="90" s="1"/>
  <c r="I20" i="90"/>
  <c r="BL20" i="90" s="1"/>
  <c r="BW20" i="90" s="1"/>
  <c r="C16" i="90"/>
  <c r="BF16" i="90" s="1"/>
  <c r="BQ16" i="90" s="1"/>
  <c r="K12" i="90"/>
  <c r="BN12" i="90" s="1"/>
  <c r="B4" i="90"/>
  <c r="BE4" i="90" s="1"/>
  <c r="BP4" i="90" s="1"/>
  <c r="K4" i="90"/>
  <c r="BN4" i="90" s="1"/>
  <c r="K8" i="90"/>
  <c r="BN8" i="90" s="1"/>
  <c r="C4" i="90"/>
  <c r="BF4" i="90" s="1"/>
  <c r="BQ4" i="90" s="1"/>
  <c r="F12" i="90"/>
  <c r="BI12" i="90" s="1"/>
  <c r="BT12" i="90" s="1"/>
  <c r="F8" i="90"/>
  <c r="BI8" i="90" s="1"/>
  <c r="BT8" i="90" s="1"/>
  <c r="C8" i="90"/>
  <c r="BF8" i="90" s="1"/>
  <c r="BQ8" i="90" s="1"/>
  <c r="D4" i="90"/>
  <c r="BG4" i="90" s="1"/>
  <c r="BR4" i="90" s="1"/>
  <c r="C24" i="90"/>
  <c r="BF24" i="90" s="1"/>
  <c r="BQ24" i="90" s="1"/>
  <c r="B12" i="90"/>
  <c r="BE12" i="90" s="1"/>
  <c r="BP12" i="90" s="1"/>
  <c r="I12" i="90"/>
  <c r="BL12" i="90" s="1"/>
  <c r="BW12" i="90" s="1"/>
  <c r="J20" i="90"/>
  <c r="BM20" i="90" s="1"/>
  <c r="BX20" i="90" s="1"/>
  <c r="B16" i="90"/>
  <c r="BE16" i="90" s="1"/>
  <c r="BP16" i="90" s="1"/>
  <c r="B19" i="90"/>
  <c r="BE19" i="90" s="1"/>
  <c r="BP19" i="90" s="1"/>
  <c r="B24" i="90"/>
  <c r="BE24" i="90" s="1"/>
  <c r="BP24" i="90" s="1"/>
  <c r="F24" i="90"/>
  <c r="BI24" i="90" s="1"/>
  <c r="BT24" i="90" s="1"/>
  <c r="D24" i="90"/>
  <c r="BG24" i="90" s="1"/>
  <c r="BR24" i="90" s="1"/>
  <c r="E24" i="90"/>
  <c r="BH24" i="90" s="1"/>
  <c r="BS24" i="90" s="1"/>
  <c r="B8" i="90"/>
  <c r="BE8" i="90" s="1"/>
  <c r="BP8" i="90" s="1"/>
  <c r="C12" i="90"/>
  <c r="BF12" i="90" s="1"/>
  <c r="BQ12" i="90" s="1"/>
  <c r="J24" i="90"/>
  <c r="BM24" i="90" s="1"/>
  <c r="BX24" i="90" s="1"/>
  <c r="I24" i="90"/>
  <c r="BL24" i="90" s="1"/>
  <c r="BW24" i="90" s="1"/>
  <c r="I8" i="90"/>
  <c r="BL8" i="90" s="1"/>
  <c r="BW8" i="90" s="1"/>
  <c r="D8" i="90"/>
  <c r="BG8" i="90" s="1"/>
  <c r="BR8" i="90" s="1"/>
  <c r="E8" i="90"/>
  <c r="BH8" i="90" s="1"/>
  <c r="BS8" i="90" s="1"/>
  <c r="C28" i="89"/>
  <c r="BF28" i="89" s="1"/>
  <c r="BQ28" i="89" s="1"/>
  <c r="I28" i="89"/>
  <c r="BL28" i="89" s="1"/>
  <c r="BW28" i="89" s="1"/>
  <c r="K24" i="89"/>
  <c r="BN24" i="89" s="1"/>
  <c r="E24" i="89"/>
  <c r="BH24" i="89" s="1"/>
  <c r="BS24" i="89" s="1"/>
  <c r="D16" i="89"/>
  <c r="BG16" i="89" s="1"/>
  <c r="BR16" i="89" s="1"/>
  <c r="C12" i="89"/>
  <c r="BF12" i="89" s="1"/>
  <c r="BQ12" i="89" s="1"/>
  <c r="I12" i="89"/>
  <c r="BL12" i="89" s="1"/>
  <c r="BW12" i="89" s="1"/>
  <c r="E12" i="89"/>
  <c r="BH12" i="89" s="1"/>
  <c r="BS12" i="89" s="1"/>
  <c r="E8" i="89"/>
  <c r="BH8" i="89" s="1"/>
  <c r="BS8" i="89" s="1"/>
  <c r="D28" i="89"/>
  <c r="BG28" i="89" s="1"/>
  <c r="BR28" i="89" s="1"/>
  <c r="B28" i="89"/>
  <c r="BE28" i="89" s="1"/>
  <c r="BP28" i="89" s="1"/>
  <c r="J24" i="89"/>
  <c r="BM24" i="89" s="1"/>
  <c r="BX24" i="89" s="1"/>
  <c r="F24" i="89"/>
  <c r="BI24" i="89" s="1"/>
  <c r="BT24" i="89" s="1"/>
  <c r="J20" i="89"/>
  <c r="BM20" i="89" s="1"/>
  <c r="BX20" i="89" s="1"/>
  <c r="K16" i="89"/>
  <c r="BN16" i="89" s="1"/>
  <c r="J12" i="89"/>
  <c r="BM12" i="89" s="1"/>
  <c r="BX12" i="89" s="1"/>
  <c r="D8" i="89"/>
  <c r="BG8" i="89" s="1"/>
  <c r="BR8" i="89" s="1"/>
  <c r="E28" i="89"/>
  <c r="BH28" i="89" s="1"/>
  <c r="BS28" i="89" s="1"/>
  <c r="J28" i="89"/>
  <c r="BM28" i="89" s="1"/>
  <c r="BX28" i="89" s="1"/>
  <c r="K28" i="89"/>
  <c r="BN28" i="89" s="1"/>
  <c r="I24" i="89"/>
  <c r="BL24" i="89" s="1"/>
  <c r="BW24" i="89" s="1"/>
  <c r="I20" i="89"/>
  <c r="BL20" i="89" s="1"/>
  <c r="BW20" i="89" s="1"/>
  <c r="E20" i="89"/>
  <c r="BH20" i="89" s="1"/>
  <c r="BS20" i="89" s="1"/>
  <c r="F16" i="89"/>
  <c r="BI16" i="89" s="1"/>
  <c r="BT16" i="89" s="1"/>
  <c r="C8" i="89"/>
  <c r="BF8" i="89" s="1"/>
  <c r="BQ8" i="89" s="1"/>
  <c r="F8" i="89"/>
  <c r="BI8" i="89" s="1"/>
  <c r="BT8" i="89" s="1"/>
  <c r="K20" i="89"/>
  <c r="BN20" i="89" s="1"/>
  <c r="C16" i="89"/>
  <c r="BF16" i="89" s="1"/>
  <c r="BQ16" i="89" s="1"/>
  <c r="D12" i="89"/>
  <c r="BG12" i="89" s="1"/>
  <c r="BR12" i="89" s="1"/>
  <c r="J8" i="89"/>
  <c r="BM8" i="89" s="1"/>
  <c r="BX8" i="89" s="1"/>
  <c r="K8" i="89"/>
  <c r="BN8" i="89" s="1"/>
  <c r="B16" i="89"/>
  <c r="BE16" i="89" s="1"/>
  <c r="BP16" i="89" s="1"/>
  <c r="F12" i="89"/>
  <c r="BI12" i="89" s="1"/>
  <c r="BT12" i="89" s="1"/>
  <c r="B8" i="89"/>
  <c r="BE8" i="89" s="1"/>
  <c r="BP8" i="89" s="1"/>
  <c r="E27" i="89"/>
  <c r="BH27" i="89" s="1"/>
  <c r="BS27" i="89" s="1"/>
  <c r="C27" i="89"/>
  <c r="BF27" i="89" s="1"/>
  <c r="BQ27" i="89" s="1"/>
  <c r="E23" i="89"/>
  <c r="BH23" i="89" s="1"/>
  <c r="BS23" i="89" s="1"/>
  <c r="E19" i="89"/>
  <c r="BH19" i="89" s="1"/>
  <c r="BS19" i="89" s="1"/>
  <c r="B15" i="89"/>
  <c r="BE15" i="89" s="1"/>
  <c r="BP15" i="89" s="1"/>
  <c r="D11" i="89"/>
  <c r="BG11" i="89" s="1"/>
  <c r="BR11" i="89" s="1"/>
  <c r="F7" i="89"/>
  <c r="BI7" i="89" s="1"/>
  <c r="BT7" i="89" s="1"/>
  <c r="D24" i="89"/>
  <c r="BG24" i="89" s="1"/>
  <c r="BR24" i="89" s="1"/>
  <c r="C20" i="89"/>
  <c r="BF20" i="89" s="1"/>
  <c r="BQ20" i="89" s="1"/>
  <c r="D20" i="89"/>
  <c r="BG20" i="89" s="1"/>
  <c r="BR20" i="89" s="1"/>
  <c r="C24" i="89"/>
  <c r="BF24" i="89" s="1"/>
  <c r="BQ24" i="89" s="1"/>
  <c r="B20" i="89"/>
  <c r="BE20" i="89" s="1"/>
  <c r="BP20" i="89" s="1"/>
  <c r="E16" i="89"/>
  <c r="BH16" i="89" s="1"/>
  <c r="BS16" i="89" s="1"/>
  <c r="I16" i="89"/>
  <c r="BL16" i="89" s="1"/>
  <c r="BW16" i="89" s="1"/>
  <c r="B12" i="89"/>
  <c r="BE12" i="89" s="1"/>
  <c r="BP12" i="89" s="1"/>
  <c r="F28" i="89"/>
  <c r="BI28" i="89" s="1"/>
  <c r="BT28" i="89" s="1"/>
  <c r="B24" i="89"/>
  <c r="BE24" i="89" s="1"/>
  <c r="BP24" i="89" s="1"/>
  <c r="F20" i="89"/>
  <c r="BI20" i="89" s="1"/>
  <c r="BT20" i="89" s="1"/>
  <c r="J16" i="89"/>
  <c r="BM16" i="89" s="1"/>
  <c r="BX16" i="89" s="1"/>
  <c r="K12" i="89"/>
  <c r="BN12" i="89" s="1"/>
  <c r="J30" i="89"/>
  <c r="BM30" i="89" s="1"/>
  <c r="BX30" i="89" s="1"/>
  <c r="B26" i="89"/>
  <c r="BE26" i="89" s="1"/>
  <c r="BP26" i="89" s="1"/>
  <c r="F22" i="89"/>
  <c r="BI22" i="89" s="1"/>
  <c r="BT22" i="89" s="1"/>
  <c r="F14" i="89"/>
  <c r="BI14" i="89" s="1"/>
  <c r="BT14" i="89" s="1"/>
  <c r="K14" i="89"/>
  <c r="BN14" i="89" s="1"/>
  <c r="I10" i="89"/>
  <c r="BL10" i="89" s="1"/>
  <c r="BW10" i="89" s="1"/>
  <c r="C10" i="89"/>
  <c r="BF10" i="89" s="1"/>
  <c r="BQ10" i="89" s="1"/>
  <c r="J21" i="90"/>
  <c r="BM21" i="90" s="1"/>
  <c r="BX21" i="90" s="1"/>
  <c r="I21" i="90"/>
  <c r="BL21" i="90" s="1"/>
  <c r="BW21" i="90" s="1"/>
  <c r="F21" i="90"/>
  <c r="BI21" i="90" s="1"/>
  <c r="BT21" i="90" s="1"/>
  <c r="C17" i="90"/>
  <c r="BF17" i="90" s="1"/>
  <c r="BQ17" i="90" s="1"/>
  <c r="E17" i="90"/>
  <c r="BH17" i="90" s="1"/>
  <c r="BS17" i="90" s="1"/>
  <c r="B5" i="90"/>
  <c r="BE5" i="90" s="1"/>
  <c r="BP5" i="90" s="1"/>
  <c r="J2" i="89"/>
  <c r="BM2" i="89" s="1"/>
  <c r="BX2" i="89" s="1"/>
  <c r="K2" i="89"/>
  <c r="BN2" i="89" s="1"/>
  <c r="F2" i="89"/>
  <c r="BI2" i="89" s="1"/>
  <c r="BT2" i="89" s="1"/>
  <c r="B25" i="89"/>
  <c r="BE25" i="89" s="1"/>
  <c r="BP25" i="89" s="1"/>
  <c r="J21" i="89"/>
  <c r="BM21" i="89" s="1"/>
  <c r="BX21" i="89" s="1"/>
  <c r="F13" i="89"/>
  <c r="BI13" i="89" s="1"/>
  <c r="BT13" i="89" s="1"/>
  <c r="B9" i="89"/>
  <c r="BE9" i="89" s="1"/>
  <c r="BP9" i="89" s="1"/>
  <c r="C9" i="89"/>
  <c r="BF9" i="89" s="1"/>
  <c r="BQ9" i="89" s="1"/>
  <c r="C5" i="89"/>
  <c r="BF5" i="89" s="1"/>
  <c r="BQ5" i="89" s="1"/>
  <c r="E4" i="89"/>
  <c r="BH4" i="89" s="1"/>
  <c r="BS4" i="89" s="1"/>
  <c r="J4" i="89"/>
  <c r="BM4" i="89" s="1"/>
  <c r="BX4" i="89" s="1"/>
  <c r="D27" i="89"/>
  <c r="BG27" i="89" s="1"/>
  <c r="BR27" i="89" s="1"/>
  <c r="C23" i="89"/>
  <c r="BF23" i="89" s="1"/>
  <c r="BQ23" i="89" s="1"/>
  <c r="J23" i="89"/>
  <c r="BM23" i="89" s="1"/>
  <c r="BX23" i="89" s="1"/>
  <c r="F23" i="89"/>
  <c r="BI23" i="89" s="1"/>
  <c r="BT23" i="89" s="1"/>
  <c r="C19" i="89"/>
  <c r="BF19" i="89" s="1"/>
  <c r="BQ19" i="89" s="1"/>
  <c r="C15" i="89"/>
  <c r="BF15" i="89" s="1"/>
  <c r="BQ15" i="89" s="1"/>
  <c r="K11" i="89"/>
  <c r="BN11" i="89" s="1"/>
  <c r="D3" i="89"/>
  <c r="BG3" i="89" s="1"/>
  <c r="BR3" i="89" s="1"/>
  <c r="E2" i="89"/>
  <c r="BH2" i="89" s="1"/>
  <c r="BS2" i="89" s="1"/>
  <c r="B2" i="89"/>
  <c r="BE2" i="89" s="1"/>
  <c r="BP2" i="89" s="1"/>
  <c r="B30" i="89"/>
  <c r="BE30" i="89" s="1"/>
  <c r="BP30" i="89" s="1"/>
  <c r="E26" i="89"/>
  <c r="BH26" i="89" s="1"/>
  <c r="BS26" i="89" s="1"/>
  <c r="K26" i="89"/>
  <c r="BN26" i="89" s="1"/>
  <c r="I26" i="89"/>
  <c r="BL26" i="89" s="1"/>
  <c r="BW26" i="89" s="1"/>
  <c r="K18" i="89"/>
  <c r="BN18" i="89" s="1"/>
  <c r="C18" i="89"/>
  <c r="BF18" i="89" s="1"/>
  <c r="BQ18" i="89" s="1"/>
  <c r="I14" i="89"/>
  <c r="BL14" i="89" s="1"/>
  <c r="BW14" i="89" s="1"/>
  <c r="C14" i="89"/>
  <c r="BF14" i="89" s="1"/>
  <c r="BQ14" i="89" s="1"/>
  <c r="E14" i="89"/>
  <c r="BH14" i="89" s="1"/>
  <c r="BS14" i="89" s="1"/>
  <c r="B10" i="89"/>
  <c r="BE10" i="89" s="1"/>
  <c r="BP10" i="89" s="1"/>
  <c r="E6" i="89"/>
  <c r="BH6" i="89" s="1"/>
  <c r="BS6" i="89" s="1"/>
  <c r="K21" i="90"/>
  <c r="BN21" i="90" s="1"/>
  <c r="K5" i="90"/>
  <c r="BN5" i="90" s="1"/>
  <c r="J5" i="90"/>
  <c r="BM5" i="90" s="1"/>
  <c r="BX5" i="90" s="1"/>
  <c r="I5" i="90"/>
  <c r="BL5" i="90" s="1"/>
  <c r="BW5" i="90" s="1"/>
  <c r="D29" i="89"/>
  <c r="BG29" i="89" s="1"/>
  <c r="BR29" i="89" s="1"/>
  <c r="K29" i="89"/>
  <c r="BN29" i="89" s="1"/>
  <c r="C29" i="89"/>
  <c r="BF29" i="89" s="1"/>
  <c r="BQ29" i="89" s="1"/>
  <c r="D25" i="89"/>
  <c r="BG25" i="89" s="1"/>
  <c r="BR25" i="89" s="1"/>
  <c r="E21" i="89"/>
  <c r="BH21" i="89" s="1"/>
  <c r="BS21" i="89" s="1"/>
  <c r="C13" i="89"/>
  <c r="BF13" i="89" s="1"/>
  <c r="BQ13" i="89" s="1"/>
  <c r="F9" i="89"/>
  <c r="BI9" i="89" s="1"/>
  <c r="BT9" i="89" s="1"/>
  <c r="I9" i="89"/>
  <c r="BL9" i="89" s="1"/>
  <c r="BW9" i="89" s="1"/>
  <c r="I8" i="89"/>
  <c r="BL8" i="89" s="1"/>
  <c r="BW8" i="89" s="1"/>
  <c r="B15" i="90"/>
  <c r="BE15" i="90" s="1"/>
  <c r="BP15" i="90" s="1"/>
  <c r="J11" i="90"/>
  <c r="BM11" i="90" s="1"/>
  <c r="BX11" i="90" s="1"/>
  <c r="F27" i="89"/>
  <c r="BI27" i="89" s="1"/>
  <c r="BT27" i="89" s="1"/>
  <c r="B23" i="89"/>
  <c r="BE23" i="89" s="1"/>
  <c r="BP23" i="89" s="1"/>
  <c r="J19" i="89"/>
  <c r="BM19" i="89" s="1"/>
  <c r="BX19" i="89" s="1"/>
  <c r="D15" i="89"/>
  <c r="BG15" i="89" s="1"/>
  <c r="BR15" i="89" s="1"/>
  <c r="J15" i="89"/>
  <c r="BM15" i="89" s="1"/>
  <c r="BX15" i="89" s="1"/>
  <c r="J7" i="89"/>
  <c r="BM7" i="89" s="1"/>
  <c r="BX7" i="89" s="1"/>
  <c r="D2" i="89"/>
  <c r="BG2" i="89" s="1"/>
  <c r="BR2" i="89" s="1"/>
  <c r="C30" i="89"/>
  <c r="BF30" i="89" s="1"/>
  <c r="BQ30" i="89" s="1"/>
  <c r="D30" i="89"/>
  <c r="BG30" i="89" s="1"/>
  <c r="BR30" i="89" s="1"/>
  <c r="E30" i="89"/>
  <c r="BH30" i="89" s="1"/>
  <c r="BS30" i="89" s="1"/>
  <c r="J22" i="89"/>
  <c r="BM22" i="89" s="1"/>
  <c r="BX22" i="89" s="1"/>
  <c r="F18" i="89"/>
  <c r="BI18" i="89" s="1"/>
  <c r="BT18" i="89" s="1"/>
  <c r="J14" i="89"/>
  <c r="BM14" i="89" s="1"/>
  <c r="BX14" i="89" s="1"/>
  <c r="E10" i="89"/>
  <c r="BH10" i="89" s="1"/>
  <c r="BS10" i="89" s="1"/>
  <c r="J6" i="89"/>
  <c r="BM6" i="89" s="1"/>
  <c r="BX6" i="89" s="1"/>
  <c r="I6" i="89"/>
  <c r="BL6" i="89" s="1"/>
  <c r="BW6" i="89" s="1"/>
  <c r="J25" i="90"/>
  <c r="BM25" i="90" s="1"/>
  <c r="BX25" i="90" s="1"/>
  <c r="E21" i="90"/>
  <c r="BH21" i="90" s="1"/>
  <c r="BS21" i="90" s="1"/>
  <c r="D21" i="90"/>
  <c r="BG21" i="90" s="1"/>
  <c r="BR21" i="90" s="1"/>
  <c r="C21" i="90"/>
  <c r="BF21" i="90" s="1"/>
  <c r="BQ21" i="90" s="1"/>
  <c r="B21" i="90"/>
  <c r="BE21" i="90" s="1"/>
  <c r="BP21" i="90" s="1"/>
  <c r="J9" i="90"/>
  <c r="BM9" i="90" s="1"/>
  <c r="BX9" i="90" s="1"/>
  <c r="C5" i="90"/>
  <c r="BF5" i="90" s="1"/>
  <c r="BQ5" i="90" s="1"/>
  <c r="F5" i="90"/>
  <c r="BI5" i="90" s="1"/>
  <c r="BT5" i="90" s="1"/>
  <c r="E5" i="90"/>
  <c r="BH5" i="90" s="1"/>
  <c r="BS5" i="90" s="1"/>
  <c r="D5" i="90"/>
  <c r="BG5" i="90" s="1"/>
  <c r="BR5" i="90" s="1"/>
  <c r="E25" i="89"/>
  <c r="BH25" i="89" s="1"/>
  <c r="BS25" i="89" s="1"/>
  <c r="F25" i="89"/>
  <c r="BI25" i="89" s="1"/>
  <c r="BT25" i="89" s="1"/>
  <c r="B21" i="89"/>
  <c r="BE21" i="89" s="1"/>
  <c r="BP21" i="89" s="1"/>
  <c r="F21" i="89"/>
  <c r="BI21" i="89" s="1"/>
  <c r="BT21" i="89" s="1"/>
  <c r="D9" i="89"/>
  <c r="BG9" i="89" s="1"/>
  <c r="BR9" i="89" s="1"/>
  <c r="J9" i="89"/>
  <c r="BM9" i="89" s="1"/>
  <c r="BX9" i="89" s="1"/>
  <c r="I5" i="89"/>
  <c r="BL5" i="89" s="1"/>
  <c r="BW5" i="89" s="1"/>
  <c r="E5" i="89"/>
  <c r="BH5" i="89" s="1"/>
  <c r="BS5" i="89" s="1"/>
  <c r="F4" i="89"/>
  <c r="BI4" i="89" s="1"/>
  <c r="BT4" i="89" s="1"/>
  <c r="B7" i="90"/>
  <c r="BE7" i="90" s="1"/>
  <c r="BP7" i="90" s="1"/>
  <c r="I23" i="89"/>
  <c r="BL23" i="89" s="1"/>
  <c r="BW23" i="89" s="1"/>
  <c r="B19" i="89"/>
  <c r="BE19" i="89" s="1"/>
  <c r="BP19" i="89" s="1"/>
  <c r="K19" i="89"/>
  <c r="BN19" i="89" s="1"/>
  <c r="I15" i="89"/>
  <c r="BL15" i="89" s="1"/>
  <c r="BW15" i="89" s="1"/>
  <c r="F11" i="89"/>
  <c r="BI11" i="89" s="1"/>
  <c r="BT11" i="89" s="1"/>
  <c r="I7" i="89"/>
  <c r="BL7" i="89" s="1"/>
  <c r="BW7" i="89" s="1"/>
  <c r="E3" i="89"/>
  <c r="BH3" i="89" s="1"/>
  <c r="BS3" i="89" s="1"/>
  <c r="B3" i="89"/>
  <c r="BE3" i="89" s="1"/>
  <c r="BP3" i="89" s="1"/>
  <c r="F3" i="89"/>
  <c r="BI3" i="89" s="1"/>
  <c r="BT3" i="89" s="1"/>
  <c r="I30" i="89"/>
  <c r="BL30" i="89" s="1"/>
  <c r="BW30" i="89" s="1"/>
  <c r="J26" i="89"/>
  <c r="BM26" i="89" s="1"/>
  <c r="BX26" i="89" s="1"/>
  <c r="K22" i="89"/>
  <c r="BN22" i="89" s="1"/>
  <c r="B18" i="89"/>
  <c r="BE18" i="89" s="1"/>
  <c r="BP18" i="89" s="1"/>
  <c r="D14" i="89"/>
  <c r="BG14" i="89" s="1"/>
  <c r="BR14" i="89" s="1"/>
  <c r="B6" i="89"/>
  <c r="BE6" i="89" s="1"/>
  <c r="BP6" i="89" s="1"/>
  <c r="K25" i="90"/>
  <c r="BN25" i="90" s="1"/>
  <c r="K9" i="90"/>
  <c r="BN9" i="90" s="1"/>
  <c r="B29" i="89"/>
  <c r="BE29" i="89" s="1"/>
  <c r="BP29" i="89" s="1"/>
  <c r="K25" i="89"/>
  <c r="BN25" i="89" s="1"/>
  <c r="C25" i="89"/>
  <c r="BF25" i="89" s="1"/>
  <c r="BQ25" i="89" s="1"/>
  <c r="J25" i="89"/>
  <c r="BM25" i="89" s="1"/>
  <c r="BX25" i="89" s="1"/>
  <c r="C21" i="89"/>
  <c r="BF21" i="89" s="1"/>
  <c r="BQ21" i="89" s="1"/>
  <c r="D17" i="89"/>
  <c r="BG17" i="89" s="1"/>
  <c r="BR17" i="89" s="1"/>
  <c r="C17" i="89"/>
  <c r="BF17" i="89" s="1"/>
  <c r="BQ17" i="89" s="1"/>
  <c r="E13" i="89"/>
  <c r="BH13" i="89" s="1"/>
  <c r="BS13" i="89" s="1"/>
  <c r="I13" i="89"/>
  <c r="BL13" i="89" s="1"/>
  <c r="BW13" i="89" s="1"/>
  <c r="F5" i="89"/>
  <c r="BI5" i="89" s="1"/>
  <c r="BT5" i="89" s="1"/>
  <c r="J5" i="89"/>
  <c r="BM5" i="89" s="1"/>
  <c r="BX5" i="89" s="1"/>
  <c r="B4" i="89"/>
  <c r="BE4" i="89" s="1"/>
  <c r="BP4" i="89" s="1"/>
  <c r="F15" i="90"/>
  <c r="BI15" i="90" s="1"/>
  <c r="BT15" i="90" s="1"/>
  <c r="J27" i="89"/>
  <c r="BM27" i="89" s="1"/>
  <c r="BX27" i="89" s="1"/>
  <c r="F19" i="89"/>
  <c r="BI19" i="89" s="1"/>
  <c r="BT19" i="89" s="1"/>
  <c r="E15" i="89"/>
  <c r="BH15" i="89" s="1"/>
  <c r="BS15" i="89" s="1"/>
  <c r="C7" i="89"/>
  <c r="BF7" i="89" s="1"/>
  <c r="BQ7" i="89" s="1"/>
  <c r="K3" i="89"/>
  <c r="BN3" i="89" s="1"/>
  <c r="F30" i="89"/>
  <c r="BI30" i="89" s="1"/>
  <c r="BT30" i="89" s="1"/>
  <c r="C26" i="89"/>
  <c r="BF26" i="89" s="1"/>
  <c r="BQ26" i="89" s="1"/>
  <c r="C22" i="89"/>
  <c r="BF22" i="89" s="1"/>
  <c r="BQ22" i="89" s="1"/>
  <c r="D22" i="89"/>
  <c r="BG22" i="89" s="1"/>
  <c r="BR22" i="89" s="1"/>
  <c r="J18" i="89"/>
  <c r="BM18" i="89" s="1"/>
  <c r="BX18" i="89" s="1"/>
  <c r="J10" i="89"/>
  <c r="BM10" i="89" s="1"/>
  <c r="BX10" i="89" s="1"/>
  <c r="D6" i="89"/>
  <c r="BG6" i="89" s="1"/>
  <c r="BR6" i="89" s="1"/>
  <c r="J29" i="90"/>
  <c r="BM29" i="90" s="1"/>
  <c r="BX29" i="90" s="1"/>
  <c r="I29" i="90"/>
  <c r="BL29" i="90" s="1"/>
  <c r="BW29" i="90" s="1"/>
  <c r="F29" i="90"/>
  <c r="BI29" i="90" s="1"/>
  <c r="BT29" i="90" s="1"/>
  <c r="E29" i="90"/>
  <c r="BH29" i="90" s="1"/>
  <c r="BS29" i="90" s="1"/>
  <c r="D29" i="90"/>
  <c r="BG29" i="90" s="1"/>
  <c r="BR29" i="90" s="1"/>
  <c r="B29" i="90"/>
  <c r="BE29" i="90" s="1"/>
  <c r="BP29" i="90" s="1"/>
  <c r="C29" i="90"/>
  <c r="BF29" i="90" s="1"/>
  <c r="BQ29" i="90" s="1"/>
  <c r="I25" i="90"/>
  <c r="BL25" i="90" s="1"/>
  <c r="BW25" i="90" s="1"/>
  <c r="F25" i="90"/>
  <c r="BI25" i="90" s="1"/>
  <c r="BT25" i="90" s="1"/>
  <c r="D25" i="90"/>
  <c r="BG25" i="90" s="1"/>
  <c r="BR25" i="90" s="1"/>
  <c r="E25" i="90"/>
  <c r="BH25" i="90" s="1"/>
  <c r="BS25" i="90" s="1"/>
  <c r="B25" i="90"/>
  <c r="BE25" i="90" s="1"/>
  <c r="BP25" i="90" s="1"/>
  <c r="C25" i="90"/>
  <c r="BF25" i="90" s="1"/>
  <c r="BQ25" i="90" s="1"/>
  <c r="J13" i="90"/>
  <c r="BM13" i="90" s="1"/>
  <c r="BX13" i="90" s="1"/>
  <c r="I13" i="90"/>
  <c r="BL13" i="90" s="1"/>
  <c r="BW13" i="90" s="1"/>
  <c r="D13" i="90"/>
  <c r="BG13" i="90" s="1"/>
  <c r="BR13" i="90" s="1"/>
  <c r="B13" i="90"/>
  <c r="BE13" i="90" s="1"/>
  <c r="BP13" i="90" s="1"/>
  <c r="C13" i="90"/>
  <c r="BF13" i="90" s="1"/>
  <c r="BQ13" i="90" s="1"/>
  <c r="F13" i="90"/>
  <c r="BI13" i="90" s="1"/>
  <c r="BT13" i="90" s="1"/>
  <c r="E13" i="90"/>
  <c r="BH13" i="90" s="1"/>
  <c r="BS13" i="90" s="1"/>
  <c r="I9" i="90"/>
  <c r="BL9" i="90" s="1"/>
  <c r="BW9" i="90" s="1"/>
  <c r="B9" i="90"/>
  <c r="BE9" i="90" s="1"/>
  <c r="BP9" i="90" s="1"/>
  <c r="D9" i="90"/>
  <c r="BG9" i="90" s="1"/>
  <c r="BR9" i="90" s="1"/>
  <c r="F9" i="90"/>
  <c r="BI9" i="90" s="1"/>
  <c r="BT9" i="90" s="1"/>
  <c r="C9" i="90"/>
  <c r="BF9" i="90" s="1"/>
  <c r="BQ9" i="90" s="1"/>
  <c r="E9" i="90"/>
  <c r="BH9" i="90" s="1"/>
  <c r="BS9" i="90" s="1"/>
  <c r="F29" i="89"/>
  <c r="BI29" i="89" s="1"/>
  <c r="BT29" i="89" s="1"/>
  <c r="I29" i="89"/>
  <c r="BL29" i="89" s="1"/>
  <c r="BW29" i="89" s="1"/>
  <c r="I17" i="89"/>
  <c r="BL17" i="89" s="1"/>
  <c r="BW17" i="89" s="1"/>
  <c r="J17" i="89"/>
  <c r="BM17" i="89" s="1"/>
  <c r="BX17" i="89" s="1"/>
  <c r="E17" i="89"/>
  <c r="BH17" i="89" s="1"/>
  <c r="BS17" i="89" s="1"/>
  <c r="F17" i="89"/>
  <c r="BI17" i="89" s="1"/>
  <c r="BT17" i="89" s="1"/>
  <c r="B17" i="89"/>
  <c r="BE17" i="89" s="1"/>
  <c r="BP17" i="89" s="1"/>
  <c r="K17" i="89"/>
  <c r="BN17" i="89" s="1"/>
  <c r="E9" i="89"/>
  <c r="BH9" i="89" s="1"/>
  <c r="BS9" i="89" s="1"/>
  <c r="K5" i="89"/>
  <c r="BN5" i="89" s="1"/>
  <c r="I4" i="89"/>
  <c r="BL4" i="89" s="1"/>
  <c r="BW4" i="89" s="1"/>
  <c r="C4" i="89"/>
  <c r="BF4" i="89" s="1"/>
  <c r="BQ4" i="89" s="1"/>
  <c r="J27" i="90"/>
  <c r="BM27" i="90" s="1"/>
  <c r="BX27" i="90" s="1"/>
  <c r="B27" i="89"/>
  <c r="BE27" i="89" s="1"/>
  <c r="BP27" i="89" s="1"/>
  <c r="K23" i="89"/>
  <c r="BN23" i="89" s="1"/>
  <c r="K15" i="89"/>
  <c r="BN15" i="89" s="1"/>
  <c r="I11" i="89"/>
  <c r="BL11" i="89" s="1"/>
  <c r="BW11" i="89" s="1"/>
  <c r="B11" i="89"/>
  <c r="BE11" i="89" s="1"/>
  <c r="BP11" i="89" s="1"/>
  <c r="K7" i="89"/>
  <c r="BN7" i="89" s="1"/>
  <c r="B7" i="89"/>
  <c r="BE7" i="89" s="1"/>
  <c r="BP7" i="89" s="1"/>
  <c r="I3" i="89"/>
  <c r="BL3" i="89" s="1"/>
  <c r="BW3" i="89" s="1"/>
  <c r="E18" i="89"/>
  <c r="BH18" i="89" s="1"/>
  <c r="BS18" i="89" s="1"/>
  <c r="K10" i="89"/>
  <c r="BN10" i="89" s="1"/>
  <c r="K6" i="89"/>
  <c r="BN6" i="89" s="1"/>
  <c r="C2" i="89"/>
  <c r="BF2" i="89" s="1"/>
  <c r="BQ2" i="89" s="1"/>
  <c r="J29" i="89"/>
  <c r="BM29" i="89" s="1"/>
  <c r="BX29" i="89" s="1"/>
  <c r="I25" i="89"/>
  <c r="BL25" i="89" s="1"/>
  <c r="BW25" i="89" s="1"/>
  <c r="D21" i="89"/>
  <c r="BG21" i="89" s="1"/>
  <c r="BR21" i="89" s="1"/>
  <c r="J13" i="89"/>
  <c r="BM13" i="89" s="1"/>
  <c r="BX13" i="89" s="1"/>
  <c r="B13" i="89"/>
  <c r="BE13" i="89" s="1"/>
  <c r="BP13" i="89" s="1"/>
  <c r="D5" i="89"/>
  <c r="BG5" i="89" s="1"/>
  <c r="BR5" i="89" s="1"/>
  <c r="D4" i="89"/>
  <c r="BG4" i="89" s="1"/>
  <c r="BR4" i="89" s="1"/>
  <c r="K4" i="89"/>
  <c r="BN4" i="89" s="1"/>
  <c r="I2" i="89"/>
  <c r="BL2" i="89" s="1"/>
  <c r="BW2" i="89" s="1"/>
  <c r="I27" i="89"/>
  <c r="BL27" i="89" s="1"/>
  <c r="BW27" i="89" s="1"/>
  <c r="I19" i="89"/>
  <c r="BL19" i="89" s="1"/>
  <c r="BW19" i="89" s="1"/>
  <c r="C11" i="89"/>
  <c r="BF11" i="89" s="1"/>
  <c r="BQ11" i="89" s="1"/>
  <c r="J11" i="89"/>
  <c r="BM11" i="89" s="1"/>
  <c r="BX11" i="89" s="1"/>
  <c r="E7" i="89"/>
  <c r="BH7" i="89" s="1"/>
  <c r="BS7" i="89" s="1"/>
  <c r="C3" i="89"/>
  <c r="BF3" i="89" s="1"/>
  <c r="BQ3" i="89" s="1"/>
  <c r="K30" i="89"/>
  <c r="BN30" i="89" s="1"/>
  <c r="F26" i="89"/>
  <c r="BI26" i="89" s="1"/>
  <c r="BT26" i="89" s="1"/>
  <c r="I22" i="89"/>
  <c r="BL22" i="89" s="1"/>
  <c r="BW22" i="89" s="1"/>
  <c r="I18" i="89"/>
  <c r="BL18" i="89" s="1"/>
  <c r="BW18" i="89" s="1"/>
  <c r="F10" i="89"/>
  <c r="BI10" i="89" s="1"/>
  <c r="BT10" i="89" s="1"/>
  <c r="C6" i="89"/>
  <c r="BF6" i="89" s="1"/>
  <c r="BQ6" i="89" s="1"/>
  <c r="K29" i="90"/>
  <c r="BN29" i="90" s="1"/>
  <c r="J17" i="90"/>
  <c r="BM17" i="90" s="1"/>
  <c r="BX17" i="90" s="1"/>
  <c r="I17" i="90"/>
  <c r="BL17" i="90" s="1"/>
  <c r="BW17" i="90" s="1"/>
  <c r="B17" i="90"/>
  <c r="BE17" i="90" s="1"/>
  <c r="BP17" i="90" s="1"/>
  <c r="D17" i="90"/>
  <c r="BG17" i="90" s="1"/>
  <c r="BR17" i="90" s="1"/>
  <c r="F17" i="90"/>
  <c r="BI17" i="90" s="1"/>
  <c r="BT17" i="90" s="1"/>
  <c r="K13" i="90"/>
  <c r="BN13" i="90" s="1"/>
  <c r="D13" i="89"/>
  <c r="BG13" i="89" s="1"/>
  <c r="BR13" i="89" s="1"/>
  <c r="J15" i="90"/>
  <c r="BM15" i="90" s="1"/>
  <c r="BX15" i="90" s="1"/>
  <c r="B3" i="90"/>
  <c r="BE3" i="90" s="1"/>
  <c r="BP3" i="90" s="1"/>
  <c r="E3" i="90"/>
  <c r="BH3" i="90" s="1"/>
  <c r="BS3" i="90" s="1"/>
  <c r="K27" i="89"/>
  <c r="BN27" i="89" s="1"/>
  <c r="D23" i="89"/>
  <c r="BG23" i="89" s="1"/>
  <c r="BR23" i="89" s="1"/>
  <c r="D19" i="89"/>
  <c r="BG19" i="89" s="1"/>
  <c r="BR19" i="89" s="1"/>
  <c r="F15" i="89"/>
  <c r="BI15" i="89" s="1"/>
  <c r="BT15" i="89" s="1"/>
  <c r="E11" i="89"/>
  <c r="BH11" i="89" s="1"/>
  <c r="BS11" i="89" s="1"/>
  <c r="D7" i="89"/>
  <c r="BG7" i="89" s="1"/>
  <c r="BR7" i="89" s="1"/>
  <c r="J3" i="89"/>
  <c r="BM3" i="89" s="1"/>
  <c r="BX3" i="89" s="1"/>
  <c r="D26" i="89"/>
  <c r="BG26" i="89" s="1"/>
  <c r="BR26" i="89" s="1"/>
  <c r="B22" i="89"/>
  <c r="BE22" i="89" s="1"/>
  <c r="BP22" i="89" s="1"/>
  <c r="E22" i="89"/>
  <c r="BH22" i="89" s="1"/>
  <c r="BS22" i="89" s="1"/>
  <c r="D18" i="89"/>
  <c r="BG18" i="89" s="1"/>
  <c r="BR18" i="89" s="1"/>
  <c r="B14" i="89"/>
  <c r="BE14" i="89" s="1"/>
  <c r="BP14" i="89" s="1"/>
  <c r="D10" i="89"/>
  <c r="BG10" i="89" s="1"/>
  <c r="BR10" i="89" s="1"/>
  <c r="F6" i="89"/>
  <c r="BI6" i="89" s="1"/>
  <c r="BT6" i="89" s="1"/>
  <c r="K17" i="90"/>
  <c r="BN17" i="90" s="1"/>
  <c r="E29" i="89"/>
  <c r="BH29" i="89" s="1"/>
  <c r="BS29" i="89" s="1"/>
  <c r="I21" i="89"/>
  <c r="BL21" i="89" s="1"/>
  <c r="BW21" i="89" s="1"/>
  <c r="K21" i="89"/>
  <c r="BN21" i="89" s="1"/>
  <c r="K13" i="89"/>
  <c r="BN13" i="89" s="1"/>
  <c r="K9" i="89"/>
  <c r="BN9" i="89" s="1"/>
  <c r="B5" i="89"/>
  <c r="BE5" i="89" s="1"/>
  <c r="BP5" i="89" s="1"/>
  <c r="BY4" i="90" l="1"/>
  <c r="DA6" i="88"/>
  <c r="BY12" i="90"/>
  <c r="DA14" i="88"/>
  <c r="BY18" i="90"/>
  <c r="DA20" i="88"/>
  <c r="BY16" i="90"/>
  <c r="DA18" i="88"/>
  <c r="BY28" i="90"/>
  <c r="DA30" i="88"/>
  <c r="BY30" i="90"/>
  <c r="DA32" i="88"/>
  <c r="BY15" i="89"/>
  <c r="AO17" i="88"/>
  <c r="BY22" i="89"/>
  <c r="AO24" i="88"/>
  <c r="BY16" i="89"/>
  <c r="AO18" i="88"/>
  <c r="BY21" i="89"/>
  <c r="AO23" i="88"/>
  <c r="BY19" i="89"/>
  <c r="AO21" i="88"/>
  <c r="BY12" i="89"/>
  <c r="AO14" i="88"/>
  <c r="BY15" i="90"/>
  <c r="DA17" i="88"/>
  <c r="BY3" i="90"/>
  <c r="DA5" i="88"/>
  <c r="BY26" i="90"/>
  <c r="DA28" i="88"/>
  <c r="BY28" i="89"/>
  <c r="AO30" i="88"/>
  <c r="BY8" i="90"/>
  <c r="DA10" i="88"/>
  <c r="BY11" i="90"/>
  <c r="DA13" i="88"/>
  <c r="BY27" i="90"/>
  <c r="DA29" i="88"/>
  <c r="BY10" i="90"/>
  <c r="DA12" i="88"/>
  <c r="BY20" i="89"/>
  <c r="AO22" i="88"/>
  <c r="BY5" i="90"/>
  <c r="DA7" i="88"/>
  <c r="BY30" i="89"/>
  <c r="AO32" i="88"/>
  <c r="BY4" i="89"/>
  <c r="AO6" i="88"/>
  <c r="BY23" i="89"/>
  <c r="AO25" i="88"/>
  <c r="BY25" i="90"/>
  <c r="DA27" i="88"/>
  <c r="BY29" i="89"/>
  <c r="AO31" i="88"/>
  <c r="BY21" i="90"/>
  <c r="DA23" i="88"/>
  <c r="BY18" i="89"/>
  <c r="AO20" i="88"/>
  <c r="BY11" i="89"/>
  <c r="AO13" i="88"/>
  <c r="BY20" i="90"/>
  <c r="DA22" i="88"/>
  <c r="BY6" i="90"/>
  <c r="DA8" i="88"/>
  <c r="BY10" i="89"/>
  <c r="AO12" i="88"/>
  <c r="BY13" i="89"/>
  <c r="AO15" i="88"/>
  <c r="BY5" i="89"/>
  <c r="AO7" i="88"/>
  <c r="BY24" i="89"/>
  <c r="AO26" i="88"/>
  <c r="F19" i="90"/>
  <c r="BI19" i="90" s="1"/>
  <c r="BT19" i="90" s="1"/>
  <c r="F16" i="90"/>
  <c r="BI16" i="90" s="1"/>
  <c r="BT16" i="90" s="1"/>
  <c r="D11" i="90"/>
  <c r="BG11" i="90" s="1"/>
  <c r="BR11" i="90" s="1"/>
  <c r="F27" i="90"/>
  <c r="BI27" i="90" s="1"/>
  <c r="BT27" i="90" s="1"/>
  <c r="I27" i="90"/>
  <c r="BL27" i="90" s="1"/>
  <c r="BW27" i="90" s="1"/>
  <c r="F23" i="90"/>
  <c r="BI23" i="90" s="1"/>
  <c r="BT23" i="90" s="1"/>
  <c r="BY7" i="90"/>
  <c r="DA9" i="88"/>
  <c r="BY27" i="89"/>
  <c r="AO29" i="88"/>
  <c r="BY29" i="90"/>
  <c r="DA31" i="88"/>
  <c r="BY2" i="89"/>
  <c r="AO4" i="88"/>
  <c r="BY22" i="90"/>
  <c r="DA24" i="88"/>
  <c r="BY19" i="90"/>
  <c r="DA21" i="88"/>
  <c r="BY9" i="89"/>
  <c r="AO11" i="88"/>
  <c r="BY3" i="89"/>
  <c r="AO5" i="88"/>
  <c r="BY7" i="89"/>
  <c r="AO9" i="88"/>
  <c r="BY25" i="89"/>
  <c r="AO27" i="88"/>
  <c r="BY26" i="89"/>
  <c r="AO28" i="88"/>
  <c r="BY17" i="89"/>
  <c r="AO19" i="88"/>
  <c r="BY17" i="90"/>
  <c r="DA19" i="88"/>
  <c r="BY13" i="90"/>
  <c r="DA15" i="88"/>
  <c r="BY6" i="89"/>
  <c r="AO8" i="88"/>
  <c r="BY9" i="90"/>
  <c r="DA11" i="88"/>
  <c r="BY14" i="89"/>
  <c r="AO16" i="88"/>
  <c r="BY8" i="89"/>
  <c r="AO10" i="88"/>
  <c r="BY14" i="90"/>
  <c r="DA16" i="88"/>
  <c r="BY23" i="90"/>
  <c r="DA25" i="88"/>
  <c r="BY24" i="90"/>
  <c r="DA26" i="88"/>
  <c r="DI9" i="88" l="1"/>
  <c r="DJ9" i="88" s="1"/>
  <c r="DK9" i="88"/>
  <c r="DL9" i="88" s="1"/>
  <c r="AY17" i="88"/>
  <c r="AZ17" i="88" s="1"/>
  <c r="BA17" i="88"/>
  <c r="BB17" i="88" s="1"/>
  <c r="AY10" i="88"/>
  <c r="AZ10" i="88" s="1"/>
  <c r="BA10" i="88"/>
  <c r="BB10" i="88" s="1"/>
  <c r="DI15" i="88"/>
  <c r="DJ15" i="88" s="1"/>
  <c r="DK15" i="88"/>
  <c r="DL15" i="88" s="1"/>
  <c r="AY27" i="88"/>
  <c r="AZ27" i="88" s="1"/>
  <c r="BA27" i="88"/>
  <c r="BB27" i="88" s="1"/>
  <c r="DI21" i="88"/>
  <c r="DJ21" i="88" s="1"/>
  <c r="DK21" i="88"/>
  <c r="DL21" i="88" s="1"/>
  <c r="AY29" i="88"/>
  <c r="AZ29" i="88" s="1"/>
  <c r="BA29" i="88"/>
  <c r="BB29" i="88" s="1"/>
  <c r="AY26" i="88"/>
  <c r="AZ26" i="88" s="1"/>
  <c r="BA26" i="88"/>
  <c r="BB26" i="88" s="1"/>
  <c r="DI8" i="88"/>
  <c r="DJ8" i="88" s="1"/>
  <c r="DK8" i="88"/>
  <c r="DL8" i="88" s="1"/>
  <c r="DI23" i="88"/>
  <c r="DJ23" i="88" s="1"/>
  <c r="DK23" i="88"/>
  <c r="DL23" i="88" s="1"/>
  <c r="AY6" i="88"/>
  <c r="AZ6" i="88" s="1"/>
  <c r="BA6" i="88"/>
  <c r="BB6" i="88" s="1"/>
  <c r="DI12" i="88"/>
  <c r="DJ12" i="88" s="1"/>
  <c r="DK12" i="88"/>
  <c r="DL12" i="88" s="1"/>
  <c r="AY30" i="88"/>
  <c r="AZ30" i="88" s="1"/>
  <c r="BA30" i="88"/>
  <c r="BB30" i="88" s="1"/>
  <c r="AY14" i="88"/>
  <c r="AZ14" i="88" s="1"/>
  <c r="BA14" i="88"/>
  <c r="BB14" i="88" s="1"/>
  <c r="AY24" i="88"/>
  <c r="AZ24" i="88" s="1"/>
  <c r="BA24" i="88"/>
  <c r="BB24" i="88" s="1"/>
  <c r="DI18" i="88"/>
  <c r="DJ18" i="88" s="1"/>
  <c r="DK18" i="88"/>
  <c r="DL18" i="88" s="1"/>
  <c r="DI19" i="88"/>
  <c r="DJ19" i="88" s="1"/>
  <c r="DK19" i="88"/>
  <c r="DL19" i="88" s="1"/>
  <c r="AY32" i="88"/>
  <c r="AZ32" i="88" s="1"/>
  <c r="BA32" i="88"/>
  <c r="BB32" i="88" s="1"/>
  <c r="AY16" i="88"/>
  <c r="AZ16" i="88" s="1"/>
  <c r="BA16" i="88"/>
  <c r="BB16" i="88" s="1"/>
  <c r="AY7" i="88"/>
  <c r="AZ7" i="88" s="1"/>
  <c r="BA7" i="88"/>
  <c r="BB7" i="88" s="1"/>
  <c r="AY31" i="88"/>
  <c r="AZ31" i="88" s="1"/>
  <c r="BA31" i="88"/>
  <c r="BB31" i="88" s="1"/>
  <c r="DI20" i="88"/>
  <c r="DJ20" i="88" s="1"/>
  <c r="DK20" i="88"/>
  <c r="DL20" i="88" s="1"/>
  <c r="AY9" i="88"/>
  <c r="AZ9" i="88" s="1"/>
  <c r="BA9" i="88"/>
  <c r="BB9" i="88" s="1"/>
  <c r="DI28" i="88"/>
  <c r="DJ28" i="88" s="1"/>
  <c r="DK28" i="88"/>
  <c r="DL28" i="88" s="1"/>
  <c r="DI25" i="88"/>
  <c r="DJ25" i="88" s="1"/>
  <c r="DK25" i="88"/>
  <c r="DL25" i="88" s="1"/>
  <c r="DI11" i="88"/>
  <c r="DJ11" i="88" s="1"/>
  <c r="DK11" i="88"/>
  <c r="DL11" i="88" s="1"/>
  <c r="AY19" i="88"/>
  <c r="AZ19" i="88" s="1"/>
  <c r="BA19" i="88"/>
  <c r="BB19" i="88" s="1"/>
  <c r="AY5" i="88"/>
  <c r="AZ5" i="88" s="1"/>
  <c r="BA5" i="88"/>
  <c r="BB5" i="88" s="1"/>
  <c r="AY4" i="88"/>
  <c r="AZ4" i="88" s="1"/>
  <c r="BA4" i="88"/>
  <c r="BB4" i="88" s="1"/>
  <c r="AY15" i="88"/>
  <c r="AZ15" i="88" s="1"/>
  <c r="BA15" i="88"/>
  <c r="BB15" i="88" s="1"/>
  <c r="AY13" i="88"/>
  <c r="AZ13" i="88" s="1"/>
  <c r="BA13" i="88"/>
  <c r="BB13" i="88" s="1"/>
  <c r="DI27" i="88"/>
  <c r="DJ27" i="88" s="1"/>
  <c r="DK27" i="88"/>
  <c r="DL27" i="88" s="1"/>
  <c r="DI7" i="88"/>
  <c r="DJ7" i="88" s="1"/>
  <c r="DK7" i="88"/>
  <c r="DL7" i="88" s="1"/>
  <c r="DI13" i="88"/>
  <c r="DJ13" i="88" s="1"/>
  <c r="DK13" i="88"/>
  <c r="DL13" i="88" s="1"/>
  <c r="DI5" i="88"/>
  <c r="DJ5" i="88" s="1"/>
  <c r="DK5" i="88"/>
  <c r="DL5" i="88" s="1"/>
  <c r="AY23" i="88"/>
  <c r="AZ23" i="88" s="1"/>
  <c r="BA23" i="88"/>
  <c r="BB23" i="88" s="1"/>
  <c r="DI32" i="88"/>
  <c r="DJ32" i="88" s="1"/>
  <c r="DK32" i="88"/>
  <c r="DL32" i="88" s="1"/>
  <c r="DI14" i="88"/>
  <c r="DJ14" i="88" s="1"/>
  <c r="DK14" i="88"/>
  <c r="DL14" i="88" s="1"/>
  <c r="DI22" i="88"/>
  <c r="DJ22" i="88" s="1"/>
  <c r="DK22" i="88"/>
  <c r="DL22" i="88" s="1"/>
  <c r="DI24" i="88"/>
  <c r="DJ24" i="88" s="1"/>
  <c r="DK24" i="88"/>
  <c r="DL24" i="88" s="1"/>
  <c r="DI29" i="88"/>
  <c r="DJ29" i="88" s="1"/>
  <c r="DK29" i="88"/>
  <c r="DL29" i="88" s="1"/>
  <c r="DI16" i="88"/>
  <c r="DJ16" i="88" s="1"/>
  <c r="DK16" i="88"/>
  <c r="DL16" i="88" s="1"/>
  <c r="AY8" i="88"/>
  <c r="AZ8" i="88" s="1"/>
  <c r="BA8" i="88"/>
  <c r="BB8" i="88" s="1"/>
  <c r="AY28" i="88"/>
  <c r="AZ28" i="88" s="1"/>
  <c r="BA28" i="88"/>
  <c r="BB28" i="88" s="1"/>
  <c r="AY11" i="88"/>
  <c r="AZ11" i="88" s="1"/>
  <c r="BA11" i="88"/>
  <c r="BB11" i="88" s="1"/>
  <c r="DI31" i="88"/>
  <c r="DJ31" i="88" s="1"/>
  <c r="DK31" i="88"/>
  <c r="DL31" i="88" s="1"/>
  <c r="AY12" i="88"/>
  <c r="AZ12" i="88" s="1"/>
  <c r="BA12" i="88"/>
  <c r="BB12" i="88" s="1"/>
  <c r="AY20" i="88"/>
  <c r="AZ20" i="88" s="1"/>
  <c r="BA20" i="88"/>
  <c r="BB20" i="88" s="1"/>
  <c r="AY25" i="88"/>
  <c r="AZ25" i="88" s="1"/>
  <c r="BA25" i="88"/>
  <c r="BB25" i="88" s="1"/>
  <c r="AY22" i="88"/>
  <c r="AZ22" i="88" s="1"/>
  <c r="BA22" i="88"/>
  <c r="BB22" i="88" s="1"/>
  <c r="DI10" i="88"/>
  <c r="DJ10" i="88" s="1"/>
  <c r="DK10" i="88"/>
  <c r="DL10" i="88" s="1"/>
  <c r="DI17" i="88"/>
  <c r="DJ17" i="88" s="1"/>
  <c r="DK17" i="88"/>
  <c r="DL17" i="88" s="1"/>
  <c r="AY18" i="88"/>
  <c r="AZ18" i="88" s="1"/>
  <c r="BA18" i="88"/>
  <c r="BB18" i="88" s="1"/>
  <c r="DI30" i="88"/>
  <c r="DJ30" i="88" s="1"/>
  <c r="DK30" i="88"/>
  <c r="DL30" i="88" s="1"/>
  <c r="DI6" i="88"/>
  <c r="DJ6" i="88" s="1"/>
  <c r="DK6" i="88"/>
  <c r="DL6" i="88" s="1"/>
  <c r="DI26" i="88"/>
  <c r="DJ26" i="88" s="1"/>
  <c r="DK26" i="88"/>
  <c r="DL26" i="88" s="1"/>
  <c r="AY21" i="88"/>
  <c r="AZ21" i="88" s="1"/>
  <c r="BA21" i="88"/>
  <c r="BB21" i="88" s="1"/>
  <c r="BD31" i="84" a="1"/>
  <c r="CD41" i="84" a="1"/>
  <c r="AM29" i="84" a="1"/>
  <c r="AN28" i="84" a="1"/>
  <c r="AQ34" i="84" a="1"/>
  <c r="BP33" i="84" a="1"/>
  <c r="BN38" i="84" a="1"/>
  <c r="AZ31" i="84" a="1"/>
  <c r="BX33" i="84" a="1"/>
  <c r="BZ40" i="84" a="1"/>
  <c r="BB18" i="84" a="1"/>
  <c r="CF21" i="84" a="1"/>
  <c r="CF31" i="84" a="1"/>
  <c r="CF22" i="84" a="1"/>
  <c r="CF23" i="84" a="1"/>
  <c r="BZ27" i="84" a="1"/>
  <c r="BN37" i="84" a="1"/>
  <c r="AR21" i="84" a="1"/>
  <c r="CE34" i="84" a="1"/>
  <c r="BO23" i="84" a="1"/>
  <c r="AS16" i="84" a="1"/>
  <c r="AW27" i="84" a="1"/>
  <c r="BZ24" i="84" a="1"/>
  <c r="CE21" i="84" a="1"/>
  <c r="BT44" i="84" a="1"/>
  <c r="BO38" i="84" a="1"/>
  <c r="AP34" i="84" a="1"/>
  <c r="BK36" i="84" a="1"/>
  <c r="CA23" i="84" a="1"/>
  <c r="BR45" i="84" a="1"/>
  <c r="AS20" i="84" a="1"/>
  <c r="CL31" i="84" a="1"/>
  <c r="AX43" i="84" a="1"/>
  <c r="BP39" i="84" a="1"/>
  <c r="AL34" i="84" a="1"/>
  <c r="BP27" i="84" a="1"/>
  <c r="CE27" i="84" a="1"/>
  <c r="BT41" i="84" a="1"/>
  <c r="CG24" i="84" a="1"/>
  <c r="BS17" i="84" a="1"/>
  <c r="BY19" i="84" a="1"/>
  <c r="CF41" i="84" a="1"/>
  <c r="BS19" i="84" a="1"/>
  <c r="AR40" i="84" a="1"/>
  <c r="CG31" i="84" a="1"/>
  <c r="AM18" i="84" a="1"/>
  <c r="BI19" i="84" a="1"/>
  <c r="AL42" i="84" a="1"/>
  <c r="BL28" i="84" a="1"/>
  <c r="AR34" i="84" a="1"/>
  <c r="CE37" i="84" a="1"/>
  <c r="BH19" i="84" a="1"/>
  <c r="CD31" i="84" a="1"/>
  <c r="CI43" i="84" a="1"/>
  <c r="AO41" i="84" a="1"/>
  <c r="BZ29" i="84" a="1"/>
  <c r="CC42" i="84" a="1"/>
  <c r="AX22" i="84" a="1"/>
  <c r="BX41" i="84" a="1"/>
  <c r="BN27" i="84" a="1"/>
  <c r="AP40" i="84" a="1"/>
  <c r="AT21" i="84" a="1"/>
  <c r="BU29" i="84" a="1"/>
  <c r="BW26" i="84" a="1"/>
  <c r="AX16" i="84" a="1"/>
  <c r="BM41" i="84" a="1"/>
  <c r="BW25" i="84" a="1"/>
  <c r="BZ20" i="84" a="1"/>
  <c r="CC26" i="84" a="1"/>
  <c r="BJ36" i="84" a="1"/>
  <c r="AS32" i="84" a="1"/>
  <c r="BE40" i="84" a="1"/>
  <c r="BO25" i="84" a="1"/>
  <c r="BB25" i="84" a="1"/>
  <c r="BG44" i="84" a="1"/>
  <c r="BY37" i="84" a="1"/>
  <c r="BH16" i="84" a="1"/>
  <c r="BV42" i="84" a="1"/>
  <c r="AW23" i="84" a="1"/>
  <c r="BX25" i="84" a="1"/>
  <c r="BL42" i="84" a="1"/>
  <c r="BV28" i="84" a="1"/>
  <c r="AL37" i="84" a="1"/>
  <c r="BL18" i="84" a="1"/>
  <c r="CC20" i="84" a="1"/>
  <c r="BN32" i="84" a="1"/>
  <c r="AX21" i="84" a="1"/>
  <c r="BM29" i="84" a="1"/>
  <c r="BY34" i="84" a="1"/>
  <c r="AW32" i="84" a="1"/>
  <c r="CA29" i="84" a="1"/>
  <c r="BI34" i="84" a="1"/>
  <c r="CI23" i="84" a="1"/>
  <c r="AN19" i="84" a="1"/>
  <c r="AX34" i="84" a="1"/>
  <c r="AZ34" i="84" a="1"/>
  <c r="CE33" i="84" a="1"/>
  <c r="AW30" i="84" a="1"/>
  <c r="BX19" i="84" a="1"/>
  <c r="BP25" i="84" a="1"/>
  <c r="BP26" i="84" a="1"/>
  <c r="BK38" i="84" a="1"/>
  <c r="AW35" i="84" a="1"/>
  <c r="BO22" i="84" a="1"/>
  <c r="AM44" i="84" a="1"/>
  <c r="BK30" i="84" a="1"/>
  <c r="BG37" i="84" a="1"/>
  <c r="BH36" i="84" a="1"/>
  <c r="BU30" i="84" a="1"/>
  <c r="AV25" i="84" a="1"/>
  <c r="BS39" i="84" a="1"/>
  <c r="CD29" i="84" a="1"/>
  <c r="BN34" i="84" a="1"/>
  <c r="BP28" i="84" a="1"/>
  <c r="AY16" i="84" a="1"/>
  <c r="BA26" i="84" a="1"/>
  <c r="AY22" i="84" a="1"/>
  <c r="BN26" i="84" a="1"/>
  <c r="CK18" i="84" a="1"/>
  <c r="BL38" i="84" a="1"/>
  <c r="BD30" i="84" a="1"/>
  <c r="BB37" i="84" a="1"/>
  <c r="AN16" i="84" a="1"/>
  <c r="BL34" i="84" a="1"/>
  <c r="BX34" i="84" a="1"/>
  <c r="AO35" i="84" a="1"/>
  <c r="AZ26" i="84" a="1"/>
  <c r="BG32" i="84" a="1"/>
  <c r="AW21" i="84" a="1"/>
  <c r="AK25" i="84" a="1"/>
  <c r="CI42" i="84" a="1"/>
  <c r="BP45" i="84" a="1"/>
  <c r="AR22" i="84" a="1"/>
  <c r="AV17" i="84" a="1"/>
  <c r="CJ44" i="84" a="1"/>
  <c r="CK36" i="84" a="1"/>
  <c r="BI38" i="84" a="1"/>
  <c r="BH41" i="84" a="1"/>
  <c r="BK26" i="84" a="1"/>
  <c r="CA39" i="84" a="1"/>
  <c r="BD19" i="84" a="1"/>
  <c r="BM21" i="84" a="1"/>
  <c r="CD33" i="84" a="1"/>
  <c r="BL25" i="84" a="1"/>
  <c r="BS28" i="84" a="1"/>
  <c r="CK39" i="84" a="1"/>
  <c r="BM37" i="84" a="1"/>
  <c r="CI38" i="84" a="1"/>
  <c r="CG40" i="84" a="1"/>
  <c r="AT28" i="84" a="1"/>
  <c r="AT22" i="84" a="1"/>
  <c r="BR33" i="84" a="1"/>
  <c r="CI24" i="84" a="1"/>
  <c r="BD37" i="84" a="1"/>
  <c r="BM42" i="84" a="1"/>
  <c r="AL41" i="84" a="1"/>
  <c r="BM30" i="84" a="1"/>
  <c r="BL36" i="84" a="1"/>
  <c r="CL36" i="84" a="1"/>
  <c r="CA36" i="84" a="1"/>
  <c r="BZ39" i="84" a="1"/>
  <c r="BA27" i="84" a="1"/>
  <c r="BA20" i="84" a="1"/>
  <c r="BT40" i="84" a="1"/>
  <c r="BB19" i="84" a="1"/>
  <c r="BU37" i="84" a="1"/>
  <c r="AQ30" i="84" a="1"/>
  <c r="CD30" i="84" a="1"/>
  <c r="BW24" i="84" a="1"/>
  <c r="BX26" i="84" a="1"/>
  <c r="AX40" i="84" a="1"/>
  <c r="BR44" i="84" a="1"/>
  <c r="AY17" i="84" a="1"/>
  <c r="AK43" i="84" a="1"/>
  <c r="AK32" i="84" a="1"/>
  <c r="CJ43" i="84" a="1"/>
  <c r="BB33" i="84" a="1"/>
  <c r="AN20" i="84" a="1"/>
  <c r="BC43" i="84" a="1"/>
  <c r="AW25" i="84" a="1"/>
  <c r="BK29" i="84" a="1"/>
  <c r="AM45" i="84" a="1"/>
  <c r="BG28" i="84" a="1"/>
  <c r="CE29" i="84" a="1"/>
  <c r="AY32" i="84" a="1"/>
  <c r="CH21" i="84" a="1"/>
  <c r="BP22" i="84" a="1"/>
  <c r="AK35" i="84" a="1"/>
  <c r="AM32" i="84" a="1"/>
  <c r="AK33" i="84" a="1"/>
  <c r="AZ25" i="84" a="1"/>
  <c r="AQ41" i="84" a="1"/>
  <c r="BK24" i="84" a="1"/>
  <c r="BL44" i="84" a="1"/>
  <c r="BX21" i="84" a="1"/>
  <c r="BM39" i="84" a="1"/>
  <c r="BT34" i="84" a="1"/>
  <c r="AY36" i="84" a="1"/>
  <c r="AT38" i="84" a="1"/>
  <c r="BC42" i="84" a="1"/>
  <c r="BJ17" i="84" a="1"/>
  <c r="BZ33" i="84" a="1"/>
  <c r="BW40" i="84" a="1"/>
  <c r="AT32" i="84" a="1"/>
  <c r="AY23" i="84" a="1"/>
  <c r="CA34" i="84" a="1"/>
  <c r="CH34" i="84" a="1"/>
  <c r="AZ21" i="84" a="1"/>
  <c r="CA28" i="84" a="1"/>
  <c r="CC16" i="84" a="1"/>
  <c r="AZ29" i="84" a="1"/>
  <c r="AP36" i="84" a="1"/>
  <c r="AP23" i="84" a="1"/>
  <c r="BP36" i="84" a="1"/>
  <c r="BB27" i="84" a="1"/>
  <c r="AO28" i="84" a="1"/>
  <c r="CF33" i="84" a="1"/>
  <c r="AR32" i="84" a="1"/>
  <c r="CC33" i="84" a="1"/>
  <c r="BY42" i="84" a="1"/>
  <c r="AW17" i="84" a="1"/>
  <c r="BR18" i="84" a="1"/>
  <c r="BV35" i="84" a="1"/>
  <c r="BA35" i="84" a="1"/>
  <c r="BE39" i="84" a="1"/>
  <c r="BP18" i="84" a="1"/>
  <c r="CF24" i="84" a="1"/>
  <c r="AR42" i="84" a="1"/>
  <c r="BG24" i="84" a="1"/>
  <c r="BL17" i="84" a="1"/>
  <c r="CH17" i="84" a="1"/>
  <c r="AQ40" i="84" a="1"/>
  <c r="AZ39" i="84" a="1"/>
  <c r="AP45" i="84" a="1"/>
  <c r="CJ30" i="84" a="1"/>
  <c r="BX24" i="84" a="1"/>
  <c r="CL33" i="84" a="1"/>
  <c r="AS44" i="84" a="1"/>
  <c r="AP20" i="84" a="1"/>
  <c r="BU21" i="84" a="1"/>
  <c r="BL24" i="84" a="1"/>
  <c r="BO32" i="84" a="1"/>
  <c r="CD22" i="84" a="1"/>
  <c r="BB17" i="84" a="1"/>
  <c r="AK29" i="84" a="1"/>
  <c r="CA24" i="84" a="1"/>
  <c r="AN41" i="84" a="1"/>
  <c r="AL21" i="84" a="1"/>
  <c r="CE19" i="84" a="1"/>
  <c r="AO33" i="84" a="1"/>
  <c r="AM42" i="84" a="1"/>
  <c r="AL27" i="84" a="1"/>
  <c r="BT42" i="84" a="1"/>
  <c r="BM23" i="84" a="1"/>
  <c r="BR19" i="84" a="1"/>
  <c r="AT27" i="84" a="1"/>
  <c r="CA22" i="84" a="1"/>
  <c r="BU38" i="84" a="1"/>
  <c r="AZ16" i="84" a="1"/>
  <c r="BR38" i="84" a="1"/>
  <c r="AM20" i="84" a="1"/>
  <c r="AQ35" i="84" a="1"/>
  <c r="CJ35" i="84" a="1"/>
  <c r="AY44" i="84" a="1"/>
  <c r="BY16" i="84" a="1"/>
  <c r="AR30" i="84" a="1"/>
  <c r="BJ37" i="84" a="1"/>
  <c r="AN22" i="84" a="1"/>
  <c r="BP42" i="84" a="1"/>
  <c r="BZ21" i="84" a="1"/>
  <c r="BG43" i="84" a="1"/>
  <c r="CE31" i="84" a="1"/>
  <c r="CD24" i="84" a="1"/>
  <c r="BS31" i="84" a="1"/>
  <c r="BP35" i="84" a="1"/>
  <c r="CC44" i="84" a="1"/>
  <c r="BP30" i="84" a="1"/>
  <c r="AS22" i="84" a="1"/>
  <c r="AV33" i="84" a="1"/>
  <c r="BL39" i="84" a="1"/>
  <c r="AZ43" i="84" a="1"/>
  <c r="CJ45" i="84" a="1"/>
  <c r="AT16" i="84" a="1"/>
  <c r="BV17" i="84" a="1"/>
  <c r="BX16" i="84" a="1"/>
  <c r="BX45" i="84" a="1"/>
  <c r="CJ28" i="84" a="1"/>
  <c r="BR36" i="84" a="1"/>
  <c r="AP21" i="84" a="1"/>
  <c r="BY26" i="84" a="1"/>
  <c r="AO38" i="84" a="1"/>
  <c r="BK21" i="84" a="1"/>
  <c r="AZ30" i="84" a="1"/>
  <c r="BY17" i="84" a="1"/>
  <c r="BU33" i="84" a="1"/>
  <c r="BI33" i="84" a="1"/>
  <c r="AK16" i="84" a="1"/>
  <c r="AZ19" i="84" a="1"/>
  <c r="BC26" i="84" a="1"/>
  <c r="CF44" i="84" a="1"/>
  <c r="BC29" i="84" a="1"/>
  <c r="BT43" i="84" a="1"/>
  <c r="CJ41" i="84" a="1"/>
  <c r="BV43" i="84" a="1"/>
  <c r="BH43" i="84" a="1"/>
  <c r="CI25" i="84" a="1"/>
  <c r="AV42" i="84" a="1"/>
  <c r="CK32" i="84" a="1"/>
  <c r="BN28" i="84" a="1"/>
  <c r="AN44" i="84" a="1"/>
  <c r="AO31" i="84" a="1"/>
  <c r="CC43" i="84" a="1"/>
  <c r="BZ30" i="84" a="1"/>
  <c r="CF29" i="84" a="1"/>
  <c r="AY25" i="84" a="1"/>
  <c r="AZ33" i="84" a="1"/>
  <c r="AX36" i="84" a="1"/>
  <c r="AX28" i="84" a="1"/>
  <c r="BS43" i="84" a="1"/>
  <c r="BO37" i="84" a="1"/>
  <c r="AO44" i="84" a="1"/>
  <c r="CI29" i="84" a="1"/>
  <c r="BC22" i="84" a="1"/>
  <c r="CD27" i="84" a="1"/>
  <c r="AW36" i="84" a="1"/>
  <c r="CH27" i="84" a="1"/>
  <c r="AZ32" i="84" a="1"/>
  <c r="CE18" i="84" a="1"/>
  <c r="AN21" i="84" a="1"/>
  <c r="CC31" i="84" a="1"/>
  <c r="AN39" i="84" a="1"/>
  <c r="CF19" i="84" a="1"/>
  <c r="AT40" i="84" a="1"/>
  <c r="BZ37" i="84" a="1"/>
  <c r="BA36" i="84" a="1"/>
  <c r="BN45" i="84" a="1"/>
  <c r="BX28" i="84" a="1"/>
  <c r="BL37" i="84" a="1"/>
  <c r="BD16" i="84" a="1"/>
  <c r="CJ22" i="84" a="1"/>
  <c r="BM24" i="84" a="1"/>
  <c r="BW42" i="84" a="1"/>
  <c r="BV22" i="84" a="1"/>
  <c r="BV16" i="84" a="1"/>
  <c r="BD41" i="84" a="1"/>
  <c r="BK18" i="84" a="1"/>
  <c r="AV32" i="84" a="1"/>
  <c r="AN37" i="84" a="1"/>
  <c r="BE35" i="84" a="1"/>
  <c r="AR41" i="84" a="1"/>
  <c r="CE43" i="84" a="1"/>
  <c r="AV28" i="84" a="1"/>
  <c r="BI32" i="84" a="1"/>
  <c r="AM23" i="84" a="1"/>
  <c r="BK27" i="84" a="1"/>
  <c r="BW23" i="84" a="1"/>
  <c r="AT44" i="84" a="1"/>
  <c r="BL31" i="84" a="1"/>
  <c r="BK32" i="84" a="1"/>
  <c r="BH17" i="84" a="1"/>
  <c r="CI45" i="84" a="1"/>
  <c r="BB30" i="84" a="1"/>
  <c r="AN34" i="84" a="1"/>
  <c r="CH40" i="84" a="1"/>
  <c r="AK40" i="84" a="1"/>
  <c r="BD39" i="84" a="1"/>
  <c r="BE30" i="84" a="1"/>
  <c r="BS32" i="84" a="1"/>
  <c r="AX27" i="84" a="1"/>
  <c r="BR17" i="84" a="1"/>
  <c r="AQ26" i="84" a="1"/>
  <c r="BG34" i="84" a="1"/>
  <c r="BY25" i="84" a="1"/>
  <c r="BZ34" i="84" a="1"/>
  <c r="BS25" i="84" a="1"/>
  <c r="AS19" i="84" a="1"/>
  <c r="CF26" i="84" a="1"/>
  <c r="CC34" i="84" a="1"/>
  <c r="AT34" i="84" a="1"/>
  <c r="BS23" i="84" a="1"/>
  <c r="AO27" i="84" a="1"/>
  <c r="CD44" i="84" a="1"/>
  <c r="AO24" i="84" a="1"/>
  <c r="BX44" i="84" a="1"/>
  <c r="AR24" i="84" a="1"/>
  <c r="BS36" i="84" a="1"/>
  <c r="BC31" i="84" a="1"/>
  <c r="CG29" i="84" a="1"/>
  <c r="BI37" i="84" a="1"/>
  <c r="BZ26" i="84" a="1"/>
  <c r="AO36" i="84" a="1"/>
  <c r="BS24" i="84" a="1"/>
  <c r="CC41" i="84" a="1"/>
  <c r="BY40" i="84" a="1"/>
  <c r="AO16" i="84" a="1"/>
  <c r="CK37" i="84" a="1"/>
  <c r="AS23" i="84" a="1"/>
  <c r="AS45" i="84" a="1"/>
  <c r="BS26" i="84" a="1"/>
  <c r="BH21" i="84" a="1"/>
  <c r="BC44" i="84" a="1"/>
  <c r="CF20" i="84" a="1"/>
  <c r="CL19" i="84" a="1"/>
  <c r="BI40" i="84" a="1"/>
  <c r="AV43" i="84" a="1"/>
  <c r="BK41" i="84" a="1"/>
  <c r="BY18" i="84" a="1"/>
  <c r="BA42" i="84" a="1"/>
  <c r="AR26" i="84" a="1"/>
  <c r="BE16" i="84" a="1"/>
  <c r="AL30" i="84" a="1"/>
  <c r="BE41" i="84" a="1"/>
  <c r="AN25" i="84" a="1"/>
  <c r="AN42" i="84" a="1"/>
  <c r="BU39" i="84" a="1"/>
  <c r="CD21" i="84" a="1"/>
  <c r="CF30" i="84" a="1"/>
  <c r="BW35" i="84" a="1"/>
  <c r="CH18" i="84" a="1"/>
  <c r="BV37" i="84" a="1"/>
  <c r="BC27" i="84" a="1"/>
  <c r="AN45" i="84" a="1"/>
  <c r="CJ40" i="84" a="1"/>
  <c r="AS38" i="84" a="1"/>
  <c r="CG25" i="84" a="1"/>
  <c r="AR16" i="84" a="1"/>
  <c r="CG45" i="84" a="1"/>
  <c r="CI35" i="84" a="1"/>
  <c r="BI21" i="84" a="1"/>
  <c r="BD27" i="84" a="1"/>
  <c r="BC21" i="84" a="1"/>
  <c r="BO24" i="84" a="1"/>
  <c r="AT23" i="84" a="1"/>
  <c r="CG16" i="84" a="1"/>
  <c r="AY42" i="84" a="1"/>
  <c r="AW38" i="84" a="1"/>
  <c r="AV16" i="84" a="1"/>
  <c r="BM36" i="84" a="1"/>
  <c r="AQ39" i="84" a="1"/>
  <c r="AX24" i="84" a="1"/>
  <c r="BU16" i="84" a="1"/>
  <c r="BL30" i="84" a="1"/>
  <c r="AV29" i="84" a="1"/>
  <c r="AZ24" i="84" a="1"/>
  <c r="CL16" i="84" a="1"/>
  <c r="BI31" i="84" a="1"/>
  <c r="BN33" i="84" a="1"/>
  <c r="BG30" i="84" a="1"/>
  <c r="BR37" i="84" a="1"/>
  <c r="CH45" i="84" a="1"/>
  <c r="BJ23" i="84" a="1"/>
  <c r="AX23" i="84" a="1"/>
  <c r="AP30" i="84" a="1"/>
  <c r="BU34" i="84" a="1"/>
  <c r="CD39" i="84" a="1"/>
  <c r="CD17" i="84" a="1"/>
  <c r="AK31" i="84" a="1"/>
  <c r="CG43" i="84" a="1"/>
  <c r="BK44" i="84" a="1"/>
  <c r="CF27" i="84" a="1"/>
  <c r="CK45" i="84" a="1"/>
  <c r="BO31" i="84" a="1"/>
  <c r="BC37" i="84" a="1"/>
  <c r="AM30" i="84" a="1"/>
  <c r="AK28" i="84" a="1"/>
  <c r="CK42" i="84" a="1"/>
  <c r="BK17" i="84" a="1"/>
  <c r="BE44" i="84" a="1"/>
  <c r="BR41" i="84" a="1"/>
  <c r="CE22" i="84" a="1"/>
  <c r="CH24" i="84" a="1"/>
  <c r="BD33" i="84" a="1"/>
  <c r="BI18" i="84" a="1"/>
  <c r="BS30" i="84" a="1"/>
  <c r="CD19" i="84" a="1"/>
  <c r="BJ35" i="84" a="1"/>
  <c r="AO39" i="84" a="1"/>
  <c r="CC29" i="84" a="1"/>
  <c r="AT25" i="84" a="1"/>
  <c r="AW39" i="84" a="1"/>
  <c r="BS29" i="84" a="1"/>
  <c r="CH32" i="84" a="1"/>
  <c r="CA43" i="84" a="1"/>
  <c r="BS44" i="84" a="1"/>
  <c r="CJ24" i="84" a="1"/>
  <c r="AR43" i="84" a="1"/>
  <c r="AV39" i="84" a="1"/>
  <c r="CD34" i="84" a="1"/>
  <c r="BU42" i="84" a="1"/>
  <c r="BC19" i="84" a="1"/>
  <c r="CI16" i="84" a="1"/>
  <c r="AK39" i="84" a="1"/>
  <c r="CJ42" i="84" a="1"/>
  <c r="BV31" i="84" a="1"/>
  <c r="BC45" i="84" a="1"/>
  <c r="BC17" i="84" a="1"/>
  <c r="BO33" i="84" a="1"/>
  <c r="AQ29" i="84" a="1"/>
  <c r="AN24" i="84" a="1"/>
  <c r="CJ21" i="84" a="1"/>
  <c r="CJ16" i="84" a="1"/>
  <c r="BU35" i="84" a="1"/>
  <c r="AN17" i="84" a="1"/>
  <c r="BK43" i="84" a="1"/>
  <c r="BH27" i="84" a="1"/>
  <c r="BL33" i="84" a="1"/>
  <c r="BE32" i="84" a="1"/>
  <c r="CI17" i="84" a="1"/>
  <c r="CH16" i="84" a="1"/>
  <c r="BE29" i="84" a="1"/>
  <c r="BL43" i="84" a="1"/>
  <c r="AR19" i="84" a="1"/>
  <c r="AX26" i="84" a="1"/>
  <c r="BT28" i="84" a="1"/>
  <c r="AW26" i="84" a="1"/>
  <c r="BI45" i="84" a="1"/>
  <c r="AR37" i="84" a="1"/>
  <c r="CC19" i="84" a="1"/>
  <c r="CD23" i="84" a="1"/>
  <c r="CC36" i="84" a="1"/>
  <c r="BX23" i="84" a="1"/>
  <c r="CD20" i="84" a="1"/>
  <c r="BA30" i="84" a="1"/>
  <c r="BV40" i="84" a="1"/>
  <c r="CH28" i="84" a="1"/>
  <c r="BL20" i="84" a="1"/>
  <c r="AN36" i="84" a="1"/>
  <c r="CH39" i="84" a="1"/>
  <c r="BD43" i="84" a="1"/>
  <c r="CA38" i="84" a="1"/>
  <c r="BW33" i="84" a="1"/>
  <c r="CD18" i="84" a="1"/>
  <c r="BX42" i="84" a="1"/>
  <c r="AL23" i="84" a="1"/>
  <c r="AY40" i="84" a="1"/>
  <c r="AV35" i="84" a="1"/>
  <c r="BS45" i="84" a="1"/>
  <c r="AY19" i="84" a="1"/>
  <c r="CK21" i="84" a="1"/>
  <c r="AS26" i="84" a="1"/>
  <c r="BD22" i="84" a="1"/>
  <c r="AT33" i="84" a="1"/>
  <c r="AO22" i="84" a="1"/>
  <c r="BP32" i="84" a="1"/>
  <c r="BH31" i="84" a="1"/>
  <c r="AS39" i="84" a="1"/>
  <c r="CK26" i="84" a="1"/>
  <c r="BC35" i="84" a="1"/>
  <c r="AX20" i="84" a="1"/>
  <c r="CL22" i="84" a="1"/>
  <c r="BS16" i="84" a="1"/>
  <c r="BH22" i="84" a="1"/>
  <c r="CH42" i="84" a="1"/>
  <c r="AM21" i="84" a="1"/>
  <c r="AX41" i="84" a="1"/>
  <c r="BM17" i="84" a="1"/>
  <c r="BO26" i="84" a="1"/>
  <c r="BN23" i="84" a="1"/>
  <c r="CE38" i="84" a="1"/>
  <c r="AM31" i="84" a="1"/>
  <c r="BT21" i="84" a="1"/>
  <c r="AY43" i="84" a="1"/>
  <c r="CG26" i="84" a="1"/>
  <c r="AW19" i="84" a="1"/>
  <c r="CK24" i="84" a="1"/>
  <c r="CH22" i="84" a="1"/>
  <c r="BM25" i="84" a="1"/>
  <c r="CL32" i="84" a="1"/>
  <c r="CK28" i="84" a="1"/>
  <c r="BG42" i="84" a="1"/>
  <c r="CI28" i="84" a="1"/>
  <c r="AZ44" i="84" a="1"/>
  <c r="BT33" i="84" a="1"/>
  <c r="AO23" i="84" a="1"/>
  <c r="AS25" i="84" a="1"/>
  <c r="CA33" i="84" a="1"/>
  <c r="BZ19" i="84" a="1"/>
  <c r="BJ30" i="84" a="1"/>
  <c r="BM43" i="84" a="1"/>
  <c r="BY28" i="84" a="1"/>
  <c r="BV24" i="84" a="1"/>
  <c r="BI22" i="84" a="1"/>
  <c r="CI34" i="84" a="1"/>
  <c r="AY28" i="84" a="1"/>
  <c r="AT24" i="84" a="1"/>
  <c r="CG17" i="84" a="1"/>
  <c r="BJ42" i="84" a="1"/>
  <c r="BT32" i="84" a="1"/>
  <c r="AN35" i="84" a="1"/>
  <c r="BJ24" i="84" a="1"/>
  <c r="AM26" i="84" a="1"/>
  <c r="BN44" i="84" a="1"/>
  <c r="AY39" i="84" a="1"/>
  <c r="BM34" i="84" a="1"/>
  <c r="BC38" i="84" a="1"/>
  <c r="BY33" i="84" a="1"/>
  <c r="BG17" i="84" a="1"/>
  <c r="CA40" i="84" a="1"/>
  <c r="CJ26" i="84" a="1"/>
  <c r="BJ39" i="84" a="1"/>
  <c r="AM16" i="84" a="1"/>
  <c r="CI36" i="84" a="1"/>
  <c r="CL37" i="84" a="1"/>
  <c r="CK38" i="84" a="1"/>
  <c r="BB23" i="84" a="1"/>
  <c r="BC36" i="84" a="1"/>
  <c r="AZ23" i="84" a="1"/>
  <c r="BI23" i="84" a="1"/>
  <c r="BV39" i="84" a="1"/>
  <c r="BL27" i="84" a="1"/>
  <c r="BW45" i="84" a="1"/>
  <c r="AM37" i="84" a="1"/>
  <c r="CC22" i="84" a="1"/>
  <c r="BE27" i="84" a="1"/>
  <c r="BU45" i="84" a="1"/>
  <c r="BU23" i="84" a="1"/>
  <c r="CI19" i="84" a="1"/>
  <c r="AM43" i="84" a="1"/>
  <c r="BV36" i="84" a="1"/>
  <c r="CL42" i="84" a="1"/>
  <c r="BY21" i="84" a="1"/>
  <c r="BP24" i="84" a="1"/>
  <c r="BG18" i="84" a="1"/>
  <c r="AS41" i="84" a="1"/>
  <c r="CE26" i="84" a="1"/>
  <c r="BZ38" i="84" a="1"/>
  <c r="CE24" i="84" a="1"/>
  <c r="CJ19" i="84" a="1"/>
  <c r="AS37" i="84" a="1"/>
  <c r="BP37" i="84" a="1"/>
  <c r="CI26" i="84" a="1"/>
  <c r="AR17" i="84" a="1"/>
  <c r="BR29" i="84" a="1"/>
  <c r="AT37" i="84" a="1"/>
  <c r="AX39" i="84" a="1"/>
  <c r="BO16" i="84" a="1"/>
  <c r="CA32" i="84" a="1"/>
  <c r="AZ37" i="84" a="1"/>
  <c r="AO43" i="84" a="1"/>
  <c r="BS35" i="84" a="1"/>
  <c r="AK21" i="84" a="1"/>
  <c r="BG29" i="84" a="1"/>
  <c r="BG33" i="84" a="1"/>
  <c r="BT19" i="84" a="1"/>
  <c r="CA27" i="84" a="1"/>
  <c r="AO17" i="84" a="1"/>
  <c r="AX45" i="84" a="1"/>
  <c r="BV27" i="84" a="1"/>
  <c r="AP43" i="84" a="1"/>
  <c r="AK27" i="84" a="1"/>
  <c r="AO20" i="84" a="1"/>
  <c r="BO34" i="84" a="1"/>
  <c r="BR30" i="84" a="1"/>
  <c r="BT31" i="84" a="1"/>
  <c r="AY27" i="84" a="1"/>
  <c r="BA33" i="84" a="1"/>
  <c r="BY30" i="84" a="1"/>
  <c r="AX33" i="84" a="1"/>
  <c r="BR32" i="84" a="1"/>
  <c r="BB41" i="84" a="1"/>
  <c r="BR31" i="84" a="1"/>
  <c r="BG41" i="84" a="1"/>
  <c r="AR20" i="84" a="1"/>
  <c r="CL39" i="84" a="1"/>
  <c r="BI42" i="84" a="1"/>
  <c r="AV21" i="84" a="1"/>
  <c r="AQ36" i="84" a="1"/>
  <c r="BR26" i="84" a="1"/>
  <c r="BM32" i="84" a="1"/>
  <c r="BM16" i="84" a="1"/>
  <c r="AP16" i="84" a="1"/>
  <c r="CC32" i="84" a="1"/>
  <c r="BE28" i="84" a="1"/>
  <c r="CE45" i="84" a="1"/>
  <c r="BI36" i="84" a="1"/>
  <c r="CH19" i="84" a="1"/>
  <c r="AN26" i="84" a="1"/>
  <c r="AM22" i="84" a="1"/>
  <c r="BL45" i="84" a="1"/>
  <c r="CL44" i="84" a="1"/>
  <c r="CK40" i="84" a="1"/>
  <c r="BN35" i="84" a="1"/>
  <c r="CL41" i="84" a="1"/>
  <c r="CL21" i="84" a="1"/>
  <c r="CD42" i="84" a="1"/>
  <c r="CL30" i="84" a="1"/>
  <c r="AN27" i="84" a="1"/>
  <c r="AW42" i="84" a="1"/>
  <c r="BU43" i="84" a="1"/>
  <c r="AY30" i="84" a="1"/>
  <c r="CH31" i="84" a="1"/>
  <c r="CK23" i="84" a="1"/>
  <c r="AL24" i="84" a="1"/>
  <c r="BN25" i="84" a="1"/>
  <c r="AP18" i="84" a="1"/>
  <c r="BB44" i="84" a="1"/>
  <c r="AT20" i="84" a="1"/>
  <c r="AR44" i="84" a="1"/>
  <c r="AZ22" i="84" a="1"/>
  <c r="AY24" i="84" a="1"/>
  <c r="CK16" i="84" a="1"/>
  <c r="BT16" i="84" a="1"/>
  <c r="BK42" i="84" a="1"/>
  <c r="BV23" i="84" a="1"/>
  <c r="AM25" i="84" a="1"/>
  <c r="BD20" i="84" a="1"/>
  <c r="BI41" i="84" a="1"/>
  <c r="BO44" i="84" a="1"/>
  <c r="CL28" i="84" a="1"/>
  <c r="BN16" i="84" a="1"/>
  <c r="BX43" i="84" a="1"/>
  <c r="BN39" i="84" a="1"/>
  <c r="BJ34" i="84" a="1"/>
  <c r="CI21" i="84" a="1"/>
  <c r="BV21" i="84" a="1"/>
  <c r="BU27" i="84" a="1"/>
  <c r="BN36" i="84" a="1"/>
  <c r="BM40" i="84" a="1"/>
  <c r="AQ31" i="84" a="1"/>
  <c r="BU36" i="84" a="1"/>
  <c r="AL19" i="84" a="1"/>
  <c r="BK39" i="84" a="1"/>
  <c r="AQ23" i="84" a="1"/>
  <c r="BH20" i="84" a="1"/>
  <c r="BY41" i="84" a="1"/>
  <c r="CD43" i="84" a="1"/>
  <c r="BU25" i="84" a="1"/>
  <c r="BP40" i="84" a="1"/>
  <c r="BJ26" i="84" a="1"/>
  <c r="CG42" i="84" a="1"/>
  <c r="CH36" i="84" a="1"/>
  <c r="BX38" i="84" a="1"/>
  <c r="BU18" i="84" a="1"/>
  <c r="BB28" i="84" a="1"/>
  <c r="AP44" i="84" a="1"/>
  <c r="BK45" i="84" a="1"/>
  <c r="BZ42" i="84" a="1"/>
  <c r="BO17" i="84" a="1"/>
  <c r="CC45" i="84" a="1"/>
  <c r="CK41" i="84" a="1"/>
  <c r="AQ43" i="84" a="1"/>
  <c r="BZ17" i="84" a="1"/>
  <c r="AW43" i="84" a="1"/>
  <c r="CF17" i="84" a="1"/>
  <c r="AP22" i="84" a="1"/>
  <c r="CC17" i="84" a="1"/>
  <c r="BN18" i="84" a="1"/>
  <c r="BJ19" i="84" a="1"/>
  <c r="BB21" i="84" a="1"/>
  <c r="AL32" i="84" a="1"/>
  <c r="AP38" i="84" a="1"/>
  <c r="BH34" i="84" a="1"/>
  <c r="AS34" i="84" a="1"/>
  <c r="AS24" i="84" a="1"/>
  <c r="BV30" i="84" a="1"/>
  <c r="BB43" i="84" a="1"/>
  <c r="BJ41" i="84" a="1"/>
  <c r="AW44" i="84" a="1"/>
  <c r="BT30" i="84" a="1"/>
  <c r="BE19" i="84" a="1"/>
  <c r="BA31" i="84" a="1"/>
  <c r="BJ33" i="84" a="1"/>
  <c r="AO32" i="84" a="1"/>
  <c r="BW27" i="84" a="1"/>
  <c r="AW18" i="84" a="1"/>
  <c r="AV34" i="84" a="1"/>
  <c r="AY41" i="84" a="1"/>
  <c r="BV32" i="84" a="1"/>
  <c r="BG40" i="84" a="1"/>
  <c r="CG23" i="84" a="1"/>
  <c r="BO42" i="84" a="1"/>
  <c r="BD28" i="84" a="1"/>
  <c r="AR36" i="84" a="1"/>
  <c r="AK45" i="84" a="1"/>
  <c r="BU28" i="84" a="1"/>
  <c r="CE32" i="84" a="1"/>
  <c r="BB16" i="84" a="1"/>
  <c r="BE23" i="84" a="1"/>
  <c r="CI30" i="84" a="1"/>
  <c r="BD17" i="84" a="1"/>
  <c r="AZ45" i="84" a="1"/>
  <c r="BJ18" i="84" a="1"/>
  <c r="BT24" i="84" a="1"/>
  <c r="CA45" i="84" a="1"/>
  <c r="BU17" i="84" a="1"/>
  <c r="CI20" i="84" a="1"/>
  <c r="AW31" i="84" a="1"/>
  <c r="BH26" i="84" a="1"/>
  <c r="BZ32" i="84" a="1"/>
  <c r="AR31" i="84" a="1"/>
  <c r="AM40" i="84" a="1"/>
  <c r="BW29" i="84" a="1"/>
  <c r="BP16" i="84" a="1"/>
  <c r="AK17" i="84" a="1"/>
  <c r="CJ32" i="84" a="1"/>
  <c r="BS27" i="84" a="1"/>
  <c r="BK34" i="84" a="1"/>
  <c r="CL35" i="84" a="1"/>
  <c r="BD32" i="84" a="1"/>
  <c r="AY31" i="84" a="1"/>
  <c r="BZ36" i="84" a="1"/>
  <c r="AW20" i="84" a="1"/>
  <c r="AN32" i="84" a="1"/>
  <c r="AS40" i="84" a="1"/>
  <c r="AQ25" i="84" a="1"/>
  <c r="BI35" i="84" a="1"/>
  <c r="BK28" i="84" a="1"/>
  <c r="BX18" i="84" a="1"/>
  <c r="BJ16" i="84" a="1"/>
  <c r="CI41" i="84" a="1"/>
  <c r="CF42" i="84" a="1"/>
  <c r="BY32" i="84" a="1"/>
  <c r="BE24" i="84" a="1"/>
  <c r="AV22" i="84" a="1"/>
  <c r="CF39" i="84" a="1"/>
  <c r="BP29" i="84" a="1"/>
  <c r="AQ32" i="84" a="1"/>
  <c r="AR33" i="84" a="1"/>
  <c r="AO29" i="84" a="1"/>
  <c r="CL45" i="84" a="1"/>
  <c r="CG35" i="84" a="1"/>
  <c r="BG25" i="84" a="1"/>
  <c r="AX19" i="84" a="1"/>
  <c r="BR40" i="84" a="1"/>
  <c r="CH25" i="84" a="1"/>
  <c r="BZ18" i="84" a="1"/>
  <c r="AY26" i="84" a="1"/>
  <c r="AL26" i="84" a="1"/>
  <c r="AX42" i="84" a="1"/>
  <c r="AW33" i="84" a="1"/>
  <c r="CH41" i="84" a="1"/>
  <c r="AO19" i="84" a="1"/>
  <c r="BJ45" i="84" a="1"/>
  <c r="AN43" i="84" a="1"/>
  <c r="CF34" i="84" a="1"/>
  <c r="BT17" i="84" a="1"/>
  <c r="BN22" i="84" a="1"/>
  <c r="BO45" i="84" a="1"/>
  <c r="BB26" i="84" a="1"/>
  <c r="BA40" i="84" a="1"/>
  <c r="CE28" i="84" a="1"/>
  <c r="BG31" i="84" a="1"/>
  <c r="AV44" i="84" a="1"/>
  <c r="AT29" i="84" a="1"/>
  <c r="BI24" i="84" a="1"/>
  <c r="AS17" i="84" a="1"/>
  <c r="CA25" i="84" a="1"/>
  <c r="CE16" i="84" a="1"/>
  <c r="BD40" i="84" a="1"/>
  <c r="CJ37" i="84" a="1"/>
  <c r="BC30" i="84" a="1"/>
  <c r="AL45" i="84" a="1"/>
  <c r="AX44" i="84" a="1"/>
  <c r="BI17" i="84" a="1"/>
  <c r="BM20" i="84" a="1"/>
  <c r="BH42" i="84" a="1"/>
  <c r="BA45" i="84" a="1"/>
  <c r="CC18" i="84" a="1"/>
  <c r="AX38" i="84" a="1"/>
  <c r="BD29" i="84" a="1"/>
  <c r="CK22" i="84" a="1"/>
  <c r="AL35" i="84" a="1"/>
  <c r="AQ37" i="84" a="1"/>
  <c r="BG27" i="84" a="1"/>
  <c r="CG22" i="84" a="1"/>
  <c r="AL43" i="84" a="1"/>
  <c r="BW22" i="84" a="1"/>
  <c r="BT27" i="84" a="1"/>
  <c r="BM22" i="84" a="1"/>
  <c r="BX35" i="84" a="1"/>
  <c r="BT26" i="84" a="1"/>
  <c r="BP23" i="84" a="1"/>
  <c r="AL28" i="84" a="1"/>
  <c r="BU31" i="84" a="1"/>
  <c r="AM33" i="84" a="1"/>
  <c r="BE25" i="84" a="1"/>
  <c r="AN40" i="84" a="1"/>
  <c r="CC39" i="84" a="1"/>
  <c r="BX36" i="84" a="1"/>
  <c r="CJ33" i="84" a="1"/>
  <c r="AW37" i="84" a="1"/>
  <c r="BI39" i="84" a="1"/>
  <c r="AL44" i="84" a="1"/>
  <c r="AK41" i="84" a="1"/>
  <c r="AL29" i="84" a="1"/>
  <c r="AX30" i="84" a="1"/>
  <c r="CI33" i="84" a="1"/>
  <c r="CE25" i="84" a="1"/>
  <c r="CJ34" i="84" a="1"/>
  <c r="BE36" i="84" a="1"/>
  <c r="CA30" i="84" a="1"/>
  <c r="BE33" i="84" a="1"/>
  <c r="AL39" i="84" a="1"/>
  <c r="BB20" i="84" a="1"/>
  <c r="BS34" i="84" a="1"/>
  <c r="CL25" i="84" a="1"/>
  <c r="CJ29" i="84" a="1"/>
  <c r="BM18" i="84" a="1"/>
  <c r="BK16" i="84" a="1"/>
  <c r="AN33" i="84" a="1"/>
  <c r="BU24" i="84" a="1"/>
  <c r="AO21" i="84" a="1"/>
  <c r="AW24" i="84" a="1"/>
  <c r="CA21" i="84" a="1"/>
  <c r="AN38" i="84" a="1"/>
  <c r="AV20" i="84" a="1"/>
  <c r="CG28" i="84" a="1"/>
  <c r="BL41" i="84" a="1"/>
  <c r="AW41" i="84" a="1"/>
  <c r="AK26" i="84" a="1"/>
  <c r="CG37" i="84" a="1"/>
  <c r="BE43" i="84" a="1"/>
  <c r="BJ25" i="84" a="1"/>
  <c r="BJ29" i="84" a="1"/>
  <c r="BT39" i="84" a="1"/>
  <c r="CE39" i="84" a="1"/>
  <c r="AS18" i="84" a="1"/>
  <c r="BH39" i="84" a="1"/>
  <c r="AZ38" i="84" a="1"/>
  <c r="AO45" i="84" a="1"/>
  <c r="BG39" i="84" a="1"/>
  <c r="BJ38" i="84" a="1"/>
  <c r="BU32" i="84" a="1"/>
  <c r="AN29" i="84" a="1"/>
  <c r="BX40" i="84" a="1"/>
  <c r="BR27" i="84" a="1"/>
  <c r="AY21" i="84" a="1"/>
  <c r="BY39" i="84" a="1"/>
  <c r="BE42" i="84" a="1"/>
  <c r="BG38" i="84" a="1"/>
  <c r="BY29" i="84" a="1"/>
  <c r="BI16" i="84" a="1"/>
  <c r="BR39" i="84" a="1"/>
  <c r="CF28" i="84" a="1"/>
  <c r="CA35" i="84" a="1"/>
  <c r="CE40" i="84" a="1"/>
  <c r="BZ43" i="84" a="1"/>
  <c r="AQ17" i="84" a="1"/>
  <c r="AR38" i="84" a="1"/>
  <c r="CC27" i="84" a="1"/>
  <c r="CF32" i="84" a="1"/>
  <c r="AZ20" i="84" a="1"/>
  <c r="AT18" i="84" a="1"/>
  <c r="CF40" i="84" a="1"/>
  <c r="BA23" i="84" a="1"/>
  <c r="CH37" i="84" a="1"/>
  <c r="AZ36" i="84" a="1"/>
  <c r="BI25" i="84" a="1"/>
  <c r="CI37" i="84" a="1"/>
  <c r="BO36" i="84" a="1"/>
  <c r="BB31" i="84" a="1"/>
  <c r="AK36" i="84" a="1"/>
  <c r="CD35" i="84" a="1"/>
  <c r="BW32" i="84" a="1"/>
  <c r="CL17" i="84" a="1"/>
  <c r="AK19" i="84" a="1"/>
  <c r="BN30" i="84" a="1"/>
  <c r="CG34" i="84" a="1"/>
  <c r="AQ22" i="84" a="1"/>
  <c r="CI44" i="84" a="1"/>
  <c r="BM38" i="84" a="1"/>
  <c r="AL17" i="84" a="1"/>
  <c r="BC23" i="84" a="1"/>
  <c r="AL22" i="84" a="1"/>
  <c r="AP24" i="84" a="1"/>
  <c r="CA16" i="84" a="1"/>
  <c r="BW21" i="84" a="1"/>
  <c r="BO40" i="84" a="1"/>
  <c r="CD45" i="84" a="1"/>
  <c r="AR28" i="84" a="1"/>
  <c r="BS21" i="84" a="1"/>
  <c r="BV26" i="84" a="1"/>
  <c r="AQ16" i="84" a="1"/>
  <c r="BK19" i="84" a="1"/>
  <c r="BZ28" i="84" a="1"/>
  <c r="CH44" i="84" a="1"/>
  <c r="BS22" i="84" a="1"/>
  <c r="BS38" i="84" a="1"/>
  <c r="BN42" i="84" a="1"/>
  <c r="BC32" i="84" a="1"/>
  <c r="AK23" i="84" a="1"/>
  <c r="BL19" i="84" a="1"/>
  <c r="AN31" i="84" a="1"/>
  <c r="BX27" i="84" a="1"/>
  <c r="CL43" i="84" a="1"/>
  <c r="BC28" i="84" a="1"/>
  <c r="CC30" i="84" a="1"/>
  <c r="CA18" i="84" a="1"/>
  <c r="BP21" i="84" a="1"/>
  <c r="BD35" i="84" a="1"/>
  <c r="BE38" i="84" a="1"/>
  <c r="CG36" i="84" a="1"/>
  <c r="BX20" i="84" a="1"/>
  <c r="BJ43" i="84" a="1"/>
  <c r="BJ32" i="84" a="1"/>
  <c r="BU22" i="84" a="1"/>
  <c r="BE31" i="84" a="1"/>
  <c r="BH25" i="84" a="1"/>
  <c r="AW22" i="84" a="1"/>
  <c r="BB36" i="84" a="1"/>
  <c r="BC39" i="84" a="1"/>
  <c r="BR23" i="84" a="1"/>
  <c r="BE20" i="84" a="1"/>
  <c r="BG19" i="84" a="1"/>
  <c r="BG16" i="84" a="1"/>
  <c r="CK17" i="84" a="1"/>
  <c r="BH33" i="84" a="1"/>
  <c r="AR18" i="84" a="1"/>
  <c r="BB32" i="84" a="1"/>
  <c r="BH24" i="84" a="1"/>
  <c r="BM26" i="84" a="1"/>
  <c r="BI28" i="84" a="1"/>
  <c r="AV37" i="84" a="1"/>
  <c r="CG21" i="84" a="1"/>
  <c r="AN23" i="84" a="1"/>
  <c r="BO41" i="84" a="1"/>
  <c r="BL16" i="84" a="1"/>
  <c r="BW37" i="84" a="1"/>
  <c r="BY38" i="84" a="1"/>
  <c r="AS28" i="84" a="1"/>
  <c r="AX31" i="84" a="1"/>
  <c r="BY36" i="84" a="1"/>
  <c r="BR28" i="84" a="1"/>
  <c r="AL40" i="84" a="1"/>
  <c r="BB38" i="84" a="1"/>
  <c r="CL23" i="84" a="1"/>
  <c r="CI27" i="84" a="1"/>
  <c r="BI44" i="84" a="1"/>
  <c r="AP33" i="84" a="1"/>
  <c r="CJ18" i="84" a="1"/>
  <c r="BN31" i="84" a="1"/>
  <c r="BW19" i="84" a="1"/>
  <c r="BN21" i="84" a="1"/>
  <c r="BR42" i="84" a="1"/>
  <c r="BK31" i="84" a="1"/>
  <c r="BV19" i="84" a="1"/>
  <c r="BM27" i="84" a="1"/>
  <c r="BO29" i="84" a="1"/>
  <c r="CK44" i="84" a="1"/>
  <c r="BI43" i="84" a="1"/>
  <c r="BN24" i="84" a="1"/>
  <c r="BV41" i="84" a="1"/>
  <c r="AS35" i="84" a="1"/>
  <c r="AZ17" i="84" a="1"/>
  <c r="BD36" i="84" a="1"/>
  <c r="AW16" i="84" a="1"/>
  <c r="AM17" i="84" a="1"/>
  <c r="BA17" i="84" a="1"/>
  <c r="BP43" i="84" a="1"/>
  <c r="CG20" i="84" a="1"/>
  <c r="BM31" i="84" a="1"/>
  <c r="CL26" i="84" a="1"/>
  <c r="BA43" i="84" a="1"/>
  <c r="CJ23" i="84" a="1"/>
  <c r="AS33" i="84" a="1"/>
  <c r="CC35" i="84" a="1"/>
  <c r="BN41" i="84" a="1"/>
  <c r="CE44" i="84" a="1"/>
  <c r="AM35" i="84" a="1"/>
  <c r="BY27" i="84" a="1"/>
  <c r="BD34" i="84" a="1"/>
  <c r="BJ31" i="84" a="1"/>
  <c r="BA19" i="84" a="1"/>
  <c r="BL26" i="84" a="1"/>
  <c r="AS27" i="84" a="1"/>
  <c r="AW29" i="84" a="1"/>
  <c r="BD25" i="84" a="1"/>
  <c r="AY20" i="84" a="1"/>
  <c r="AM27" i="84" a="1"/>
  <c r="BW43" i="84" a="1"/>
  <c r="AO34" i="84" a="1"/>
  <c r="AQ18" i="84" a="1"/>
  <c r="BH32" i="84" a="1"/>
  <c r="BP44" i="84" a="1"/>
  <c r="BH35" i="84" a="1"/>
  <c r="BW30" i="84" a="1"/>
  <c r="CE41" i="84" a="1"/>
  <c r="BH44" i="84" a="1"/>
  <c r="BB45" i="84" a="1"/>
  <c r="CJ38" i="84" a="1"/>
  <c r="AP31" i="84" a="1"/>
  <c r="BD23" i="84" a="1"/>
  <c r="BS33" i="84" a="1"/>
  <c r="BT18" i="84" a="1"/>
  <c r="AQ42" i="84" a="1"/>
  <c r="CD25" i="84" a="1"/>
  <c r="CF36" i="84" a="1"/>
  <c r="BZ16" i="84" a="1"/>
  <c r="BV29" i="84" a="1"/>
  <c r="BG35" i="84" a="1"/>
  <c r="BT35" i="84" a="1"/>
  <c r="AT36" i="84" a="1"/>
  <c r="CG19" i="84" a="1"/>
  <c r="BZ35" i="84" a="1"/>
  <c r="BY23" i="84" a="1"/>
  <c r="CF16" i="84" a="1"/>
  <c r="CC40" i="84" a="1"/>
  <c r="CL40" i="84" a="1"/>
  <c r="AY18" i="84" a="1"/>
  <c r="BW18" i="84" a="1"/>
  <c r="BJ22" i="84" a="1"/>
  <c r="BJ28" i="84" a="1"/>
  <c r="AV18" i="84" a="1"/>
  <c r="AR29" i="84" a="1"/>
  <c r="CD37" i="84" a="1"/>
  <c r="CA41" i="84" a="1"/>
  <c r="BN19" i="84" a="1"/>
  <c r="CE36" i="84" a="1"/>
  <c r="AT30" i="84" a="1"/>
  <c r="AK37" i="84" a="1"/>
  <c r="BI20" i="84" a="1"/>
  <c r="BW34" i="84" a="1"/>
  <c r="BL22" i="84" a="1"/>
  <c r="AR45" i="84" a="1"/>
  <c r="CK25" i="84" a="1"/>
  <c r="BE45" i="84" a="1"/>
  <c r="AO30" i="84" a="1"/>
  <c r="BW16" i="84" a="1"/>
  <c r="BT23" i="84" a="1"/>
  <c r="BA18" i="84" a="1"/>
  <c r="CD36" i="84" a="1"/>
  <c r="AS31" i="84" a="1"/>
  <c r="BC40" i="84" a="1"/>
  <c r="CG30" i="84" a="1"/>
  <c r="CG18" i="84" a="1"/>
  <c r="BW17" i="84" a="1"/>
  <c r="CI32" i="84" a="1"/>
  <c r="BE37" i="84" a="1"/>
  <c r="AX37" i="84" a="1"/>
  <c r="BO27" i="84" a="1"/>
  <c r="BN43" i="84" a="1"/>
  <c r="BE22" i="84" a="1"/>
  <c r="AT17" i="84" a="1"/>
  <c r="AK44" i="84" a="1"/>
  <c r="CK33" i="84" a="1"/>
  <c r="CK19" i="84" a="1"/>
  <c r="CL20" i="84" a="1"/>
  <c r="AT26" i="84" a="1"/>
  <c r="AK20" i="84" a="1"/>
  <c r="BB40" i="84" a="1"/>
  <c r="BW44" i="84" a="1"/>
  <c r="AV31" i="84" a="1"/>
  <c r="AK18" i="84" a="1"/>
  <c r="BE17" i="84" a="1"/>
  <c r="BD21" i="84" a="1"/>
  <c r="BR22" i="84" a="1"/>
  <c r="BA44" i="84" a="1"/>
  <c r="BG36" i="84" a="1"/>
  <c r="BP19" i="84" a="1"/>
  <c r="CF25" i="84" a="1"/>
  <c r="CE30" i="84" a="1"/>
  <c r="CD26" i="84" a="1"/>
  <c r="BZ22" i="84" a="1"/>
  <c r="BS20" i="84" a="1"/>
  <c r="CJ20" i="84" a="1"/>
  <c r="AO37" i="84" a="1"/>
  <c r="BH40" i="84" a="1"/>
  <c r="BW38" i="84" a="1"/>
  <c r="BX22" i="84" a="1"/>
  <c r="BO28" i="84" a="1"/>
  <c r="BU19" i="84" a="1"/>
  <c r="CL34" i="84" a="1"/>
  <c r="AV26" i="84" a="1"/>
  <c r="CA17" i="84" a="1"/>
  <c r="AP39" i="84" a="1"/>
  <c r="BS40" i="84" a="1"/>
  <c r="AW45" i="84" a="1"/>
  <c r="BV33" i="84" a="1"/>
  <c r="CJ31" i="84" a="1"/>
  <c r="BX39" i="84" a="1"/>
  <c r="CK29" i="84" a="1"/>
  <c r="BC24" i="84" a="1"/>
  <c r="AR23" i="84" a="1"/>
  <c r="BT45" i="84" a="1"/>
  <c r="AK38" i="84" a="1"/>
  <c r="BJ40" i="84" a="1"/>
  <c r="BX31" i="84" a="1"/>
  <c r="AV30" i="84" a="1"/>
  <c r="BV38" i="84" a="1"/>
  <c r="AP42" i="84" a="1"/>
  <c r="AY45" i="84" a="1"/>
  <c r="BD18" i="84" a="1"/>
  <c r="BO39" i="84" a="1"/>
  <c r="BI26" i="84" a="1"/>
  <c r="AT31" i="84" a="1"/>
  <c r="BE26" i="84" a="1"/>
  <c r="AK24" i="84" a="1"/>
  <c r="BD44" i="84" a="1"/>
  <c r="CC23" i="84" a="1"/>
  <c r="AM24" i="84" a="1"/>
  <c r="CH38" i="84" a="1"/>
  <c r="BR35" i="84" a="1"/>
  <c r="BA39" i="84" a="1"/>
  <c r="BR43" i="84" a="1"/>
  <c r="BU41" i="84" a="1"/>
  <c r="CD16" i="84" a="1"/>
  <c r="CJ17" i="84" a="1"/>
  <c r="AQ19" i="84" a="1"/>
  <c r="AQ27" i="84" a="1"/>
  <c r="AP27" i="84" a="1"/>
  <c r="CH23" i="84" a="1"/>
  <c r="BH30" i="84" a="1"/>
  <c r="CJ25" i="84" a="1"/>
  <c r="BH45" i="84" a="1"/>
  <c r="BX37" i="84" a="1"/>
  <c r="AS43" i="84" a="1"/>
  <c r="BP20" i="84" a="1"/>
  <c r="CC24" i="84" a="1"/>
  <c r="BB42" i="84" a="1"/>
  <c r="AS29" i="84" a="1"/>
  <c r="BK40" i="84" a="1"/>
  <c r="AO25" i="84" a="1"/>
  <c r="CH29" i="84" a="1"/>
  <c r="AS42" i="84" a="1"/>
  <c r="BG22" i="84" a="1"/>
  <c r="BH38" i="84" a="1"/>
  <c r="AL18" i="84" a="1"/>
  <c r="BN29" i="84" a="1"/>
  <c r="CL27" i="84" a="1"/>
  <c r="CE17" i="84" a="1"/>
  <c r="BM35" i="84" a="1"/>
  <c r="AX32" i="84" a="1"/>
  <c r="AM28" i="84" a="1"/>
  <c r="BS42" i="84" a="1"/>
  <c r="CA19" i="84" a="1"/>
  <c r="BV44" i="84" a="1"/>
  <c r="AM36" i="84" a="1"/>
  <c r="BH18" i="84" a="1"/>
  <c r="BL23" i="84" a="1"/>
  <c r="CF18" i="84" a="1"/>
  <c r="BW39" i="84" a="1"/>
  <c r="CF43" i="84" a="1"/>
  <c r="BZ31" i="84" a="1"/>
  <c r="CF37" i="84" a="1"/>
  <c r="BL32" i="84" a="1"/>
  <c r="BB22" i="84" a="1"/>
  <c r="CK34" i="84" a="1"/>
  <c r="CH35" i="84" a="1"/>
  <c r="AM19" i="84" a="1"/>
  <c r="BC34" i="84" a="1"/>
  <c r="BY44" i="84" a="1"/>
  <c r="AK30" i="84" a="1"/>
  <c r="CC25" i="84" a="1"/>
  <c r="CH20" i="84" a="1"/>
  <c r="AZ40" i="84" a="1"/>
  <c r="BU44" i="84" a="1"/>
  <c r="AV41" i="84" a="1"/>
  <c r="BD24" i="84" a="1"/>
  <c r="BU26" i="84" a="1"/>
  <c r="BX17" i="84" a="1"/>
  <c r="BU40" i="84" a="1"/>
  <c r="BT22" i="84" a="1"/>
  <c r="BR21" i="84" a="1"/>
  <c r="BK33" i="84" a="1"/>
  <c r="BA22" i="84" a="1"/>
  <c r="CG27" i="84" a="1"/>
  <c r="CH33" i="84" a="1"/>
  <c r="AV27" i="84" a="1"/>
  <c r="BL21" i="84" a="1"/>
  <c r="BA37" i="84" a="1"/>
  <c r="AL38" i="84" a="1"/>
  <c r="BT37" i="84" a="1"/>
  <c r="BK20" i="84" a="1"/>
  <c r="CI18" i="84" a="1"/>
  <c r="CA31" i="84" a="1"/>
  <c r="AY29" i="84" a="1"/>
  <c r="AQ24" i="84" a="1"/>
  <c r="BC18" i="84" a="1"/>
  <c r="BX30" i="84" a="1"/>
  <c r="AO18" i="84" a="1"/>
  <c r="AX18" i="84" a="1"/>
  <c r="BA28" i="84" a="1"/>
  <c r="CI39" i="84" a="1"/>
  <c r="BD26" i="84" a="1"/>
  <c r="BB29" i="84" a="1"/>
  <c r="AW28" i="84" a="1"/>
  <c r="BG23" i="84" a="1"/>
  <c r="AZ18" i="84" a="1"/>
  <c r="BT36" i="84" a="1"/>
  <c r="CA42" i="84" a="1"/>
  <c r="CF35" i="84" a="1"/>
  <c r="BH23" i="84" a="1"/>
  <c r="AP17" i="84" a="1"/>
  <c r="AQ33" i="84" a="1"/>
  <c r="AP37" i="84" a="1"/>
  <c r="AQ20" i="84" a="1"/>
  <c r="BT25" i="84" a="1"/>
  <c r="CA20" i="84" a="1"/>
  <c r="BG45" i="84" a="1"/>
  <c r="BC16" i="84" a="1"/>
  <c r="CG41" i="84" a="1"/>
  <c r="AX35" i="84" a="1"/>
  <c r="AN30" i="84" a="1"/>
  <c r="AL25" i="84" a="1"/>
  <c r="AP29" i="84" a="1"/>
  <c r="BU20" i="84" a="1"/>
  <c r="BW20" i="84" a="1"/>
  <c r="BV34" i="84" a="1"/>
  <c r="BL29" i="84" a="1"/>
  <c r="AS21" i="84" a="1"/>
  <c r="BL35" i="84" a="1"/>
  <c r="BM19" i="84" a="1"/>
  <c r="AM39" i="84" a="1"/>
  <c r="AT39" i="84" a="1"/>
  <c r="AR35" i="84" a="1"/>
  <c r="BL40" i="84" a="1"/>
  <c r="CL29" i="84" a="1"/>
  <c r="CJ39" i="84" a="1"/>
  <c r="AV38" i="84" a="1"/>
  <c r="BG20" i="84" a="1"/>
  <c r="BO35" i="84" a="1"/>
  <c r="BK23" i="84" a="1"/>
  <c r="AZ28" i="84" a="1"/>
  <c r="BT29" i="84" a="1"/>
  <c r="BR20" i="84" a="1"/>
  <c r="AN18" i="84" a="1"/>
  <c r="BO43" i="84" a="1"/>
  <c r="BY20" i="84" a="1"/>
  <c r="BD38" i="84" a="1"/>
  <c r="BS41" i="84" a="1"/>
  <c r="BO30" i="84" a="1"/>
  <c r="BA21" i="84" a="1"/>
  <c r="AX25" i="84" a="1"/>
  <c r="BM44" i="84" a="1"/>
  <c r="CH30" i="84" a="1"/>
  <c r="AP32" i="84" a="1"/>
  <c r="BW41" i="84" a="1"/>
  <c r="BA24" i="84" a="1"/>
  <c r="AS30" i="84" a="1"/>
  <c r="CG39" i="84" a="1"/>
  <c r="BN40" i="84" a="1"/>
  <c r="CG44" i="84" a="1"/>
  <c r="AO26" i="84" a="1"/>
  <c r="AT19" i="84" a="1"/>
  <c r="BY43" i="84" a="1"/>
  <c r="BA25" i="84" a="1"/>
  <c r="CI40" i="84" a="1"/>
  <c r="BB24" i="84" a="1"/>
  <c r="CH43" i="84" a="1"/>
  <c r="BO20" i="84" a="1"/>
  <c r="AP26" i="84" a="1"/>
  <c r="AQ21" i="84" a="1"/>
  <c r="BZ25" i="84" a="1"/>
  <c r="BM28" i="84" a="1"/>
  <c r="AT41" i="84" a="1"/>
  <c r="AZ42" i="84" a="1"/>
  <c r="AR39" i="84" a="1"/>
  <c r="AT35" i="84" a="1"/>
  <c r="CK35" i="84" a="1"/>
  <c r="AY35" i="84" a="1"/>
  <c r="BE34" i="84" a="1"/>
  <c r="AL33" i="84" a="1"/>
  <c r="BM45" i="84" a="1"/>
  <c r="AX17" i="84" a="1"/>
  <c r="BN20" i="84" a="1"/>
  <c r="AP35" i="84" a="1"/>
  <c r="BJ44" i="84" a="1"/>
  <c r="AL36" i="84" a="1"/>
  <c r="BA29" i="84" a="1"/>
  <c r="CF38" i="84" a="1"/>
  <c r="BB35" i="84" a="1"/>
  <c r="BA41" i="84" a="1"/>
  <c r="BC33" i="84" a="1"/>
  <c r="CC28" i="84" a="1"/>
  <c r="AR27" i="84" a="1"/>
  <c r="AQ44" i="84" a="1"/>
  <c r="BR34" i="84" a="1"/>
  <c r="AT45" i="84" a="1"/>
  <c r="AS36" i="84" a="1"/>
  <c r="CD38" i="84" a="1"/>
  <c r="BS18" i="84" a="1"/>
  <c r="BK37" i="84" a="1"/>
  <c r="BH37" i="84" a="1"/>
  <c r="CE20" i="84" a="1"/>
  <c r="CD40" i="84" a="1"/>
  <c r="BE21" i="84" a="1"/>
  <c r="BD45" i="84" a="1"/>
  <c r="BM33" i="84" a="1"/>
  <c r="BO19" i="84" a="1"/>
  <c r="BJ20" i="84" a="1"/>
  <c r="CK31" i="84" a="1"/>
  <c r="AV36" i="84" a="1"/>
  <c r="BY31" i="84" a="1"/>
  <c r="AZ35" i="84" a="1"/>
  <c r="CA26" i="84" a="1"/>
  <c r="BW28" i="84" a="1"/>
  <c r="BC41" i="84" a="1"/>
  <c r="CG33" i="84" a="1"/>
  <c r="BH29" i="84" a="1"/>
  <c r="AK34" i="84" a="1"/>
  <c r="AQ28" i="84" a="1"/>
  <c r="AY34" i="84" a="1"/>
  <c r="AM38" i="84" a="1"/>
  <c r="CK43" i="84" a="1"/>
  <c r="AV45" i="84" a="1"/>
  <c r="CA37" i="84" a="1"/>
  <c r="BX29" i="84" a="1"/>
  <c r="BK22" i="84" a="1"/>
  <c r="BA34" i="84" a="1"/>
  <c r="BR24" i="84" a="1"/>
  <c r="CK20" i="84" a="1"/>
  <c r="AL31" i="84" a="1"/>
  <c r="BC20" i="84" a="1"/>
  <c r="BE18" i="84" a="1"/>
  <c r="BV45" i="84" a="1"/>
  <c r="CL38" i="84" a="1"/>
  <c r="BA16" i="84" a="1"/>
  <c r="BZ45" i="84" a="1"/>
  <c r="AQ38" i="84" a="1"/>
  <c r="BB34" i="84" a="1"/>
  <c r="BA32" i="84" a="1"/>
  <c r="AW40" i="84" a="1"/>
  <c r="BD42" i="84" a="1"/>
  <c r="BK35" i="84" a="1"/>
  <c r="AY38" i="84" a="1"/>
  <c r="AM34" i="84" a="1"/>
  <c r="CE42" i="84" a="1"/>
  <c r="CA44" i="84" a="1"/>
  <c r="AZ41" i="84" a="1"/>
  <c r="CL24" i="84" a="1"/>
  <c r="BZ41" i="84" a="1"/>
  <c r="CH26" i="84" a="1"/>
  <c r="AW34" i="84" a="1"/>
  <c r="BO21" i="84" a="1"/>
  <c r="CD32" i="84" a="1"/>
  <c r="AV23" i="84" a="1"/>
  <c r="AM41" i="84" a="1"/>
  <c r="BT20" i="84" a="1"/>
  <c r="AL20" i="84" a="1"/>
  <c r="AK42" i="84" a="1"/>
  <c r="AV19" i="84" a="1"/>
  <c r="BP34" i="84" a="1"/>
  <c r="CJ27" i="84" a="1"/>
  <c r="AP41" i="84" a="1"/>
  <c r="BH28" i="84" a="1"/>
  <c r="AP28" i="84" a="1"/>
  <c r="CL18" i="84" a="1"/>
  <c r="CK30" i="84" a="1"/>
  <c r="AX29" i="84" a="1"/>
  <c r="CF45" i="84" a="1"/>
  <c r="BY24" i="84" a="1"/>
  <c r="AV24" i="84" a="1"/>
  <c r="BY35" i="84" a="1"/>
  <c r="BR16" i="84" a="1"/>
  <c r="CC38" i="84" a="1"/>
  <c r="BV25" i="84" a="1"/>
  <c r="CI31" i="84" a="1"/>
  <c r="BV18" i="84" a="1"/>
  <c r="CC21" i="84" a="1"/>
  <c r="AZ27" i="84" a="1"/>
  <c r="CJ36" i="84" a="1"/>
  <c r="CD28" i="84" a="1"/>
  <c r="BR25" i="84" a="1"/>
  <c r="BJ27" i="84" a="1"/>
  <c r="BO18" i="84" a="1"/>
  <c r="BZ23" i="84" a="1"/>
  <c r="AY33" i="84" a="1"/>
  <c r="BK25" i="84" a="1"/>
  <c r="CG38" i="84" a="1"/>
  <c r="AR25" i="84" a="1"/>
  <c r="BI30" i="84" a="1"/>
  <c r="BP41" i="84" a="1"/>
  <c r="AT42" i="84" a="1"/>
  <c r="BI27" i="84" a="1"/>
  <c r="AP25" i="84" a="1"/>
  <c r="BY45" i="84" a="1"/>
  <c r="BZ44" i="84" a="1"/>
  <c r="CC37" i="84" a="1"/>
  <c r="BV20" i="84" a="1"/>
  <c r="AO40" i="84" a="1"/>
  <c r="AQ45" i="84" a="1"/>
  <c r="BN17" i="84" a="1"/>
  <c r="BC25" i="84" a="1"/>
  <c r="BP17" i="84" a="1"/>
  <c r="BW36" i="84" a="1"/>
  <c r="CG32" i="84" a="1"/>
  <c r="AY37" i="84" a="1"/>
  <c r="BG21" i="84" a="1"/>
  <c r="AT43" i="84" a="1"/>
  <c r="BT38" i="84" a="1"/>
  <c r="BW31" i="84" a="1"/>
  <c r="BP38" i="84" a="1"/>
  <c r="CE23" i="84" a="1"/>
  <c r="BG26" i="84" a="1"/>
  <c r="AO42" i="84" a="1"/>
  <c r="AK22" i="84" a="1"/>
  <c r="CE35" i="84" a="1"/>
  <c r="BP31" i="84" a="1"/>
  <c r="BB39" i="84" a="1"/>
  <c r="AP19" i="84" a="1"/>
  <c r="BS37" i="84" a="1"/>
  <c r="BY22" i="84" a="1"/>
  <c r="CI22" i="84" a="1"/>
  <c r="BJ21" i="84" a="1"/>
  <c r="BX32" i="84" a="1"/>
  <c r="BA38" i="84" a="1"/>
  <c r="AV40" i="84" a="1"/>
  <c r="BI29" i="84" a="1"/>
  <c r="AL16" i="84" a="1"/>
  <c r="CK27" i="84" a="1"/>
  <c r="CK17" i="84" l="1"/>
  <c r="BO40" i="84"/>
  <c r="AN40" i="84"/>
  <c r="BC24" i="84"/>
  <c r="BC25" i="84"/>
  <c r="BJ20" i="84"/>
  <c r="AL38" i="84"/>
  <c r="BE17" i="84"/>
  <c r="BG16" i="84"/>
  <c r="BW21" i="84"/>
  <c r="BE25" i="84"/>
  <c r="AS21" i="84"/>
  <c r="BZ22" i="84"/>
  <c r="AO18" i="84"/>
  <c r="BA37" i="84"/>
  <c r="AK18" i="84"/>
  <c r="BX36" i="84"/>
  <c r="CA16" i="84"/>
  <c r="AM33" i="84"/>
  <c r="BA16" i="84"/>
  <c r="AZ18" i="84"/>
  <c r="BX30" i="84"/>
  <c r="BL21" i="84"/>
  <c r="AV31" i="84"/>
  <c r="BG19" i="84"/>
  <c r="AP24" i="84"/>
  <c r="BU31" i="84"/>
  <c r="CK27" i="84"/>
  <c r="BG23" i="84"/>
  <c r="BO19" i="84"/>
  <c r="AV27" i="84"/>
  <c r="BW44" i="84"/>
  <c r="CC39" i="84"/>
  <c r="AL22" i="84"/>
  <c r="AL28" i="84"/>
  <c r="BL29" i="84"/>
  <c r="CD26" i="84"/>
  <c r="BC18" i="84"/>
  <c r="CH33" i="84"/>
  <c r="BB40" i="84"/>
  <c r="BE20" i="84"/>
  <c r="BC23" i="84"/>
  <c r="BP23" i="84"/>
  <c r="CK29" i="84"/>
  <c r="BW28" i="84"/>
  <c r="BM33" i="84"/>
  <c r="CG27" i="84"/>
  <c r="AK20" i="84"/>
  <c r="BR23" i="84"/>
  <c r="AL17" i="84"/>
  <c r="BT26" i="84"/>
  <c r="AL16" i="84"/>
  <c r="BN17" i="84"/>
  <c r="AQ24" i="84"/>
  <c r="BA22" i="84"/>
  <c r="AT26" i="84"/>
  <c r="BC39" i="84"/>
  <c r="BM38" i="84"/>
  <c r="BX35" i="84"/>
  <c r="CL38" i="84"/>
  <c r="AW28" i="84"/>
  <c r="BD45" i="84"/>
  <c r="BK33" i="84"/>
  <c r="CL20" i="84"/>
  <c r="BB36" i="84"/>
  <c r="CI44" i="84"/>
  <c r="BM22" i="84"/>
  <c r="BI29" i="84"/>
  <c r="CE30" i="84"/>
  <c r="AY29" i="84"/>
  <c r="BR21" i="84"/>
  <c r="CK19" i="84"/>
  <c r="AW22" i="84"/>
  <c r="AQ22" i="84"/>
  <c r="BT27" i="84"/>
  <c r="AV40" i="84"/>
  <c r="CA26" i="84"/>
  <c r="BE21" i="84"/>
  <c r="BT22" i="84"/>
  <c r="CK33" i="84"/>
  <c r="BH25" i="84"/>
  <c r="CG34" i="84"/>
  <c r="BW22" i="84"/>
  <c r="BV34" i="84"/>
  <c r="CF25" i="84"/>
  <c r="CD40" i="84"/>
  <c r="BU40" i="84"/>
  <c r="AK44" i="84"/>
  <c r="BE31" i="84"/>
  <c r="BN30" i="84"/>
  <c r="AL43" i="84"/>
  <c r="BV45" i="84"/>
  <c r="AQ45" i="84"/>
  <c r="CA31" i="84"/>
  <c r="BX17" i="84"/>
  <c r="AT17" i="84"/>
  <c r="BU22" i="84"/>
  <c r="AK19" i="84"/>
  <c r="CG22" i="84"/>
  <c r="BX39" i="84"/>
  <c r="BB29" i="84"/>
  <c r="CE20" i="84"/>
  <c r="BU26" i="84"/>
  <c r="BE22" i="84"/>
  <c r="BJ32" i="84"/>
  <c r="CL17" i="84"/>
  <c r="BG27" i="84"/>
  <c r="BA38" i="84"/>
  <c r="AZ35" i="84"/>
  <c r="BH37" i="84"/>
  <c r="BD24" i="84"/>
  <c r="BN43" i="84"/>
  <c r="BJ43" i="84"/>
  <c r="BW32" i="84"/>
  <c r="AQ37" i="84"/>
  <c r="BW20" i="84"/>
  <c r="AO40" i="84"/>
  <c r="CI18" i="84"/>
  <c r="AV41" i="84"/>
  <c r="BO27" i="84"/>
  <c r="BX20" i="84"/>
  <c r="CD35" i="84"/>
  <c r="AL35" i="84"/>
  <c r="BE18" i="84"/>
  <c r="BP19" i="84"/>
  <c r="BK37" i="84"/>
  <c r="BU44" i="84"/>
  <c r="AX37" i="84"/>
  <c r="CG36" i="84"/>
  <c r="AK36" i="84"/>
  <c r="CK22" i="84"/>
  <c r="BX32" i="84"/>
  <c r="BG36" i="84"/>
  <c r="BS18" i="84"/>
  <c r="AZ40" i="84"/>
  <c r="BE37" i="84"/>
  <c r="BE38" i="84"/>
  <c r="BB31" i="84"/>
  <c r="BD29" i="84"/>
  <c r="CJ31" i="84"/>
  <c r="BD26" i="84"/>
  <c r="CD38" i="84"/>
  <c r="CH20" i="84"/>
  <c r="CI32" i="84"/>
  <c r="BD35" i="84"/>
  <c r="BO36" i="84"/>
  <c r="AX38" i="84"/>
  <c r="BJ21" i="84"/>
  <c r="BV20" i="84"/>
  <c r="BK20" i="84"/>
  <c r="CC25" i="84"/>
  <c r="BW17" i="84"/>
  <c r="BP21" i="84"/>
  <c r="CI37" i="84"/>
  <c r="CC18" i="84"/>
  <c r="BC20" i="84"/>
  <c r="CC37" i="84"/>
  <c r="BT37" i="84"/>
  <c r="AK30" i="84"/>
  <c r="CG18" i="84"/>
  <c r="CA18" i="84"/>
  <c r="BI25" i="84"/>
  <c r="BA45" i="84"/>
  <c r="BU20" i="84"/>
  <c r="BY31" i="84"/>
  <c r="AS36" i="84"/>
  <c r="BY44" i="84"/>
  <c r="CG30" i="84"/>
  <c r="CC30" i="84"/>
  <c r="AZ36" i="84"/>
  <c r="BH42" i="84"/>
  <c r="AL31" i="84"/>
  <c r="BA44" i="84"/>
  <c r="AT45" i="84"/>
  <c r="BC34" i="84"/>
  <c r="BC40" i="84"/>
  <c r="BC28" i="84"/>
  <c r="CH37" i="84"/>
  <c r="BM20" i="84"/>
  <c r="BV33" i="84"/>
  <c r="AV36" i="84"/>
  <c r="BR34" i="84"/>
  <c r="AM19" i="84"/>
  <c r="AS31" i="84"/>
  <c r="CL43" i="84"/>
  <c r="BA23" i="84"/>
  <c r="BI17" i="84"/>
  <c r="CI22" i="84"/>
  <c r="BR22" i="84"/>
  <c r="AQ44" i="84"/>
  <c r="CH35" i="84"/>
  <c r="CD36" i="84"/>
  <c r="BX27" i="84"/>
  <c r="CF40" i="84"/>
  <c r="AX44" i="84"/>
  <c r="AP29" i="84"/>
  <c r="CI39" i="84"/>
  <c r="AR27" i="84"/>
  <c r="CK34" i="84"/>
  <c r="BA18" i="84"/>
  <c r="AN31" i="84"/>
  <c r="AT18" i="84"/>
  <c r="AL45" i="84"/>
  <c r="AW45" i="84"/>
  <c r="BZ44" i="84"/>
  <c r="CC28" i="84"/>
  <c r="BB22" i="84"/>
  <c r="BT23" i="84"/>
  <c r="BL19" i="84"/>
  <c r="AZ20" i="84"/>
  <c r="BC30" i="84"/>
  <c r="AL25" i="84"/>
  <c r="BA28" i="84"/>
  <c r="BC33" i="84"/>
  <c r="BL32" i="84"/>
  <c r="BW16" i="84"/>
  <c r="AK23" i="84"/>
  <c r="CF32" i="84"/>
  <c r="CJ37" i="84"/>
  <c r="BS40" i="84"/>
  <c r="AX18" i="84"/>
  <c r="BA41" i="84"/>
  <c r="CF37" i="84"/>
  <c r="AO30" i="84"/>
  <c r="BC32" i="84"/>
  <c r="CC27" i="84"/>
  <c r="BD40" i="84"/>
  <c r="BY22" i="84"/>
  <c r="CK31" i="84"/>
  <c r="BB35" i="84"/>
  <c r="BZ31" i="84"/>
  <c r="BE45" i="84"/>
  <c r="BN42" i="84"/>
  <c r="AR38" i="84"/>
  <c r="CE16" i="84"/>
  <c r="CK20" i="84"/>
  <c r="BD21" i="84"/>
  <c r="CF38" i="84"/>
  <c r="CF43" i="84"/>
  <c r="CK25" i="84"/>
  <c r="BS38" i="84"/>
  <c r="AQ17" i="84"/>
  <c r="CA25" i="84"/>
  <c r="AN30" i="84"/>
  <c r="BY45" i="84"/>
  <c r="BA29" i="84"/>
  <c r="BW39" i="84"/>
  <c r="AR45" i="84"/>
  <c r="BS22" i="84"/>
  <c r="BZ43" i="84"/>
  <c r="AS17" i="84"/>
  <c r="BR24" i="84"/>
  <c r="AP25" i="84"/>
  <c r="AL36" i="84"/>
  <c r="CF18" i="84"/>
  <c r="BL22" i="84"/>
  <c r="CH44" i="84"/>
  <c r="CE40" i="84"/>
  <c r="BI24" i="84"/>
  <c r="BS37" i="84"/>
  <c r="BI27" i="84"/>
  <c r="BJ44" i="84"/>
  <c r="BL23" i="84"/>
  <c r="BW34" i="84"/>
  <c r="BZ28" i="84"/>
  <c r="CA35" i="84"/>
  <c r="AT29" i="84"/>
  <c r="AP39" i="84"/>
  <c r="AT42" i="84"/>
  <c r="AP35" i="84"/>
  <c r="BH18" i="84"/>
  <c r="BI20" i="84"/>
  <c r="BK19" i="84"/>
  <c r="CF28" i="84"/>
  <c r="AV44" i="84"/>
  <c r="AX35" i="84"/>
  <c r="BP41" i="84"/>
  <c r="BN20" i="84"/>
  <c r="AM36" i="84"/>
  <c r="AK37" i="84"/>
  <c r="AQ16" i="84"/>
  <c r="BR39" i="84"/>
  <c r="BG31" i="84"/>
  <c r="AP19" i="84"/>
  <c r="BI30" i="84"/>
  <c r="AX17" i="84"/>
  <c r="BV44" i="84"/>
  <c r="AT30" i="84"/>
  <c r="BV26" i="84"/>
  <c r="BI16" i="84"/>
  <c r="CE28" i="84"/>
  <c r="BA34" i="84"/>
  <c r="AR25" i="84"/>
  <c r="BM45" i="84"/>
  <c r="CA19" i="84"/>
  <c r="CE36" i="84"/>
  <c r="BS21" i="84"/>
  <c r="BY29" i="84"/>
  <c r="BA40" i="84"/>
  <c r="CA17" i="84"/>
  <c r="CG38" i="84"/>
  <c r="AL33" i="84"/>
  <c r="BS42" i="84"/>
  <c r="BN19" i="84"/>
  <c r="AR28" i="84"/>
  <c r="BG38" i="84"/>
  <c r="BB26" i="84"/>
  <c r="CG41" i="84"/>
  <c r="BK25" i="84"/>
  <c r="BE34" i="84"/>
  <c r="AM28" i="84"/>
  <c r="CA41" i="84"/>
  <c r="CD45" i="84"/>
  <c r="BE42" i="84"/>
  <c r="BO45" i="84"/>
  <c r="AV26" i="84"/>
  <c r="AY33" i="84"/>
  <c r="AY35" i="84"/>
  <c r="AX32" i="84"/>
  <c r="CD37" i="84"/>
  <c r="AS33" i="84"/>
  <c r="BY39" i="84"/>
  <c r="BN22" i="84"/>
  <c r="BB39" i="84"/>
  <c r="BZ23" i="84"/>
  <c r="CK35" i="84"/>
  <c r="BM35" i="84"/>
  <c r="AR29" i="84"/>
  <c r="CJ23" i="84"/>
  <c r="AY21" i="84"/>
  <c r="BT17" i="84"/>
  <c r="BK22" i="84"/>
  <c r="BO18" i="84"/>
  <c r="AT35" i="84"/>
  <c r="CE17" i="84"/>
  <c r="AV18" i="84"/>
  <c r="BA43" i="84"/>
  <c r="BR27" i="84"/>
  <c r="CF34" i="84"/>
  <c r="CL34" i="84"/>
  <c r="BJ27" i="84"/>
  <c r="AR39" i="84"/>
  <c r="CL27" i="84"/>
  <c r="BJ28" i="84"/>
  <c r="CL26" i="84"/>
  <c r="BX40" i="84"/>
  <c r="AN43" i="84"/>
  <c r="BC16" i="84"/>
  <c r="BR25" i="84"/>
  <c r="AZ42" i="84"/>
  <c r="BN29" i="84"/>
  <c r="BJ22" i="84"/>
  <c r="BM31" i="84"/>
  <c r="AN29" i="84"/>
  <c r="BJ45" i="84"/>
  <c r="BP31" i="84"/>
  <c r="CD28" i="84"/>
  <c r="AT41" i="84"/>
  <c r="AL18" i="84"/>
  <c r="BW18" i="84"/>
  <c r="CG20" i="84"/>
  <c r="BU32" i="84"/>
  <c r="AO19" i="84"/>
  <c r="BG45" i="84"/>
  <c r="CJ36" i="84"/>
  <c r="BM28" i="84"/>
  <c r="BH38" i="84"/>
  <c r="AY18" i="84"/>
  <c r="BP43" i="84"/>
  <c r="BJ38" i="84"/>
  <c r="CH41" i="84"/>
  <c r="CE35" i="84"/>
  <c r="AZ27" i="84"/>
  <c r="BZ25" i="84"/>
  <c r="BG22" i="84"/>
  <c r="CL40" i="84"/>
  <c r="BA17" i="84"/>
  <c r="BG39" i="84"/>
  <c r="AW33" i="84"/>
  <c r="BX29" i="84"/>
  <c r="CC21" i="84"/>
  <c r="AQ21" i="84"/>
  <c r="AS42" i="84"/>
  <c r="CC40" i="84"/>
  <c r="AM17" i="84"/>
  <c r="AO45" i="84"/>
  <c r="AX42" i="84"/>
  <c r="AK22" i="84"/>
  <c r="BV18" i="84"/>
  <c r="AP26" i="84"/>
  <c r="CH29" i="84"/>
  <c r="CF16" i="84"/>
  <c r="AW16" i="84"/>
  <c r="AZ38" i="84"/>
  <c r="AL26" i="84"/>
  <c r="BU19" i="84"/>
  <c r="CI31" i="84"/>
  <c r="BO20" i="84"/>
  <c r="AO25" i="84"/>
  <c r="BY23" i="84"/>
  <c r="BD36" i="84"/>
  <c r="BH39" i="84"/>
  <c r="AY26" i="84"/>
  <c r="CA20" i="84"/>
  <c r="BV25" i="84"/>
  <c r="CH43" i="84"/>
  <c r="BK40" i="84"/>
  <c r="BZ35" i="84"/>
  <c r="AZ17" i="84"/>
  <c r="AS18" i="84"/>
  <c r="BZ18" i="84"/>
  <c r="AO42" i="84"/>
  <c r="CC38" i="84"/>
  <c r="BB24" i="84"/>
  <c r="AS29" i="84"/>
  <c r="CG19" i="84"/>
  <c r="AS35" i="84"/>
  <c r="CE39" i="84"/>
  <c r="CH25" i="84"/>
  <c r="BG26" i="84"/>
  <c r="BR16" i="84"/>
  <c r="CI40" i="84"/>
  <c r="BB42" i="84"/>
  <c r="AT36" i="84"/>
  <c r="BV41" i="84"/>
  <c r="BT39" i="84"/>
  <c r="BR40" i="84"/>
  <c r="CA37" i="84"/>
  <c r="BY35" i="84"/>
  <c r="BA25" i="84"/>
  <c r="CC24" i="84"/>
  <c r="BT35" i="84"/>
  <c r="BN24" i="84"/>
  <c r="BJ29" i="84"/>
  <c r="AX19" i="84"/>
  <c r="AV45" i="84"/>
  <c r="AV24" i="84"/>
  <c r="BY43" i="84"/>
  <c r="BP20" i="84"/>
  <c r="BG35" i="84"/>
  <c r="BI43" i="84"/>
  <c r="BJ25" i="84"/>
  <c r="BG25" i="84"/>
  <c r="BT25" i="84"/>
  <c r="BY24" i="84"/>
  <c r="AT19" i="84"/>
  <c r="AS43" i="84"/>
  <c r="BV29" i="84"/>
  <c r="CK44" i="84"/>
  <c r="BE43" i="84"/>
  <c r="CG35" i="84"/>
  <c r="CE23" i="84"/>
  <c r="CF45" i="84"/>
  <c r="AO26" i="84"/>
  <c r="BX37" i="84"/>
  <c r="BZ16" i="84"/>
  <c r="BO29" i="84"/>
  <c r="CG37" i="84"/>
  <c r="CL45" i="84"/>
  <c r="BO28" i="84"/>
  <c r="AX29" i="84"/>
  <c r="CG44" i="84"/>
  <c r="BH45" i="84"/>
  <c r="CF36" i="84"/>
  <c r="BM27" i="84"/>
  <c r="AK26" i="84"/>
  <c r="AO29" i="84"/>
  <c r="BP38" i="84"/>
  <c r="CK30" i="84"/>
  <c r="BN40" i="84"/>
  <c r="CJ25" i="84"/>
  <c r="CD25" i="84"/>
  <c r="BV19" i="84"/>
  <c r="AW41" i="84"/>
  <c r="AR33" i="84"/>
  <c r="AQ20" i="84"/>
  <c r="CL18" i="84"/>
  <c r="CG39" i="84"/>
  <c r="BH30" i="84"/>
  <c r="AQ42" i="84"/>
  <c r="BK31" i="84"/>
  <c r="BL41" i="84"/>
  <c r="AQ32" i="84"/>
  <c r="CK43" i="84"/>
  <c r="AP28" i="84"/>
  <c r="AS30" i="84"/>
  <c r="CH23" i="84"/>
  <c r="BT18" i="84"/>
  <c r="BR42" i="84"/>
  <c r="BN23" i="84"/>
  <c r="CG28" i="84"/>
  <c r="BP29" i="84"/>
  <c r="BW31" i="84"/>
  <c r="BH28" i="84"/>
  <c r="BA24" i="84"/>
  <c r="AP27" i="84"/>
  <c r="BS33" i="84"/>
  <c r="BO26" i="84"/>
  <c r="BN21" i="84"/>
  <c r="AV20" i="84"/>
  <c r="CF39" i="84"/>
  <c r="BX22" i="84"/>
  <c r="AP41" i="84"/>
  <c r="BW41" i="84"/>
  <c r="AQ27" i="84"/>
  <c r="BM17" i="84"/>
  <c r="BD23" i="84"/>
  <c r="BW19" i="84"/>
  <c r="AN38" i="84"/>
  <c r="AV22" i="84"/>
  <c r="AP37" i="84"/>
  <c r="CJ27" i="84"/>
  <c r="AP32" i="84"/>
  <c r="AX41" i="84"/>
  <c r="AQ19" i="84"/>
  <c r="AP31" i="84"/>
  <c r="BN31" i="84"/>
  <c r="CA21" i="84"/>
  <c r="BE24" i="84"/>
  <c r="AM38" i="84"/>
  <c r="BP34" i="84"/>
  <c r="AM21" i="84"/>
  <c r="CH30" i="84"/>
  <c r="CJ17" i="84"/>
  <c r="CJ38" i="84"/>
  <c r="CJ18" i="84"/>
  <c r="AW24" i="84"/>
  <c r="BY32" i="84"/>
  <c r="BT38" i="84"/>
  <c r="CH42" i="84"/>
  <c r="AV19" i="84"/>
  <c r="BM44" i="84"/>
  <c r="CD16" i="84"/>
  <c r="BB45" i="84"/>
  <c r="AP33" i="84"/>
  <c r="AO21" i="84"/>
  <c r="CF42" i="84"/>
  <c r="BH22" i="84"/>
  <c r="AT43" i="84"/>
  <c r="AK42" i="84"/>
  <c r="AX25" i="84"/>
  <c r="BU41" i="84"/>
  <c r="BH44" i="84"/>
  <c r="BI44" i="84"/>
  <c r="BU24" i="84"/>
  <c r="BS16" i="84"/>
  <c r="CI41" i="84"/>
  <c r="AY34" i="84"/>
  <c r="AL20" i="84"/>
  <c r="BA21" i="84"/>
  <c r="BR43" i="84"/>
  <c r="CE41" i="84"/>
  <c r="CI27" i="84"/>
  <c r="CL22" i="84"/>
  <c r="AN33" i="84"/>
  <c r="BJ16" i="84"/>
  <c r="BW38" i="84"/>
  <c r="BN26" i="84"/>
  <c r="BT20" i="84"/>
  <c r="BO30" i="84"/>
  <c r="CH19" i="84"/>
  <c r="AX20" i="84"/>
  <c r="BA39" i="84"/>
  <c r="BW30" i="84"/>
  <c r="CL23" i="84"/>
  <c r="AY22" i="84"/>
  <c r="BK16" i="84"/>
  <c r="BX18" i="84"/>
  <c r="BI36" i="84"/>
  <c r="BC35" i="84"/>
  <c r="BG21" i="84"/>
  <c r="AM41" i="84"/>
  <c r="BS41" i="84"/>
  <c r="BA26" i="84"/>
  <c r="BR35" i="84"/>
  <c r="BH35" i="84"/>
  <c r="CE45" i="84"/>
  <c r="CK26" i="84"/>
  <c r="BB38" i="84"/>
  <c r="BM18" i="84"/>
  <c r="BK28" i="84"/>
  <c r="AY16" i="84"/>
  <c r="AQ33" i="84"/>
  <c r="AV23" i="84"/>
  <c r="BE28" i="84"/>
  <c r="AS39" i="84"/>
  <c r="BD38" i="84"/>
  <c r="CH38" i="84"/>
  <c r="BP44" i="84"/>
  <c r="BP28" i="84"/>
  <c r="AL40" i="84"/>
  <c r="CJ29" i="84"/>
  <c r="CC32" i="84"/>
  <c r="BH31" i="84"/>
  <c r="BC21" i="84"/>
  <c r="BI35" i="84"/>
  <c r="BH40" i="84"/>
  <c r="BN34" i="84"/>
  <c r="CD32" i="84"/>
  <c r="BY20" i="84"/>
  <c r="AP16" i="84"/>
  <c r="BP32" i="84"/>
  <c r="BD27" i="84"/>
  <c r="AM24" i="84"/>
  <c r="BH32" i="84"/>
  <c r="CD29" i="84"/>
  <c r="BR28" i="84"/>
  <c r="BH26" i="84"/>
  <c r="BM16" i="84"/>
  <c r="AO22" i="84"/>
  <c r="BI21" i="84"/>
  <c r="CL25" i="84"/>
  <c r="AQ25" i="84"/>
  <c r="BS39" i="84"/>
  <c r="AY37" i="84"/>
  <c r="AW31" i="84"/>
  <c r="BM32" i="84"/>
  <c r="AT33" i="84"/>
  <c r="CI35" i="84"/>
  <c r="BO21" i="84"/>
  <c r="BO43" i="84"/>
  <c r="AV25" i="84"/>
  <c r="CC23" i="84"/>
  <c r="CI20" i="84"/>
  <c r="BR26" i="84"/>
  <c r="BD22" i="84"/>
  <c r="CG45" i="84"/>
  <c r="AQ18" i="84"/>
  <c r="BY36" i="84"/>
  <c r="BU30" i="84"/>
  <c r="BS34" i="84"/>
  <c r="BU17" i="84"/>
  <c r="AQ36" i="84"/>
  <c r="AS26" i="84"/>
  <c r="AR16" i="84"/>
  <c r="AS40" i="84"/>
  <c r="AP17" i="84"/>
  <c r="BH36" i="84"/>
  <c r="AW34" i="84"/>
  <c r="CA45" i="84"/>
  <c r="AV21" i="84"/>
  <c r="CK21" i="84"/>
  <c r="CG25" i="84"/>
  <c r="AN18" i="84"/>
  <c r="BD44" i="84"/>
  <c r="BG37" i="84"/>
  <c r="AO34" i="84"/>
  <c r="BT24" i="84"/>
  <c r="BI42" i="84"/>
  <c r="AY19" i="84"/>
  <c r="AS38" i="84"/>
  <c r="AX31" i="84"/>
  <c r="BB20" i="84"/>
  <c r="BK30" i="84"/>
  <c r="AN32" i="84"/>
  <c r="BJ18" i="84"/>
  <c r="CL39" i="84"/>
  <c r="BS45" i="84"/>
  <c r="CJ40" i="84"/>
  <c r="AQ28" i="84"/>
  <c r="CH26" i="84"/>
  <c r="AM44" i="84"/>
  <c r="BR20" i="84"/>
  <c r="AZ45" i="84"/>
  <c r="AR20" i="84"/>
  <c r="AV35" i="84"/>
  <c r="AN45" i="84"/>
  <c r="AK24" i="84"/>
  <c r="BW43" i="84"/>
  <c r="BO22" i="84"/>
  <c r="AS28" i="84"/>
  <c r="BD17" i="84"/>
  <c r="BG41" i="84"/>
  <c r="AY40" i="84"/>
  <c r="BC27" i="84"/>
  <c r="AL39" i="84"/>
  <c r="AW20" i="84"/>
  <c r="AW35" i="84"/>
  <c r="AO37" i="84"/>
  <c r="CI30" i="84"/>
  <c r="BR31" i="84"/>
  <c r="AL23" i="84"/>
  <c r="BV37" i="84"/>
  <c r="BZ41" i="84"/>
  <c r="BT29" i="84"/>
  <c r="BK38" i="84"/>
  <c r="BE26" i="84"/>
  <c r="BE23" i="84"/>
  <c r="BB41" i="84"/>
  <c r="BX42" i="84"/>
  <c r="CH18" i="84"/>
  <c r="AM27" i="84"/>
  <c r="CC33" i="84"/>
  <c r="BP26" i="84"/>
  <c r="BY38" i="84"/>
  <c r="BB16" i="84"/>
  <c r="BR32" i="84"/>
  <c r="CD18" i="84"/>
  <c r="BW35" i="84"/>
  <c r="BE33" i="84"/>
  <c r="AR32" i="84"/>
  <c r="BP25" i="84"/>
  <c r="BZ36" i="84"/>
  <c r="CE32" i="84"/>
  <c r="AX33" i="84"/>
  <c r="BW33" i="84"/>
  <c r="CF30" i="84"/>
  <c r="AK34" i="84"/>
  <c r="CF33" i="84"/>
  <c r="BX19" i="84"/>
  <c r="CL24" i="84"/>
  <c r="BU28" i="84"/>
  <c r="BY30" i="84"/>
  <c r="CA38" i="84"/>
  <c r="CD21" i="84"/>
  <c r="AZ28" i="84"/>
  <c r="AO28" i="84"/>
  <c r="AW30" i="84"/>
  <c r="AT31" i="84"/>
  <c r="AK45" i="84"/>
  <c r="BA33" i="84"/>
  <c r="BD43" i="84"/>
  <c r="BU39" i="84"/>
  <c r="AX36" i="84"/>
  <c r="BB27" i="84"/>
  <c r="CE33" i="84"/>
  <c r="AY20" i="84"/>
  <c r="AR36" i="84"/>
  <c r="AY27" i="84"/>
  <c r="CH39" i="84"/>
  <c r="AN42" i="84"/>
  <c r="AZ33" i="84"/>
  <c r="BP36" i="84"/>
  <c r="AZ34" i="84"/>
  <c r="BW37" i="84"/>
  <c r="BD28" i="84"/>
  <c r="BT31" i="84"/>
  <c r="AN36" i="84"/>
  <c r="AN25" i="84"/>
  <c r="AY25" i="84"/>
  <c r="AP23" i="84"/>
  <c r="AX34" i="84"/>
  <c r="CA30" i="84"/>
  <c r="BO42" i="84"/>
  <c r="BR30" i="84"/>
  <c r="BL20" i="84"/>
  <c r="BE41" i="84"/>
  <c r="CF29" i="84"/>
  <c r="AP36" i="84"/>
  <c r="AN19" i="84"/>
  <c r="AY31" i="84"/>
  <c r="CG23" i="84"/>
  <c r="BO34" i="84"/>
  <c r="CH28" i="84"/>
  <c r="AL30" i="84"/>
  <c r="BZ30" i="84"/>
  <c r="AZ29" i="84"/>
  <c r="CI23" i="84"/>
  <c r="CG32" i="84"/>
  <c r="BG40" i="84"/>
  <c r="AO20" i="84"/>
  <c r="BV40" i="84"/>
  <c r="BE16" i="84"/>
  <c r="CC43" i="84"/>
  <c r="CC16" i="84"/>
  <c r="BI34" i="84"/>
  <c r="AZ41" i="84"/>
  <c r="BV32" i="84"/>
  <c r="AK27" i="84"/>
  <c r="BA30" i="84"/>
  <c r="AR26" i="84"/>
  <c r="AO31" i="84"/>
  <c r="CA28" i="84"/>
  <c r="CA29" i="84"/>
  <c r="BK23" i="84"/>
  <c r="AY41" i="84"/>
  <c r="AP43" i="84"/>
  <c r="CD20" i="84"/>
  <c r="BA42" i="84"/>
  <c r="AN44" i="84"/>
  <c r="AZ21" i="84"/>
  <c r="AW32" i="84"/>
  <c r="BI26" i="84"/>
  <c r="AV34" i="84"/>
  <c r="BV27" i="84"/>
  <c r="BX23" i="84"/>
  <c r="BY18" i="84"/>
  <c r="BN28" i="84"/>
  <c r="CH34" i="84"/>
  <c r="BY34" i="84"/>
  <c r="BD25" i="84"/>
  <c r="AW18" i="84"/>
  <c r="AX45" i="84"/>
  <c r="CC36" i="84"/>
  <c r="BK41" i="84"/>
  <c r="CK32" i="84"/>
  <c r="CA34" i="84"/>
  <c r="BM29" i="84"/>
  <c r="BL16" i="84"/>
  <c r="BW27" i="84"/>
  <c r="AO17" i="84"/>
  <c r="CD23" i="84"/>
  <c r="AV43" i="84"/>
  <c r="AV42" i="84"/>
  <c r="AY23" i="84"/>
  <c r="AX21" i="84"/>
  <c r="BE36" i="84"/>
  <c r="AO32" i="84"/>
  <c r="CA27" i="84"/>
  <c r="CC19" i="84"/>
  <c r="BI40" i="84"/>
  <c r="CI25" i="84"/>
  <c r="AT32" i="84"/>
  <c r="BN32" i="84"/>
  <c r="BD32" i="84"/>
  <c r="BJ33" i="84"/>
  <c r="BT19" i="84"/>
  <c r="AR37" i="84"/>
  <c r="CL19" i="84"/>
  <c r="BH43" i="84"/>
  <c r="BW40" i="84"/>
  <c r="CC20" i="84"/>
  <c r="BH23" i="84"/>
  <c r="BA31" i="84"/>
  <c r="BG33" i="84"/>
  <c r="BI45" i="84"/>
  <c r="CF20" i="84"/>
  <c r="BV43" i="84"/>
  <c r="BZ33" i="84"/>
  <c r="BL18" i="84"/>
  <c r="CA44" i="84"/>
  <c r="BE19" i="84"/>
  <c r="BG29" i="84"/>
  <c r="AW26" i="84"/>
  <c r="BC44" i="84"/>
  <c r="CJ41" i="84"/>
  <c r="BJ17" i="84"/>
  <c r="AL37" i="84"/>
  <c r="BO35" i="84"/>
  <c r="BT30" i="84"/>
  <c r="AK21" i="84"/>
  <c r="BT28" i="84"/>
  <c r="BH21" i="84"/>
  <c r="BT43" i="84"/>
  <c r="BC42" i="84"/>
  <c r="BV28" i="84"/>
  <c r="BO39" i="84"/>
  <c r="AW44" i="84"/>
  <c r="BS35" i="84"/>
  <c r="AX26" i="84"/>
  <c r="BS26" i="84"/>
  <c r="BC29" i="84"/>
  <c r="AT38" i="84"/>
  <c r="BL42" i="84"/>
  <c r="AW29" i="84"/>
  <c r="BJ41" i="84"/>
  <c r="AO43" i="84"/>
  <c r="AR19" i="84"/>
  <c r="AS45" i="84"/>
  <c r="CF44" i="84"/>
  <c r="AY36" i="84"/>
  <c r="BX25" i="84"/>
  <c r="BO41" i="84"/>
  <c r="BB43" i="84"/>
  <c r="AZ37" i="84"/>
  <c r="BL43" i="84"/>
  <c r="AS23" i="84"/>
  <c r="BC26" i="84"/>
  <c r="BT34" i="84"/>
  <c r="AW23" i="84"/>
  <c r="CJ34" i="84"/>
  <c r="BV30" i="84"/>
  <c r="CA32" i="84"/>
  <c r="BE29" i="84"/>
  <c r="CK37" i="84"/>
  <c r="AZ19" i="84"/>
  <c r="BM39" i="84"/>
  <c r="BV42" i="84"/>
  <c r="CL35" i="84"/>
  <c r="AS24" i="84"/>
  <c r="BO16" i="84"/>
  <c r="CH16" i="84"/>
  <c r="AO16" i="84"/>
  <c r="AK16" i="84"/>
  <c r="BX21" i="84"/>
  <c r="BH16" i="84"/>
  <c r="BH29" i="84"/>
  <c r="AS34" i="84"/>
  <c r="AX39" i="84"/>
  <c r="CI17" i="84"/>
  <c r="BY40" i="84"/>
  <c r="BI33" i="84"/>
  <c r="BL44" i="84"/>
  <c r="BY37" i="84"/>
  <c r="CE42" i="84"/>
  <c r="BH34" i="84"/>
  <c r="AT37" i="84"/>
  <c r="BE32" i="84"/>
  <c r="CC41" i="84"/>
  <c r="BU33" i="84"/>
  <c r="BK24" i="84"/>
  <c r="BG44" i="84"/>
  <c r="BG20" i="84"/>
  <c r="AP38" i="84"/>
  <c r="BR29" i="84"/>
  <c r="BL33" i="84"/>
  <c r="BS24" i="84"/>
  <c r="BY17" i="84"/>
  <c r="AQ41" i="84"/>
  <c r="BB25" i="84"/>
  <c r="BD18" i="84"/>
  <c r="AL32" i="84"/>
  <c r="AR17" i="84"/>
  <c r="BH27" i="84"/>
  <c r="AO36" i="84"/>
  <c r="AZ30" i="84"/>
  <c r="AZ25" i="84"/>
  <c r="BO25" i="84"/>
  <c r="AS27" i="84"/>
  <c r="BB21" i="84"/>
  <c r="CI26" i="84"/>
  <c r="BK43" i="84"/>
  <c r="BZ26" i="84"/>
  <c r="BK21" i="84"/>
  <c r="AK33" i="84"/>
  <c r="BE40" i="84"/>
  <c r="AN23" i="84"/>
  <c r="BJ19" i="84"/>
  <c r="BP37" i="84"/>
  <c r="AN17" i="84"/>
  <c r="BI37" i="84"/>
  <c r="AO38" i="84"/>
  <c r="AM32" i="84"/>
  <c r="AS32" i="84"/>
  <c r="CE25" i="84"/>
  <c r="BN18" i="84"/>
  <c r="AS37" i="84"/>
  <c r="BU35" i="84"/>
  <c r="CG29" i="84"/>
  <c r="BY26" i="84"/>
  <c r="AK35" i="84"/>
  <c r="BJ36" i="84"/>
  <c r="BK34" i="84"/>
  <c r="CC17" i="84"/>
  <c r="CJ19" i="84"/>
  <c r="CJ16" i="84"/>
  <c r="BC31" i="84"/>
  <c r="AP21" i="84"/>
  <c r="BP22" i="84"/>
  <c r="CC26" i="84"/>
  <c r="CF35" i="84"/>
  <c r="AP22" i="84"/>
  <c r="CE24" i="84"/>
  <c r="CJ21" i="84"/>
  <c r="BS36" i="84"/>
  <c r="BR36" i="84"/>
  <c r="CH21" i="84"/>
  <c r="BZ20" i="84"/>
  <c r="AM34" i="84"/>
  <c r="CF17" i="84"/>
  <c r="BZ38" i="84"/>
  <c r="AN24" i="84"/>
  <c r="AR24" i="84"/>
  <c r="CJ28" i="84"/>
  <c r="AY32" i="84"/>
  <c r="BW25" i="84"/>
  <c r="AV38" i="84"/>
  <c r="AW43" i="84"/>
  <c r="CE26" i="84"/>
  <c r="AQ29" i="84"/>
  <c r="BX44" i="84"/>
  <c r="BX45" i="84"/>
  <c r="CE29" i="84"/>
  <c r="BM41" i="84"/>
  <c r="AY45" i="84"/>
  <c r="BZ17" i="84"/>
  <c r="AS41" i="84"/>
  <c r="BO33" i="84"/>
  <c r="AO24" i="84"/>
  <c r="BX16" i="84"/>
  <c r="BG28" i="84"/>
  <c r="AX16" i="84"/>
  <c r="BL26" i="84"/>
  <c r="AQ43" i="84"/>
  <c r="BG18" i="84"/>
  <c r="BC17" i="84"/>
  <c r="CD44" i="84"/>
  <c r="BV17" i="84"/>
  <c r="AM45" i="84"/>
  <c r="BW26" i="84"/>
  <c r="CG21" i="84"/>
  <c r="CK41" i="84"/>
  <c r="BP24" i="84"/>
  <c r="BC45" i="84"/>
  <c r="AO27" i="84"/>
  <c r="AT16" i="84"/>
  <c r="BK29" i="84"/>
  <c r="BU29" i="84"/>
  <c r="CI33" i="84"/>
  <c r="CC45" i="84"/>
  <c r="BY21" i="84"/>
  <c r="BV31" i="84"/>
  <c r="BS23" i="84"/>
  <c r="CJ45" i="84"/>
  <c r="AW25" i="84"/>
  <c r="AT21" i="84"/>
  <c r="BS27" i="84"/>
  <c r="BO17" i="84"/>
  <c r="CL42" i="84"/>
  <c r="CJ42" i="84"/>
  <c r="AT34" i="84"/>
  <c r="AZ43" i="84"/>
  <c r="BC43" i="84"/>
  <c r="AP40" i="84"/>
  <c r="BW36" i="84"/>
  <c r="BZ42" i="84"/>
  <c r="BV36" i="84"/>
  <c r="AK39" i="84"/>
  <c r="CC34" i="84"/>
  <c r="BL39" i="84"/>
  <c r="AN20" i="84"/>
  <c r="BN27" i="84"/>
  <c r="AY38" i="84"/>
  <c r="BK45" i="84"/>
  <c r="AM43" i="84"/>
  <c r="CI16" i="84"/>
  <c r="CF26" i="84"/>
  <c r="AV33" i="84"/>
  <c r="BB33" i="84"/>
  <c r="BX41" i="84"/>
  <c r="CJ39" i="84"/>
  <c r="AP44" i="84"/>
  <c r="CI19" i="84"/>
  <c r="BC19" i="84"/>
  <c r="AS19" i="84"/>
  <c r="AS22" i="84"/>
  <c r="CJ43" i="84"/>
  <c r="AX22" i="84"/>
  <c r="AP42" i="84"/>
  <c r="BB28" i="84"/>
  <c r="BU23" i="84"/>
  <c r="BU42" i="84"/>
  <c r="BS25" i="84"/>
  <c r="BP30" i="84"/>
  <c r="AK32" i="84"/>
  <c r="CC42" i="84"/>
  <c r="BA19" i="84"/>
  <c r="BU18" i="84"/>
  <c r="BU45" i="84"/>
  <c r="CD34" i="84"/>
  <c r="BZ34" i="84"/>
  <c r="CC44" i="84"/>
  <c r="AK43" i="84"/>
  <c r="BZ29" i="84"/>
  <c r="AV37" i="84"/>
  <c r="BX38" i="84"/>
  <c r="BE27" i="84"/>
  <c r="AV39" i="84"/>
  <c r="BY25" i="84"/>
  <c r="BP35" i="84"/>
  <c r="AY17" i="84"/>
  <c r="AO41" i="84"/>
  <c r="AX30" i="84"/>
  <c r="CH36" i="84"/>
  <c r="CC22" i="84"/>
  <c r="AR43" i="84"/>
  <c r="BG34" i="84"/>
  <c r="BS31" i="84"/>
  <c r="BR44" i="84"/>
  <c r="CI43" i="84"/>
  <c r="CJ32" i="84"/>
  <c r="CG42" i="84"/>
  <c r="AM37" i="84"/>
  <c r="CJ24" i="84"/>
  <c r="AQ26" i="84"/>
  <c r="CD24" i="84"/>
  <c r="AX40" i="84"/>
  <c r="CD31" i="84"/>
  <c r="CG33" i="84"/>
  <c r="BJ26" i="84"/>
  <c r="BW45" i="84"/>
  <c r="BS44" i="84"/>
  <c r="BR17" i="84"/>
  <c r="CE31" i="84"/>
  <c r="BX26" i="84"/>
  <c r="BH19" i="84"/>
  <c r="BK35" i="84"/>
  <c r="BP40" i="84"/>
  <c r="BL27" i="84"/>
  <c r="CA43" i="84"/>
  <c r="AX27" i="84"/>
  <c r="BG43" i="84"/>
  <c r="BW24" i="84"/>
  <c r="CE37" i="84"/>
  <c r="CL29" i="84"/>
  <c r="BU25" i="84"/>
  <c r="BV39" i="84"/>
  <c r="CH32" i="84"/>
  <c r="BS32" i="84"/>
  <c r="BZ21" i="84"/>
  <c r="CD30" i="84"/>
  <c r="AR34" i="84"/>
  <c r="BV38" i="84"/>
  <c r="CD43" i="84"/>
  <c r="BI23" i="84"/>
  <c r="BS29" i="84"/>
  <c r="BE30" i="84"/>
  <c r="BP42" i="84"/>
  <c r="AQ30" i="84"/>
  <c r="BL28" i="84"/>
  <c r="BJ31" i="84"/>
  <c r="BY41" i="84"/>
  <c r="AZ23" i="84"/>
  <c r="AW39" i="84"/>
  <c r="BD39" i="84"/>
  <c r="AN22" i="84"/>
  <c r="BU37" i="84"/>
  <c r="AL42" i="84"/>
  <c r="BI28" i="84"/>
  <c r="BH20" i="84"/>
  <c r="BC36" i="84"/>
  <c r="AT25" i="84"/>
  <c r="AK40" i="84"/>
  <c r="BJ37" i="84"/>
  <c r="BB19" i="84"/>
  <c r="BI19" i="84"/>
  <c r="AL29" i="84"/>
  <c r="AQ23" i="84"/>
  <c r="BB23" i="84"/>
  <c r="CC29" i="84"/>
  <c r="CH40" i="84"/>
  <c r="AR30" i="84"/>
  <c r="BT40" i="84"/>
  <c r="AM18" i="84"/>
  <c r="AK17" i="84"/>
  <c r="BK39" i="84"/>
  <c r="CK38" i="84"/>
  <c r="AO39" i="84"/>
  <c r="AN34" i="84"/>
  <c r="BY16" i="84"/>
  <c r="BA20" i="84"/>
  <c r="CG31" i="84"/>
  <c r="CJ20" i="84"/>
  <c r="AL19" i="84"/>
  <c r="CL37" i="84"/>
  <c r="BJ35" i="84"/>
  <c r="BB30" i="84"/>
  <c r="AY44" i="84"/>
  <c r="BA27" i="84"/>
  <c r="AR40" i="84"/>
  <c r="BD42" i="84"/>
  <c r="BU36" i="84"/>
  <c r="CI36" i="84"/>
  <c r="CD19" i="84"/>
  <c r="CI45" i="84"/>
  <c r="CJ35" i="84"/>
  <c r="BZ39" i="84"/>
  <c r="BS19" i="84"/>
  <c r="BL40" i="84"/>
  <c r="AQ31" i="84"/>
  <c r="AM16" i="84"/>
  <c r="BS30" i="84"/>
  <c r="BH17" i="84"/>
  <c r="AQ35" i="84"/>
  <c r="CA36" i="84"/>
  <c r="CF41" i="84"/>
  <c r="AV30" i="84"/>
  <c r="BM40" i="84"/>
  <c r="BJ39" i="84"/>
  <c r="BI18" i="84"/>
  <c r="BK32" i="84"/>
  <c r="AM20" i="84"/>
  <c r="CL36" i="84"/>
  <c r="BY19" i="84"/>
  <c r="BD34" i="84"/>
  <c r="BN36" i="84"/>
  <c r="CJ26" i="84"/>
  <c r="BD33" i="84"/>
  <c r="BL31" i="84"/>
  <c r="BR38" i="84"/>
  <c r="BL36" i="84"/>
  <c r="BS17" i="84"/>
  <c r="BM26" i="84"/>
  <c r="BU27" i="84"/>
  <c r="CA40" i="84"/>
  <c r="CH24" i="84"/>
  <c r="AT44" i="84"/>
  <c r="AZ16" i="84"/>
  <c r="BM30" i="84"/>
  <c r="CG24" i="84"/>
  <c r="AK41" i="84"/>
  <c r="BV21" i="84"/>
  <c r="BG17" i="84"/>
  <c r="CE22" i="84"/>
  <c r="BW23" i="84"/>
  <c r="BU38" i="84"/>
  <c r="AL41" i="84"/>
  <c r="BT41" i="84"/>
  <c r="BP16" i="84"/>
  <c r="CI21" i="84"/>
  <c r="BY33" i="84"/>
  <c r="BR41" i="84"/>
  <c r="BK27" i="84"/>
  <c r="CA22" i="84"/>
  <c r="BM42" i="84"/>
  <c r="CE27" i="84"/>
  <c r="CA42" i="84"/>
  <c r="BJ34" i="84"/>
  <c r="BC38" i="84"/>
  <c r="BE44" i="84"/>
  <c r="AM23" i="84"/>
  <c r="AT27" i="84"/>
  <c r="BD37" i="84"/>
  <c r="BP27" i="84"/>
  <c r="AW40" i="84"/>
  <c r="BN39" i="84"/>
  <c r="BM34" i="84"/>
  <c r="BK17" i="84"/>
  <c r="BI32" i="84"/>
  <c r="BR19" i="84"/>
  <c r="CI24" i="84"/>
  <c r="AL34" i="84"/>
  <c r="AR35" i="84"/>
  <c r="BX43" i="84"/>
  <c r="AY39" i="84"/>
  <c r="CK42" i="84"/>
  <c r="AV28" i="84"/>
  <c r="BM23" i="84"/>
  <c r="BR33" i="84"/>
  <c r="BP39" i="84"/>
  <c r="BX31" i="84"/>
  <c r="BN16" i="84"/>
  <c r="BN44" i="84"/>
  <c r="AK28" i="84"/>
  <c r="CE43" i="84"/>
  <c r="BT42" i="84"/>
  <c r="AT22" i="84"/>
  <c r="AX43" i="84"/>
  <c r="BY27" i="84"/>
  <c r="CL28" i="84"/>
  <c r="AM26" i="84"/>
  <c r="AM30" i="84"/>
  <c r="AR41" i="84"/>
  <c r="AL27" i="84"/>
  <c r="AT28" i="84"/>
  <c r="CL31" i="84"/>
  <c r="BH24" i="84"/>
  <c r="BO44" i="84"/>
  <c r="BJ24" i="84"/>
  <c r="BC37" i="84"/>
  <c r="BE35" i="84"/>
  <c r="AM42" i="84"/>
  <c r="CG40" i="84"/>
  <c r="AS20" i="84"/>
  <c r="AL44" i="84"/>
  <c r="BI41" i="84"/>
  <c r="AN35" i="84"/>
  <c r="BO31" i="84"/>
  <c r="AN37" i="84"/>
  <c r="AO33" i="84"/>
  <c r="CI38" i="84"/>
  <c r="BR45" i="84"/>
  <c r="BW29" i="84"/>
  <c r="BD20" i="84"/>
  <c r="BT32" i="84"/>
  <c r="CK45" i="84"/>
  <c r="AV32" i="84"/>
  <c r="CE19" i="84"/>
  <c r="BM37" i="84"/>
  <c r="CA23" i="84"/>
  <c r="BT36" i="84"/>
  <c r="AM25" i="84"/>
  <c r="BJ42" i="84"/>
  <c r="CF27" i="84"/>
  <c r="BK18" i="84"/>
  <c r="AL21" i="84"/>
  <c r="CK39" i="84"/>
  <c r="BK36" i="84"/>
  <c r="BA32" i="84"/>
  <c r="BV23" i="84"/>
  <c r="CG17" i="84"/>
  <c r="BK44" i="84"/>
  <c r="BD41" i="84"/>
  <c r="AN41" i="84"/>
  <c r="BS28" i="84"/>
  <c r="AP34" i="84"/>
  <c r="AT39" i="84"/>
  <c r="BK42" i="84"/>
  <c r="AT24" i="84"/>
  <c r="CG43" i="84"/>
  <c r="BV16" i="84"/>
  <c r="CA24" i="84"/>
  <c r="BL25" i="84"/>
  <c r="BO38" i="84"/>
  <c r="BJ40" i="84"/>
  <c r="BT16" i="84"/>
  <c r="AY28" i="84"/>
  <c r="AK31" i="84"/>
  <c r="BV22" i="84"/>
  <c r="AK29" i="84"/>
  <c r="CD33" i="84"/>
  <c r="BT44" i="84"/>
  <c r="AM35" i="84"/>
  <c r="CK16" i="84"/>
  <c r="CI34" i="84"/>
  <c r="CD17" i="84"/>
  <c r="BW42" i="84"/>
  <c r="BB17" i="84"/>
  <c r="BM21" i="84"/>
  <c r="CE21" i="84"/>
  <c r="BB32" i="84"/>
  <c r="AY24" i="84"/>
  <c r="BI22" i="84"/>
  <c r="CD39" i="84"/>
  <c r="BM24" i="84"/>
  <c r="CD22" i="84"/>
  <c r="BD19" i="84"/>
  <c r="BZ24" i="84"/>
  <c r="BI39" i="84"/>
  <c r="AZ22" i="84"/>
  <c r="BV24" i="84"/>
  <c r="BU34" i="84"/>
  <c r="CJ22" i="84"/>
  <c r="BO32" i="84"/>
  <c r="CA39" i="84"/>
  <c r="AW27" i="84"/>
  <c r="AM40" i="84"/>
  <c r="AR44" i="84"/>
  <c r="BY28" i="84"/>
  <c r="AP30" i="84"/>
  <c r="BD16" i="84"/>
  <c r="BL24" i="84"/>
  <c r="BK26" i="84"/>
  <c r="AS16" i="84"/>
  <c r="BP17" i="84"/>
  <c r="AT20" i="84"/>
  <c r="BM43" i="84"/>
  <c r="AX23" i="84"/>
  <c r="BL37" i="84"/>
  <c r="BU21" i="84"/>
  <c r="BH41" i="84"/>
  <c r="BO23" i="84"/>
  <c r="BB34" i="84"/>
  <c r="BB44" i="84"/>
  <c r="BJ30" i="84"/>
  <c r="BJ23" i="84"/>
  <c r="BX28" i="84"/>
  <c r="AP20" i="84"/>
  <c r="BI38" i="84"/>
  <c r="CE34" i="84"/>
  <c r="AM39" i="84"/>
  <c r="AP18" i="84"/>
  <c r="BZ19" i="84"/>
  <c r="CH45" i="84"/>
  <c r="BN45" i="84"/>
  <c r="AS44" i="84"/>
  <c r="CK36" i="84"/>
  <c r="AR21" i="84"/>
  <c r="AK38" i="84"/>
  <c r="BN25" i="84"/>
  <c r="CA33" i="84"/>
  <c r="BR37" i="84"/>
  <c r="BA36" i="84"/>
  <c r="CL33" i="84"/>
  <c r="CJ44" i="84"/>
  <c r="BN37" i="84"/>
  <c r="CE44" i="84"/>
  <c r="AL24" i="84"/>
  <c r="AS25" i="84"/>
  <c r="BG30" i="84"/>
  <c r="BZ37" i="84"/>
  <c r="BX24" i="84"/>
  <c r="AV17" i="84"/>
  <c r="BZ27" i="84"/>
  <c r="AR18" i="84"/>
  <c r="CK23" i="84"/>
  <c r="AO23" i="84"/>
  <c r="BN33" i="84"/>
  <c r="AT40" i="84"/>
  <c r="CJ30" i="84"/>
  <c r="AR22" i="84"/>
  <c r="CF23" i="84"/>
  <c r="AW37" i="84"/>
  <c r="CH31" i="84"/>
  <c r="BT33" i="84"/>
  <c r="BI31" i="84"/>
  <c r="CF19" i="84"/>
  <c r="AP45" i="84"/>
  <c r="BP45" i="84"/>
  <c r="CF22" i="84"/>
  <c r="AR31" i="84"/>
  <c r="AY30" i="84"/>
  <c r="AZ44" i="84"/>
  <c r="CL16" i="84"/>
  <c r="AN39" i="84"/>
  <c r="AZ39" i="84"/>
  <c r="CI42" i="84"/>
  <c r="CF31" i="84"/>
  <c r="BS20" i="84"/>
  <c r="BU43" i="84"/>
  <c r="CI28" i="84"/>
  <c r="AZ24" i="84"/>
  <c r="CC31" i="84"/>
  <c r="AQ40" i="84"/>
  <c r="AK25" i="84"/>
  <c r="CF21" i="84"/>
  <c r="AQ38" i="84"/>
  <c r="AW42" i="84"/>
  <c r="BG42" i="84"/>
  <c r="AV29" i="84"/>
  <c r="AN21" i="84"/>
  <c r="CH17" i="84"/>
  <c r="AW21" i="84"/>
  <c r="BB18" i="84"/>
  <c r="BM19" i="84"/>
  <c r="AN27" i="84"/>
  <c r="CK28" i="84"/>
  <c r="BL30" i="84"/>
  <c r="CE18" i="84"/>
  <c r="BL17" i="84"/>
  <c r="BG32" i="84"/>
  <c r="BZ40" i="84"/>
  <c r="BT45" i="84"/>
  <c r="CL30" i="84"/>
  <c r="CL32" i="84"/>
  <c r="BU16" i="84"/>
  <c r="AZ32" i="84"/>
  <c r="BG24" i="84"/>
  <c r="AZ26" i="84"/>
  <c r="BX33" i="84"/>
  <c r="BN41" i="84"/>
  <c r="CD42" i="84"/>
  <c r="BM25" i="84"/>
  <c r="AX24" i="84"/>
  <c r="CH27" i="84"/>
  <c r="AR42" i="84"/>
  <c r="AO35" i="84"/>
  <c r="AZ31" i="84"/>
  <c r="BH33" i="84"/>
  <c r="CL21" i="84"/>
  <c r="CH22" i="84"/>
  <c r="AQ39" i="84"/>
  <c r="AW36" i="84"/>
  <c r="CF24" i="84"/>
  <c r="BX34" i="84"/>
  <c r="BN38" i="84"/>
  <c r="CJ33" i="84"/>
  <c r="CL41" i="84"/>
  <c r="CK24" i="84"/>
  <c r="BM36" i="84"/>
  <c r="CD27" i="84"/>
  <c r="BP18" i="84"/>
  <c r="BL34" i="84"/>
  <c r="BP33" i="84"/>
  <c r="BZ32" i="84"/>
  <c r="BN35" i="84"/>
  <c r="AW19" i="84"/>
  <c r="AV16" i="84"/>
  <c r="BC22" i="84"/>
  <c r="BE39" i="84"/>
  <c r="AN16" i="84"/>
  <c r="AQ34" i="84"/>
  <c r="BC41" i="84"/>
  <c r="CK40" i="84"/>
  <c r="CG26" i="84"/>
  <c r="AW38" i="84"/>
  <c r="CI29" i="84"/>
  <c r="BA35" i="84"/>
  <c r="BB37" i="84"/>
  <c r="AN28" i="84"/>
  <c r="BZ45" i="84"/>
  <c r="CL44" i="84"/>
  <c r="AY43" i="84"/>
  <c r="AY42" i="84"/>
  <c r="AO44" i="84"/>
  <c r="BV35" i="84"/>
  <c r="BD30" i="84"/>
  <c r="AM29" i="84"/>
  <c r="BL35" i="84"/>
  <c r="BL45" i="84"/>
  <c r="BT21" i="84"/>
  <c r="CG16" i="84"/>
  <c r="BO37" i="84"/>
  <c r="BR18" i="84"/>
  <c r="BL38" i="84"/>
  <c r="CD41" i="84"/>
  <c r="AR23" i="84"/>
  <c r="AM22" i="84"/>
  <c r="AM31" i="84"/>
  <c r="AT23" i="84"/>
  <c r="BS43" i="84"/>
  <c r="AW17" i="84"/>
  <c r="CK18" i="84"/>
  <c r="BD31" i="84"/>
  <c r="CC35" i="84"/>
  <c r="AN26" i="84"/>
  <c r="CE38" i="84"/>
  <c r="BO24" i="84"/>
  <c r="AX28" i="84"/>
  <c r="BY42" i="84"/>
  <c r="AC42" i="84" l="1"/>
  <c r="CT36" i="84"/>
  <c r="V30" i="84"/>
  <c r="S43" i="84"/>
  <c r="O42" i="84"/>
  <c r="CS30" i="84"/>
  <c r="CP31" i="84"/>
  <c r="CR17" i="84"/>
  <c r="CN19" i="84"/>
  <c r="CU28" i="84"/>
  <c r="CN34" i="84"/>
  <c r="Z29" i="84"/>
  <c r="CR43" i="84"/>
  <c r="CV32" i="84"/>
  <c r="AF19" i="84"/>
  <c r="AI39" i="84"/>
  <c r="T29" i="84"/>
  <c r="X42" i="84"/>
  <c r="CR33" i="84"/>
  <c r="T19" i="84"/>
  <c r="CS26" i="84"/>
  <c r="CT35" i="84"/>
  <c r="Q19" i="84"/>
  <c r="W38" i="84"/>
  <c r="CU22" i="84"/>
  <c r="CS21" i="84"/>
  <c r="AB29" i="84"/>
  <c r="CP27" i="84"/>
  <c r="CR28" i="84"/>
  <c r="CP33" i="84"/>
  <c r="O16" i="84"/>
  <c r="AF39" i="84"/>
  <c r="V24" i="84"/>
  <c r="CU42" i="84"/>
  <c r="CU17" i="84"/>
  <c r="CN36" i="84"/>
  <c r="CV21" i="84"/>
  <c r="W26" i="84"/>
  <c r="AC39" i="84"/>
  <c r="Z39" i="84"/>
  <c r="AA43" i="84"/>
  <c r="O18" i="84"/>
  <c r="AG28" i="84"/>
  <c r="O29" i="84"/>
  <c r="C62" i="84" s="1"/>
  <c r="T28" i="84"/>
  <c r="CN42" i="84"/>
  <c r="AC29" i="84"/>
  <c r="U25" i="84"/>
  <c r="AB21" i="84"/>
  <c r="CU26" i="84"/>
  <c r="U45" i="84"/>
  <c r="CO28" i="84"/>
  <c r="CW34" i="84"/>
  <c r="AE29" i="84"/>
  <c r="CS20" i="84"/>
  <c r="CU37" i="84"/>
  <c r="O25" i="84"/>
  <c r="AI38" i="84"/>
  <c r="AD33" i="84"/>
  <c r="V21" i="84"/>
  <c r="S31" i="84"/>
  <c r="CU31" i="84"/>
  <c r="CV38" i="84"/>
  <c r="AE30" i="84"/>
  <c r="CO17" i="84"/>
  <c r="P39" i="84"/>
  <c r="S17" i="84"/>
  <c r="V26" i="84"/>
  <c r="CW41" i="84"/>
  <c r="CW30" i="84"/>
  <c r="CS31" i="84"/>
  <c r="V25" i="84"/>
  <c r="S42" i="84"/>
  <c r="CT21" i="84"/>
  <c r="CR21" i="84"/>
  <c r="CU41" i="84"/>
  <c r="CO43" i="84"/>
  <c r="CU18" i="84"/>
  <c r="R33" i="84"/>
  <c r="CP35" i="84"/>
  <c r="CO37" i="84"/>
  <c r="O17" i="84"/>
  <c r="T25" i="84"/>
  <c r="AD28" i="84"/>
  <c r="CO40" i="84"/>
  <c r="AB34" i="84"/>
  <c r="X39" i="84"/>
  <c r="AG22" i="84"/>
  <c r="CT45" i="84"/>
  <c r="CS24" i="84"/>
  <c r="CW25" i="84"/>
  <c r="CS32" i="84"/>
  <c r="CR31" i="84"/>
  <c r="AG21" i="84"/>
  <c r="AA27" i="84"/>
  <c r="AG37" i="84"/>
  <c r="CS28" i="84"/>
  <c r="CS39" i="84"/>
  <c r="AH22" i="84"/>
  <c r="X33" i="84"/>
  <c r="AH39" i="84"/>
  <c r="CV26" i="84"/>
  <c r="CP20" i="84"/>
  <c r="Q21" i="84"/>
  <c r="O26" i="84"/>
  <c r="AI43" i="84"/>
  <c r="R38" i="84"/>
  <c r="R29" i="84"/>
  <c r="S20" i="84"/>
  <c r="AI18" i="84"/>
  <c r="S36" i="84"/>
  <c r="O36" i="84"/>
  <c r="O19" i="84"/>
  <c r="AG30" i="84"/>
  <c r="AA17" i="84"/>
  <c r="AA22" i="84"/>
  <c r="S24" i="84"/>
  <c r="CO39" i="84"/>
  <c r="AB31" i="84"/>
  <c r="Z42" i="84"/>
  <c r="Q26" i="84"/>
  <c r="R39" i="84"/>
  <c r="Q43" i="84"/>
  <c r="Q39" i="84"/>
  <c r="AD43" i="84"/>
  <c r="S27" i="84"/>
  <c r="AE43" i="84"/>
  <c r="CU30" i="84"/>
  <c r="AB33" i="84"/>
  <c r="U36" i="84"/>
  <c r="CQ42" i="84"/>
  <c r="X34" i="84"/>
  <c r="CP43" i="84"/>
  <c r="CO21" i="84"/>
  <c r="CO22" i="84"/>
  <c r="CO38" i="84"/>
  <c r="CW43" i="84"/>
  <c r="CR36" i="84"/>
  <c r="CN39" i="84"/>
  <c r="CN29" i="84"/>
  <c r="AD36" i="84"/>
  <c r="CW32" i="84"/>
  <c r="AB43" i="84"/>
  <c r="P17" i="84"/>
  <c r="CO42" i="84"/>
  <c r="CQ43" i="84"/>
  <c r="CV16" i="84"/>
  <c r="AD23" i="84"/>
  <c r="CT43" i="84"/>
  <c r="CT40" i="84"/>
  <c r="U31" i="84"/>
  <c r="AA20" i="84"/>
  <c r="U28" i="84"/>
  <c r="CR45" i="84"/>
  <c r="CV42" i="84"/>
  <c r="CN45" i="84"/>
  <c r="CV41" i="84"/>
  <c r="CQ17" i="84"/>
  <c r="CN17" i="84"/>
  <c r="AA34" i="84"/>
  <c r="CQ41" i="84"/>
  <c r="CS27" i="84"/>
  <c r="O40" i="84"/>
  <c r="CV28" i="84"/>
  <c r="CQ28" i="84"/>
  <c r="CP32" i="84"/>
  <c r="CT30" i="84"/>
  <c r="CW45" i="84"/>
  <c r="CU29" i="84"/>
  <c r="AF18" i="84"/>
  <c r="AG32" i="84"/>
  <c r="CU27" i="84"/>
  <c r="CS41" i="84"/>
  <c r="CP18" i="84"/>
  <c r="CO25" i="84"/>
  <c r="CQ36" i="84"/>
  <c r="CV35" i="84"/>
  <c r="CU23" i="84"/>
  <c r="CQ16" i="84"/>
  <c r="R22" i="84"/>
  <c r="CV22" i="84"/>
  <c r="AD17" i="84"/>
  <c r="V28" i="84"/>
  <c r="CW44" i="84"/>
  <c r="X28" i="84"/>
  <c r="CU21" i="84"/>
  <c r="AD24" i="84"/>
  <c r="AF36" i="84"/>
  <c r="AH26" i="84"/>
  <c r="Q31" i="84"/>
  <c r="AA39" i="84"/>
  <c r="Z19" i="84"/>
  <c r="U29" i="84"/>
  <c r="AF29" i="84"/>
  <c r="X43" i="84"/>
  <c r="CR24" i="84"/>
  <c r="CW33" i="84"/>
  <c r="AC21" i="84"/>
  <c r="CP21" i="84"/>
  <c r="CQ29" i="84"/>
  <c r="CN26" i="84"/>
  <c r="AE28" i="84"/>
  <c r="Q33" i="84"/>
  <c r="X25" i="84"/>
  <c r="Q27" i="84"/>
  <c r="CV18" i="84"/>
  <c r="AF37" i="84"/>
  <c r="T34" i="84"/>
  <c r="AD26" i="84"/>
  <c r="CN32" i="84"/>
  <c r="CW39" i="84"/>
  <c r="W19" i="84"/>
  <c r="O33" i="84"/>
  <c r="T20" i="84"/>
  <c r="CP40" i="84"/>
  <c r="U19" i="84"/>
  <c r="Z32" i="84"/>
  <c r="O32" i="84"/>
  <c r="AG43" i="84"/>
  <c r="CP29" i="84"/>
  <c r="CT41" i="84"/>
  <c r="U41" i="84"/>
  <c r="U39" i="84"/>
  <c r="CP34" i="84"/>
  <c r="CN16" i="84"/>
  <c r="Q29" i="84"/>
  <c r="CS43" i="84"/>
  <c r="CV43" i="84"/>
  <c r="CT25" i="84"/>
  <c r="AF25" i="84"/>
  <c r="CQ39" i="84"/>
  <c r="CR25" i="84"/>
  <c r="Z36" i="84"/>
  <c r="AF45" i="84"/>
  <c r="AD18" i="84"/>
  <c r="T30" i="84"/>
  <c r="O39" i="84"/>
  <c r="AI33" i="84"/>
  <c r="Z26" i="84"/>
  <c r="AD31" i="84"/>
  <c r="CT29" i="84"/>
  <c r="AI25" i="84"/>
  <c r="AB27" i="84"/>
  <c r="AI34" i="84"/>
  <c r="L67" i="84" s="1"/>
  <c r="AD27" i="84"/>
  <c r="AD16" i="84"/>
  <c r="AH45" i="84"/>
  <c r="AG26" i="84"/>
  <c r="R42" i="84"/>
  <c r="F75" i="84" s="1"/>
  <c r="AH38" i="84"/>
  <c r="P22" i="84"/>
  <c r="V37" i="84"/>
  <c r="CN18" i="84"/>
  <c r="AG19" i="84"/>
  <c r="CP36" i="84"/>
  <c r="O37" i="84"/>
  <c r="CV25" i="84"/>
  <c r="CS16" i="84"/>
  <c r="CP23" i="84"/>
  <c r="AA36" i="84"/>
  <c r="AH31" i="84"/>
  <c r="CU40" i="84"/>
  <c r="CR18" i="84"/>
  <c r="CS17" i="84"/>
  <c r="CT32" i="84"/>
  <c r="CW37" i="84"/>
  <c r="CP37" i="84"/>
  <c r="CV27" i="84"/>
  <c r="CU43" i="84"/>
  <c r="Z44" i="84"/>
  <c r="CV33" i="84"/>
  <c r="AH19" i="84"/>
  <c r="AI26" i="84"/>
  <c r="Z20" i="84"/>
  <c r="CW17" i="84"/>
  <c r="CV45" i="84"/>
  <c r="V33" i="84"/>
  <c r="P33" i="84"/>
  <c r="CP45" i="84"/>
  <c r="CT19" i="84"/>
  <c r="AB39" i="84"/>
  <c r="Q40" i="84"/>
  <c r="AC40" i="84"/>
  <c r="T32" i="84"/>
  <c r="CW42" i="84"/>
  <c r="X16" i="84"/>
  <c r="Z41" i="84"/>
  <c r="U26" i="84"/>
  <c r="CN30" i="84"/>
  <c r="AE40" i="84"/>
  <c r="AA29" i="84"/>
  <c r="CP28" i="84"/>
  <c r="CQ31" i="84"/>
  <c r="CW29" i="84"/>
  <c r="CR35" i="84"/>
  <c r="AE19" i="84"/>
  <c r="CQ38" i="84"/>
  <c r="CT33" i="84"/>
  <c r="T26" i="84"/>
  <c r="R45" i="84"/>
  <c r="CN38" i="84"/>
  <c r="Q34" i="84"/>
  <c r="E67" i="84" s="1"/>
  <c r="CR34" i="84"/>
  <c r="R23" i="84"/>
  <c r="W18" i="84"/>
  <c r="X35" i="84"/>
  <c r="CU34" i="84"/>
  <c r="CV39" i="84"/>
  <c r="CO23" i="84"/>
  <c r="CP26" i="84"/>
  <c r="CS37" i="84"/>
  <c r="CQ20" i="84"/>
  <c r="X31" i="84"/>
  <c r="CW24" i="84"/>
  <c r="AH36" i="84"/>
  <c r="AG38" i="84"/>
  <c r="R32" i="84"/>
  <c r="CN28" i="84"/>
  <c r="AA40" i="84"/>
  <c r="AF33" i="84"/>
  <c r="S16" i="84"/>
  <c r="CN43" i="84"/>
  <c r="X24" i="84"/>
  <c r="CS23" i="84"/>
  <c r="AA30" i="84"/>
  <c r="CO45" i="84"/>
  <c r="CT37" i="84"/>
  <c r="CN24" i="84"/>
  <c r="W29" i="84"/>
  <c r="CS29" i="84"/>
  <c r="Z22" i="84"/>
  <c r="Q17" i="84"/>
  <c r="AF35" i="84"/>
  <c r="S44" i="84"/>
  <c r="T39" i="84"/>
  <c r="CN25" i="84"/>
  <c r="S40" i="84"/>
  <c r="CQ44" i="84"/>
  <c r="Z21" i="84"/>
  <c r="S33" i="84"/>
  <c r="CR27" i="84"/>
  <c r="CN27" i="84"/>
  <c r="T21" i="84"/>
  <c r="W22" i="84"/>
  <c r="P29" i="84"/>
  <c r="Q22" i="84"/>
  <c r="AB22" i="84"/>
  <c r="CW21" i="84"/>
  <c r="AI21" i="84"/>
  <c r="X21" i="84"/>
  <c r="T18" i="84"/>
  <c r="AE18" i="84"/>
  <c r="AI20" i="84"/>
  <c r="X20" i="84"/>
  <c r="S22" i="84"/>
  <c r="AD22" i="84"/>
  <c r="AB16" i="84"/>
  <c r="CP16" i="84"/>
  <c r="Q16" i="84"/>
  <c r="CQ27" i="84"/>
  <c r="AC25" i="84"/>
  <c r="CQ25" i="84"/>
  <c r="R25" i="84"/>
  <c r="CS36" i="84"/>
  <c r="T36" i="84"/>
  <c r="T44" i="84"/>
  <c r="AE44" i="84"/>
  <c r="CV17" i="84"/>
  <c r="T22" i="84"/>
  <c r="AE22" i="84"/>
  <c r="U21" i="84"/>
  <c r="AF21" i="84"/>
  <c r="AG36" i="84"/>
  <c r="V36" i="84"/>
  <c r="AD45" i="84"/>
  <c r="S45" i="84"/>
  <c r="W16" i="84"/>
  <c r="AH16" i="84"/>
  <c r="AE36" i="84"/>
  <c r="CR32" i="84"/>
  <c r="P34" i="84"/>
  <c r="CN23" i="84"/>
  <c r="CV24" i="84"/>
  <c r="AF31" i="84"/>
  <c r="U30" i="84"/>
  <c r="U20" i="84"/>
  <c r="T45" i="84"/>
  <c r="AE45" i="84"/>
  <c r="CS45" i="84"/>
  <c r="CR39" i="84"/>
  <c r="S39" i="84"/>
  <c r="AD39" i="84"/>
  <c r="AF23" i="84"/>
  <c r="U23" i="84"/>
  <c r="CT23" i="84"/>
  <c r="CR42" i="84"/>
  <c r="CQ19" i="84"/>
  <c r="R19" i="84"/>
  <c r="AC19" i="84"/>
  <c r="AH24" i="84"/>
  <c r="W24" i="84"/>
  <c r="CP30" i="84"/>
  <c r="AB30" i="84"/>
  <c r="Z34" i="84"/>
  <c r="O34" i="84"/>
  <c r="R41" i="84"/>
  <c r="AC41" i="84"/>
  <c r="AI23" i="84"/>
  <c r="X23" i="84"/>
  <c r="CW23" i="84"/>
  <c r="W17" i="84"/>
  <c r="AH17" i="84"/>
  <c r="AB24" i="84"/>
  <c r="Q24" i="84"/>
  <c r="CP24" i="84"/>
  <c r="CT20" i="84"/>
  <c r="AF20" i="84"/>
  <c r="O23" i="84"/>
  <c r="Z23" i="84"/>
  <c r="AA35" i="84"/>
  <c r="P35" i="84"/>
  <c r="S21" i="84"/>
  <c r="AD21" i="84"/>
  <c r="AE27" i="84"/>
  <c r="T27" i="84"/>
  <c r="U42" i="84"/>
  <c r="AF42" i="84"/>
  <c r="X36" i="84"/>
  <c r="AI36" i="84"/>
  <c r="AD19" i="84"/>
  <c r="CR19" i="84"/>
  <c r="CN40" i="84"/>
  <c r="R18" i="84"/>
  <c r="AC18" i="84"/>
  <c r="AG23" i="84"/>
  <c r="AF38" i="84"/>
  <c r="CT42" i="84"/>
  <c r="Q32" i="84"/>
  <c r="CQ26" i="84"/>
  <c r="AC26" i="84"/>
  <c r="R26" i="84"/>
  <c r="P42" i="84"/>
  <c r="AA42" i="84"/>
  <c r="AC30" i="84"/>
  <c r="CQ30" i="84"/>
  <c r="P24" i="84"/>
  <c r="AA24" i="84"/>
  <c r="AF44" i="84"/>
  <c r="U44" i="84"/>
  <c r="CT44" i="84"/>
  <c r="V44" i="84"/>
  <c r="AG44" i="84"/>
  <c r="U43" i="84"/>
  <c r="AF43" i="84"/>
  <c r="T38" i="84"/>
  <c r="AE38" i="84"/>
  <c r="AI19" i="84"/>
  <c r="X19" i="84"/>
  <c r="S32" i="84"/>
  <c r="AD32" i="84"/>
  <c r="CR23" i="84"/>
  <c r="Z45" i="84"/>
  <c r="O45" i="84"/>
  <c r="Q44" i="84"/>
  <c r="AB44" i="84"/>
  <c r="AB38" i="84"/>
  <c r="Q38" i="84"/>
  <c r="CS18" i="84"/>
  <c r="AI41" i="84"/>
  <c r="P44" i="84"/>
  <c r="CP22" i="84"/>
  <c r="AF28" i="84"/>
  <c r="R30" i="84"/>
  <c r="CS38" i="84"/>
  <c r="CT28" i="84"/>
  <c r="CW28" i="84"/>
  <c r="R27" i="84"/>
  <c r="AC27" i="84"/>
  <c r="CV23" i="84"/>
  <c r="W23" i="84"/>
  <c r="AB25" i="84"/>
  <c r="Q25" i="84"/>
  <c r="CV20" i="84"/>
  <c r="AH20" i="84"/>
  <c r="W20" i="84"/>
  <c r="Q41" i="84"/>
  <c r="AB41" i="84"/>
  <c r="AG16" i="84"/>
  <c r="CU16" i="84"/>
  <c r="V16" i="84"/>
  <c r="AG39" i="84"/>
  <c r="V39" i="84"/>
  <c r="R34" i="84"/>
  <c r="CQ34" i="84"/>
  <c r="AC34" i="84"/>
  <c r="CO19" i="84"/>
  <c r="AA19" i="84"/>
  <c r="P19" i="84"/>
  <c r="AI40" i="84"/>
  <c r="X40" i="84"/>
  <c r="P43" i="84"/>
  <c r="P32" i="84"/>
  <c r="AA32" i="84"/>
  <c r="W34" i="84"/>
  <c r="AH34" i="84"/>
  <c r="T31" i="84"/>
  <c r="AE31" i="84"/>
  <c r="AF16" i="84"/>
  <c r="U16" i="84"/>
  <c r="CT16" i="84"/>
  <c r="P31" i="84"/>
  <c r="CO31" i="84"/>
  <c r="AA31" i="84"/>
  <c r="V20" i="84"/>
  <c r="AG20" i="84"/>
  <c r="CP41" i="84"/>
  <c r="S29" i="84"/>
  <c r="CR29" i="84"/>
  <c r="CW40" i="84"/>
  <c r="X30" i="84"/>
  <c r="AF40" i="84"/>
  <c r="CW36" i="84"/>
  <c r="CO20" i="84"/>
  <c r="AG18" i="84"/>
  <c r="CT31" i="84"/>
  <c r="CO44" i="84"/>
  <c r="CV34" i="84"/>
  <c r="AG25" i="84"/>
  <c r="J58" i="84" s="1"/>
  <c r="Q30" i="84"/>
  <c r="CT18" i="84"/>
  <c r="W40" i="84"/>
  <c r="AH40" i="84"/>
  <c r="CV40" i="84"/>
  <c r="R43" i="84"/>
  <c r="AC43" i="84"/>
  <c r="AC24" i="84"/>
  <c r="CQ24" i="84"/>
  <c r="R24" i="84"/>
  <c r="AA26" i="84"/>
  <c r="P26" i="84"/>
  <c r="V29" i="84"/>
  <c r="CS44" i="84"/>
  <c r="CP44" i="84"/>
  <c r="CO35" i="84"/>
  <c r="Z40" i="84"/>
  <c r="AD42" i="84"/>
  <c r="AG41" i="84"/>
  <c r="CR22" i="84"/>
  <c r="S19" i="84"/>
  <c r="AI45" i="84"/>
  <c r="X26" i="84"/>
  <c r="AA37" i="84"/>
  <c r="U34" i="84"/>
  <c r="AF34" i="84"/>
  <c r="Q35" i="84"/>
  <c r="V27" i="84"/>
  <c r="CU39" i="84"/>
  <c r="CQ35" i="84"/>
  <c r="R35" i="84"/>
  <c r="AC35" i="84"/>
  <c r="CO29" i="84"/>
  <c r="AH35" i="84"/>
  <c r="W32" i="84"/>
  <c r="AH32" i="84"/>
  <c r="AD41" i="84"/>
  <c r="CR41" i="84"/>
  <c r="S41" i="84"/>
  <c r="AC31" i="84"/>
  <c r="R31" i="84"/>
  <c r="AD34" i="84"/>
  <c r="S34" i="84"/>
  <c r="T33" i="84"/>
  <c r="AE33" i="84"/>
  <c r="CS35" i="84"/>
  <c r="P38" i="84"/>
  <c r="AB45" i="84"/>
  <c r="AF26" i="84"/>
  <c r="CU19" i="84"/>
  <c r="AH29" i="84"/>
  <c r="AE26" i="84"/>
  <c r="AE17" i="84"/>
  <c r="AI37" i="84"/>
  <c r="O21" i="84"/>
  <c r="AI35" i="84"/>
  <c r="P40" i="84"/>
  <c r="Q23" i="84"/>
  <c r="AF30" i="84"/>
  <c r="AE21" i="84"/>
  <c r="S18" i="84"/>
  <c r="AA33" i="84"/>
  <c r="CW31" i="84"/>
  <c r="AG29" i="84"/>
  <c r="R44" i="84"/>
  <c r="O24" i="84"/>
  <c r="U18" i="84"/>
  <c r="AE16" i="84"/>
  <c r="O38" i="84"/>
  <c r="Z38" i="84"/>
  <c r="CO24" i="84"/>
  <c r="AG35" i="84"/>
  <c r="V35" i="84"/>
  <c r="CU20" i="84"/>
  <c r="CU32" i="84"/>
  <c r="AE42" i="84"/>
  <c r="T42" i="84"/>
  <c r="CS42" i="84"/>
  <c r="S23" i="84"/>
  <c r="AD37" i="84"/>
  <c r="S37" i="84"/>
  <c r="CO32" i="84"/>
  <c r="CO18" i="84"/>
  <c r="AB19" i="84"/>
  <c r="CP19" i="84"/>
  <c r="CQ40" i="84"/>
  <c r="Z28" i="84"/>
  <c r="AB35" i="84"/>
  <c r="AC45" i="84"/>
  <c r="W31" i="84"/>
  <c r="V23" i="84"/>
  <c r="AH30" i="84"/>
  <c r="W30" i="84"/>
  <c r="R16" i="84"/>
  <c r="P21" i="84"/>
  <c r="AA21" i="84"/>
  <c r="CU44" i="84"/>
  <c r="CR26" i="84"/>
  <c r="CT38" i="84"/>
  <c r="CR40" i="84"/>
  <c r="AI28" i="84"/>
  <c r="AI22" i="84"/>
  <c r="X22" i="84"/>
  <c r="CT24" i="84"/>
  <c r="AF24" i="84"/>
  <c r="U24" i="84"/>
  <c r="W37" i="84"/>
  <c r="CV37" i="84"/>
  <c r="AA41" i="84"/>
  <c r="P41" i="84"/>
  <c r="CO30" i="84"/>
  <c r="CT26" i="84"/>
  <c r="CN44" i="84"/>
  <c r="R17" i="84"/>
  <c r="Z43" i="84"/>
  <c r="O43" i="84"/>
  <c r="AC20" i="84"/>
  <c r="R20" i="84"/>
  <c r="V43" i="84"/>
  <c r="P25" i="84"/>
  <c r="O28" i="84"/>
  <c r="CQ32" i="84"/>
  <c r="CW22" i="84"/>
  <c r="O35" i="84"/>
  <c r="Z35" i="84"/>
  <c r="AB32" i="84"/>
  <c r="Z33" i="84"/>
  <c r="R36" i="84"/>
  <c r="X38" i="84"/>
  <c r="CW38" i="84"/>
  <c r="V42" i="84"/>
  <c r="AG42" i="84"/>
  <c r="W33" i="84"/>
  <c r="AI32" i="84"/>
  <c r="X32" i="84"/>
  <c r="CQ23" i="84"/>
  <c r="CS34" i="84"/>
  <c r="AD29" i="84"/>
  <c r="AE23" i="84"/>
  <c r="T23" i="84"/>
  <c r="U27" i="84"/>
  <c r="CT27" i="84"/>
  <c r="CQ33" i="84"/>
  <c r="V32" i="84"/>
  <c r="AH44" i="84"/>
  <c r="W44" i="84"/>
  <c r="T17" i="84"/>
  <c r="X44" i="84"/>
  <c r="AI44" i="84"/>
  <c r="CO41" i="84"/>
  <c r="P20" i="84"/>
  <c r="P16" i="84"/>
  <c r="CO16" i="84"/>
  <c r="AA16" i="84"/>
  <c r="CW18" i="84"/>
  <c r="X18" i="84"/>
  <c r="CV30" i="84"/>
  <c r="CQ45" i="84"/>
  <c r="CU24" i="84"/>
  <c r="AG24" i="84"/>
  <c r="Z24" i="84"/>
  <c r="CU35" i="84"/>
  <c r="CN21" i="84"/>
  <c r="CU36" i="84"/>
  <c r="AH23" i="84"/>
  <c r="AC33" i="84"/>
  <c r="X41" i="84"/>
  <c r="AE25" i="84"/>
  <c r="W21" i="84"/>
  <c r="AH21" i="84"/>
  <c r="CV31" i="84"/>
  <c r="AB18" i="84"/>
  <c r="Q18" i="84"/>
  <c r="CV44" i="84"/>
  <c r="CT39" i="84"/>
  <c r="CN22" i="84"/>
  <c r="CN37" i="84"/>
  <c r="AD20" i="84"/>
  <c r="CR20" i="84"/>
  <c r="AD40" i="84"/>
  <c r="CW26" i="84"/>
  <c r="P28" i="84"/>
  <c r="AA28" i="84"/>
  <c r="AG17" i="84"/>
  <c r="V17" i="84"/>
  <c r="CO26" i="84"/>
  <c r="O31" i="84"/>
  <c r="Z31" i="84"/>
  <c r="CN31" i="84"/>
  <c r="CQ22" i="84"/>
  <c r="AH27" i="84"/>
  <c r="W27" i="84"/>
  <c r="AB28" i="84"/>
  <c r="O27" i="84"/>
  <c r="CS40" i="84"/>
  <c r="AH33" i="84"/>
  <c r="AC22" i="84"/>
  <c r="CO33" i="84"/>
  <c r="CT34" i="84"/>
  <c r="P36" i="84"/>
  <c r="U38" i="84"/>
  <c r="AB40" i="84"/>
  <c r="Z37" i="84"/>
  <c r="CN33" i="84"/>
  <c r="CU33" i="84"/>
  <c r="U35" i="84"/>
  <c r="T40" i="84"/>
  <c r="AA23" i="84"/>
  <c r="P30" i="84"/>
  <c r="O20" i="84"/>
  <c r="AE20" i="84"/>
  <c r="P23" i="84"/>
  <c r="CS25" i="84"/>
  <c r="CR16" i="84"/>
  <c r="U40" i="84"/>
  <c r="AG40" i="84"/>
  <c r="AB26" i="84"/>
  <c r="E59" i="84" s="1"/>
  <c r="CS22" i="84"/>
  <c r="CN35" i="84"/>
  <c r="T35" i="84"/>
  <c r="AE35" i="84"/>
  <c r="AF32" i="84"/>
  <c r="U32" i="84"/>
  <c r="CP25" i="84"/>
  <c r="W41" i="84"/>
  <c r="CO34" i="84"/>
  <c r="AC37" i="84"/>
  <c r="R37" i="84"/>
  <c r="T37" i="84"/>
  <c r="AE37" i="84"/>
  <c r="CU25" i="84"/>
  <c r="P18" i="84"/>
  <c r="X27" i="84"/>
  <c r="AI27" i="84"/>
  <c r="CP17" i="84"/>
  <c r="AB17" i="84"/>
  <c r="E50" i="84" s="1"/>
  <c r="CR44" i="84"/>
  <c r="AD44" i="84"/>
  <c r="CQ18" i="84"/>
  <c r="O30" i="84"/>
  <c r="Z30" i="84"/>
  <c r="CN41" i="84"/>
  <c r="AF17" i="84"/>
  <c r="U17" i="84"/>
  <c r="CT17" i="84"/>
  <c r="V38" i="84"/>
  <c r="AA44" i="84"/>
  <c r="S35" i="84"/>
  <c r="Z27" i="84"/>
  <c r="AE39" i="84"/>
  <c r="O22" i="84"/>
  <c r="V19" i="84"/>
  <c r="W39" i="84"/>
  <c r="K72" i="84" s="1"/>
  <c r="Q45" i="84"/>
  <c r="X37" i="84"/>
  <c r="CV29" i="84"/>
  <c r="AI29" i="84"/>
  <c r="AA18" i="84"/>
  <c r="AI16" i="84"/>
  <c r="W35" i="84"/>
  <c r="AG27" i="84"/>
  <c r="Q28" i="84"/>
  <c r="S28" i="84"/>
  <c r="CS19" i="84"/>
  <c r="AH18" i="84"/>
  <c r="K51" i="84" s="1"/>
  <c r="Z16" i="84"/>
  <c r="O41" i="84"/>
  <c r="W45" i="84"/>
  <c r="AA25" i="84"/>
  <c r="V40" i="84"/>
  <c r="R28" i="84"/>
  <c r="AB20" i="84"/>
  <c r="Q20" i="84"/>
  <c r="AG45" i="84"/>
  <c r="V45" i="84"/>
  <c r="AD30" i="84"/>
  <c r="CR30" i="84"/>
  <c r="CW20" i="84"/>
  <c r="CO36" i="84"/>
  <c r="CU45" i="84"/>
  <c r="Q36" i="84"/>
  <c r="V41" i="84"/>
  <c r="V18" i="84"/>
  <c r="CP39" i="84"/>
  <c r="Z17" i="84"/>
  <c r="CO27" i="84"/>
  <c r="P27" i="84"/>
  <c r="D60" i="84" s="1"/>
  <c r="CP42" i="84"/>
  <c r="AB42" i="84"/>
  <c r="Q42" i="84"/>
  <c r="W25" i="84"/>
  <c r="AH28" i="84"/>
  <c r="AE41" i="84"/>
  <c r="AA45" i="84"/>
  <c r="P45" i="84"/>
  <c r="AH42" i="84"/>
  <c r="CW19" i="84"/>
  <c r="CQ37" i="84"/>
  <c r="V34" i="84"/>
  <c r="AG34" i="84"/>
  <c r="CS33" i="84"/>
  <c r="Z25" i="84"/>
  <c r="AH25" i="84"/>
  <c r="AE34" i="84"/>
  <c r="H67" i="84" s="1"/>
  <c r="AB37" i="84"/>
  <c r="T41" i="84"/>
  <c r="AI31" i="84"/>
  <c r="W42" i="84"/>
  <c r="CW16" i="84"/>
  <c r="AA38" i="84"/>
  <c r="CW35" i="84"/>
  <c r="O44" i="84"/>
  <c r="AC44" i="84"/>
  <c r="F77" i="84" s="1"/>
  <c r="AC36" i="84"/>
  <c r="AB23" i="84"/>
  <c r="CV19" i="84"/>
  <c r="AC28" i="84"/>
  <c r="AC32" i="84"/>
  <c r="S26" i="84"/>
  <c r="AF27" i="84"/>
  <c r="AI30" i="84"/>
  <c r="X17" i="84"/>
  <c r="AI17" i="84"/>
  <c r="Z18" i="84"/>
  <c r="S30" i="84"/>
  <c r="AG31" i="84"/>
  <c r="V31" i="84"/>
  <c r="S38" i="84"/>
  <c r="AD38" i="84"/>
  <c r="T16" i="84"/>
  <c r="CN20" i="84"/>
  <c r="U33" i="84"/>
  <c r="AI24" i="84"/>
  <c r="AE24" i="84"/>
  <c r="T24" i="84"/>
  <c r="AH43" i="84"/>
  <c r="W43" i="84"/>
  <c r="S25" i="84"/>
  <c r="AD25" i="84"/>
  <c r="AB36" i="84"/>
  <c r="U22" i="84"/>
  <c r="AF22" i="84"/>
  <c r="CV36" i="84"/>
  <c r="R40" i="84"/>
  <c r="X45" i="84"/>
  <c r="U37" i="84"/>
  <c r="AI42" i="84"/>
  <c r="AH41" i="84"/>
  <c r="P37" i="84"/>
  <c r="AG33" i="84"/>
  <c r="CR38" i="84"/>
  <c r="AF41" i="84"/>
  <c r="W36" i="84"/>
  <c r="Q37" i="84"/>
  <c r="CW27" i="84"/>
  <c r="AD35" i="84"/>
  <c r="CU38" i="84"/>
  <c r="X29" i="84"/>
  <c r="AC38" i="84"/>
  <c r="AC23" i="84"/>
  <c r="F56" i="84" s="1"/>
  <c r="AC17" i="84"/>
  <c r="CT22" i="84"/>
  <c r="W28" i="84"/>
  <c r="V22" i="84"/>
  <c r="T43" i="84"/>
  <c r="AE32" i="84"/>
  <c r="CR37" i="84"/>
  <c r="AC16" i="84"/>
  <c r="AH37" i="84"/>
  <c r="CP38" i="84"/>
  <c r="CQ21" i="84"/>
  <c r="R21" i="84"/>
  <c r="J63" i="84"/>
  <c r="G76" i="84" l="1"/>
  <c r="H65" i="84"/>
  <c r="L58" i="84"/>
  <c r="I54" i="84"/>
  <c r="I69" i="84"/>
  <c r="C50" i="84"/>
  <c r="C51" i="84"/>
  <c r="L71" i="84"/>
  <c r="I52" i="84"/>
  <c r="G75" i="84"/>
  <c r="F72" i="84"/>
  <c r="J59" i="84"/>
  <c r="G64" i="84"/>
  <c r="C52" i="84"/>
  <c r="D50" i="84"/>
  <c r="J66" i="84"/>
  <c r="L75" i="84"/>
  <c r="E78" i="84"/>
  <c r="I58" i="84"/>
  <c r="D70" i="84"/>
  <c r="D58" i="84"/>
  <c r="F13" i="88" s="1"/>
  <c r="BL13" i="88" s="1"/>
  <c r="BM13" i="88" s="1"/>
  <c r="K56" i="84"/>
  <c r="D67" i="84"/>
  <c r="F22" i="88" s="1"/>
  <c r="BL22" i="88" s="1"/>
  <c r="BM22" i="88" s="1"/>
  <c r="C49" i="84"/>
  <c r="F73" i="84"/>
  <c r="H58" i="84"/>
  <c r="J65" i="84"/>
  <c r="G61" i="84"/>
  <c r="J71" i="84"/>
  <c r="L66" i="84"/>
  <c r="H52" i="84"/>
  <c r="K52" i="84"/>
  <c r="G56" i="84"/>
  <c r="D72" i="84"/>
  <c r="F27" i="88" s="1"/>
  <c r="BL27" i="88" s="1"/>
  <c r="BM27" i="88" s="1"/>
  <c r="C64" i="84"/>
  <c r="I51" i="84"/>
  <c r="L76" i="84"/>
  <c r="E52" i="84"/>
  <c r="I61" i="84"/>
  <c r="K55" i="84"/>
  <c r="C70" i="84"/>
  <c r="F53" i="84"/>
  <c r="E57" i="84"/>
  <c r="J69" i="84"/>
  <c r="L54" i="84"/>
  <c r="G50" i="84"/>
  <c r="H62" i="84"/>
  <c r="C75" i="84"/>
  <c r="J74" i="84"/>
  <c r="J49" i="84"/>
  <c r="K71" i="84"/>
  <c r="E62" i="84"/>
  <c r="H61" i="84"/>
  <c r="K69" i="84"/>
  <c r="L63" i="84"/>
  <c r="I59" i="84"/>
  <c r="F59" i="84"/>
  <c r="C69" i="84"/>
  <c r="F71" i="84"/>
  <c r="D53" i="84"/>
  <c r="F67" i="84"/>
  <c r="H71" i="84"/>
  <c r="G72" i="84"/>
  <c r="G78" i="84"/>
  <c r="H51" i="84"/>
  <c r="I72" i="84"/>
  <c r="J61" i="84"/>
  <c r="E76" i="84"/>
  <c r="L72" i="84"/>
  <c r="J55" i="84"/>
  <c r="I66" i="84"/>
  <c r="K75" i="84"/>
  <c r="H68" i="84"/>
  <c r="L77" i="84"/>
  <c r="C67" i="84"/>
  <c r="J70" i="84"/>
  <c r="H63" i="84"/>
  <c r="K59" i="84"/>
  <c r="J67" i="84"/>
  <c r="G66" i="84"/>
  <c r="K70" i="84"/>
  <c r="E54" i="84"/>
  <c r="J57" i="84"/>
  <c r="G59" i="84"/>
  <c r="I73" i="84"/>
  <c r="L59" i="84"/>
  <c r="D64" i="84"/>
  <c r="H54" i="84"/>
  <c r="D73" i="84"/>
  <c r="C59" i="84"/>
  <c r="I64" i="84"/>
  <c r="F66" i="84"/>
  <c r="F62" i="84"/>
  <c r="C58" i="84"/>
  <c r="G60" i="84"/>
  <c r="L61" i="84"/>
  <c r="D76" i="84"/>
  <c r="G73" i="84"/>
  <c r="E72" i="84"/>
  <c r="D55" i="84"/>
  <c r="L64" i="84"/>
  <c r="K62" i="84"/>
  <c r="E66" i="84"/>
  <c r="H55" i="84"/>
  <c r="C65" i="84"/>
  <c r="I62" i="84"/>
  <c r="G63" i="84"/>
  <c r="J60" i="84"/>
  <c r="F55" i="84"/>
  <c r="H66" i="84"/>
  <c r="I49" i="84"/>
  <c r="K53" i="84"/>
  <c r="L69" i="84"/>
  <c r="D68" i="84"/>
  <c r="F23" i="88" s="1"/>
  <c r="G23" i="88" s="1"/>
  <c r="C72" i="84"/>
  <c r="K61" i="84"/>
  <c r="J51" i="84"/>
  <c r="K65" i="84"/>
  <c r="D59" i="84"/>
  <c r="K73" i="84"/>
  <c r="L73" i="84"/>
  <c r="J72" i="84"/>
  <c r="G65" i="84"/>
  <c r="J77" i="84"/>
  <c r="K50" i="84"/>
  <c r="H78" i="84"/>
  <c r="G55" i="84"/>
  <c r="E70" i="84"/>
  <c r="D49" i="84"/>
  <c r="K76" i="84"/>
  <c r="E53" i="84"/>
  <c r="I71" i="84"/>
  <c r="F78" i="84"/>
  <c r="G70" i="84"/>
  <c r="K67" i="84"/>
  <c r="D69" i="84"/>
  <c r="L65" i="84"/>
  <c r="H76" i="84"/>
  <c r="F54" i="84"/>
  <c r="K78" i="84"/>
  <c r="H56" i="84"/>
  <c r="J75" i="84"/>
  <c r="C76" i="84"/>
  <c r="H57" i="84"/>
  <c r="D71" i="84"/>
  <c r="F26" i="88" s="1"/>
  <c r="BL26" i="88" s="1"/>
  <c r="BM26" i="88" s="1"/>
  <c r="C74" i="84"/>
  <c r="E71" i="84"/>
  <c r="D62" i="84"/>
  <c r="I70" i="84"/>
  <c r="H72" i="84"/>
  <c r="C60" i="84"/>
  <c r="F50" i="84"/>
  <c r="E75" i="84"/>
  <c r="J50" i="84"/>
  <c r="J68" i="84"/>
  <c r="I78" i="84"/>
  <c r="F49" i="84"/>
  <c r="E63" i="84"/>
  <c r="D61" i="84"/>
  <c r="F16" i="88" s="1"/>
  <c r="BL16" i="88" s="1"/>
  <c r="BM16" i="88" s="1"/>
  <c r="I55" i="84"/>
  <c r="K66" i="84"/>
  <c r="D74" i="84"/>
  <c r="C71" i="84"/>
  <c r="L70" i="84"/>
  <c r="F76" i="84"/>
  <c r="D65" i="84"/>
  <c r="F20" i="88" s="1"/>
  <c r="G20" i="88" s="1"/>
  <c r="C78" i="84"/>
  <c r="D57" i="84"/>
  <c r="F12" i="88" s="1"/>
  <c r="BL12" i="88" s="1"/>
  <c r="BM12" i="88" s="1"/>
  <c r="E65" i="84"/>
  <c r="F74" i="84"/>
  <c r="H77" i="84"/>
  <c r="D66" i="84"/>
  <c r="F21" i="88" s="1"/>
  <c r="G21" i="88" s="1"/>
  <c r="C77" i="84"/>
  <c r="J52" i="84"/>
  <c r="G49" i="84"/>
  <c r="H53" i="84"/>
  <c r="E64" i="84"/>
  <c r="J54" i="84"/>
  <c r="G74" i="84"/>
  <c r="G62" i="84"/>
  <c r="I76" i="84"/>
  <c r="E49" i="84"/>
  <c r="I68" i="84"/>
  <c r="F65" i="84"/>
  <c r="K64" i="84"/>
  <c r="G69" i="84"/>
  <c r="G53" i="84"/>
  <c r="G58" i="84"/>
  <c r="L50" i="84"/>
  <c r="G77" i="84"/>
  <c r="J78" i="84"/>
  <c r="L49" i="84"/>
  <c r="L51" i="84"/>
  <c r="G52" i="84"/>
  <c r="H49" i="84"/>
  <c r="J56" i="84"/>
  <c r="H69" i="84"/>
  <c r="C54" i="84"/>
  <c r="H59" i="84"/>
  <c r="E60" i="84"/>
  <c r="G57" i="84"/>
  <c r="C73" i="84"/>
  <c r="L78" i="84"/>
  <c r="E69" i="84"/>
  <c r="L62" i="84"/>
  <c r="L60" i="84"/>
  <c r="K74" i="84"/>
  <c r="D63" i="84"/>
  <c r="F18" i="88" s="1"/>
  <c r="G18" i="88" s="1"/>
  <c r="K54" i="84"/>
  <c r="I57" i="84"/>
  <c r="C57" i="84"/>
  <c r="E56" i="84"/>
  <c r="G67" i="84"/>
  <c r="K68" i="84"/>
  <c r="H64" i="84"/>
  <c r="D75" i="84"/>
  <c r="I75" i="84"/>
  <c r="C56" i="84"/>
  <c r="E55" i="84"/>
  <c r="L68" i="84"/>
  <c r="E73" i="84"/>
  <c r="C53" i="84"/>
  <c r="I74" i="84"/>
  <c r="G71" i="84"/>
  <c r="I60" i="84"/>
  <c r="C63" i="84"/>
  <c r="D51" i="84"/>
  <c r="F6" i="88" s="1"/>
  <c r="BL6" i="88" s="1"/>
  <c r="BM6" i="88" s="1"/>
  <c r="F69" i="84"/>
  <c r="E68" i="84"/>
  <c r="I67" i="84"/>
  <c r="F63" i="84"/>
  <c r="E77" i="84"/>
  <c r="H60" i="84"/>
  <c r="F15" i="88" s="1"/>
  <c r="BL15" i="88" s="1"/>
  <c r="BM15" i="88" s="1"/>
  <c r="L56" i="84"/>
  <c r="K57" i="84"/>
  <c r="J64" i="84"/>
  <c r="F61" i="84"/>
  <c r="D77" i="84"/>
  <c r="L74" i="84"/>
  <c r="C66" i="84"/>
  <c r="L55" i="84"/>
  <c r="F68" i="84"/>
  <c r="H73" i="84"/>
  <c r="K60" i="84"/>
  <c r="J76" i="84"/>
  <c r="D54" i="84"/>
  <c r="C61" i="84"/>
  <c r="F64" i="84"/>
  <c r="F57" i="84"/>
  <c r="D52" i="84"/>
  <c r="F7" i="88" s="1"/>
  <c r="G7" i="88" s="1"/>
  <c r="E58" i="84"/>
  <c r="L52" i="84"/>
  <c r="F51" i="84"/>
  <c r="I53" i="84"/>
  <c r="I56" i="84"/>
  <c r="I63" i="84"/>
  <c r="K49" i="84"/>
  <c r="L53" i="84"/>
  <c r="D78" i="84"/>
  <c r="J73" i="84"/>
  <c r="E61" i="84"/>
  <c r="H70" i="84"/>
  <c r="I65" i="84"/>
  <c r="L57" i="84"/>
  <c r="J53" i="84"/>
  <c r="G68" i="84"/>
  <c r="D56" i="84"/>
  <c r="E51" i="84"/>
  <c r="C68" i="84"/>
  <c r="H75" i="84"/>
  <c r="G51" i="84"/>
  <c r="H50" i="84"/>
  <c r="E74" i="84"/>
  <c r="F60" i="84"/>
  <c r="F52" i="84"/>
  <c r="K58" i="84"/>
  <c r="C55" i="84"/>
  <c r="F70" i="84"/>
  <c r="I77" i="84"/>
  <c r="I50" i="84"/>
  <c r="K63" i="84"/>
  <c r="G54" i="84"/>
  <c r="J62" i="84"/>
  <c r="H74" i="84"/>
  <c r="K77" i="84"/>
  <c r="F58" i="84"/>
  <c r="F32" i="88" l="1"/>
  <c r="BL32" i="88" s="1"/>
  <c r="BM32" i="88" s="1"/>
  <c r="F4" i="88"/>
  <c r="BL4" i="88" s="1"/>
  <c r="BM4" i="88" s="1"/>
  <c r="F9" i="88"/>
  <c r="G9" i="88" s="1"/>
  <c r="F11" i="88"/>
  <c r="BL11" i="88" s="1"/>
  <c r="BM11" i="88" s="1"/>
  <c r="F17" i="88"/>
  <c r="G17" i="88" s="1"/>
  <c r="F30" i="88"/>
  <c r="G30" i="88" s="1"/>
  <c r="F24" i="88"/>
  <c r="G24" i="88" s="1"/>
  <c r="F14" i="88"/>
  <c r="G14" i="88" s="1"/>
  <c r="F19" i="88"/>
  <c r="G19" i="88" s="1"/>
  <c r="F5" i="88"/>
  <c r="G5" i="88" s="1"/>
  <c r="F8" i="88"/>
  <c r="G8" i="88" s="1"/>
  <c r="F25" i="88"/>
  <c r="G25" i="88" s="1"/>
  <c r="F29" i="88"/>
  <c r="BL29" i="88" s="1"/>
  <c r="BM29" i="88" s="1"/>
  <c r="F31" i="88"/>
  <c r="BL31" i="88" s="1"/>
  <c r="BM31" i="88" s="1"/>
  <c r="F28" i="88"/>
  <c r="G28" i="88" s="1"/>
  <c r="F10" i="88"/>
  <c r="G10" i="88" s="1"/>
  <c r="BL19" i="88"/>
  <c r="BM19" i="88" s="1"/>
  <c r="BL20" i="88"/>
  <c r="BM20" i="88" s="1"/>
  <c r="BL23" i="88"/>
  <c r="BM23" i="88" s="1"/>
  <c r="G16" i="88"/>
  <c r="G13" i="88"/>
  <c r="G15" i="88"/>
  <c r="G27" i="88"/>
  <c r="G26" i="88"/>
  <c r="BL21" i="88"/>
  <c r="BM21" i="88" s="1"/>
  <c r="G6" i="88"/>
  <c r="G22" i="88"/>
  <c r="G32" i="88"/>
  <c r="G12" i="88"/>
  <c r="G11" i="88"/>
  <c r="BL30" i="88"/>
  <c r="BM30" i="88" s="1"/>
  <c r="BL18" i="88"/>
  <c r="BM18" i="88" s="1"/>
  <c r="G4" i="88"/>
  <c r="G31" i="88"/>
  <c r="BL7" i="88"/>
  <c r="BM7" i="88" s="1"/>
  <c r="BL14" i="88" l="1"/>
  <c r="BM14" i="88" s="1"/>
  <c r="BL17" i="88"/>
  <c r="BM17" i="88" s="1"/>
  <c r="BL5" i="88"/>
  <c r="BM5" i="88" s="1"/>
  <c r="BL9" i="88"/>
  <c r="BM9" i="88" s="1"/>
  <c r="BL24" i="88"/>
  <c r="BM24" i="88" s="1"/>
  <c r="G29" i="88"/>
  <c r="BL28" i="88"/>
  <c r="BM28" i="88" s="1"/>
  <c r="BL25" i="88"/>
  <c r="BM25" i="88" s="1"/>
  <c r="BL8" i="88"/>
  <c r="BM8" i="88" s="1"/>
  <c r="BL10" i="88"/>
  <c r="BM10" i="8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<sst xmlns="http://schemas.openxmlformats.org/spreadsheetml/2006/main" count="14683" uniqueCount="602">
  <si>
    <t>Fiscal Year</t>
  </si>
  <si>
    <t>System</t>
  </si>
  <si>
    <t>BBtu</t>
  </si>
  <si>
    <t>Recall Agreement Georgia Pacific Halsey</t>
  </si>
  <si>
    <t>Recall Agreement International Paper</t>
  </si>
  <si>
    <t>Recall Agreement PGE Opal</t>
  </si>
  <si>
    <t>Recall Agreement PGE Sumas</t>
  </si>
  <si>
    <t>Mist Production</t>
  </si>
  <si>
    <t>RNG Eugene</t>
  </si>
  <si>
    <t>RNG Portland</t>
  </si>
  <si>
    <t>OREGON</t>
  </si>
  <si>
    <t>Powerex City Gate Deal</t>
  </si>
  <si>
    <t>On-system Supplies</t>
  </si>
  <si>
    <t>Hydrogen</t>
  </si>
  <si>
    <t>CI</t>
  </si>
  <si>
    <t>Convervsion</t>
  </si>
  <si>
    <t>lbs CO2e/MMBtu</t>
  </si>
  <si>
    <t>lbs/ton</t>
  </si>
  <si>
    <t>lbs/mt</t>
  </si>
  <si>
    <t>mt/MMBtu</t>
  </si>
  <si>
    <t>mt/ton</t>
  </si>
  <si>
    <t>tons/MMBtu</t>
  </si>
  <si>
    <t>Total OR Conventional Gas - RTC From RNG - CCI credits</t>
  </si>
  <si>
    <t>tons CO2e</t>
  </si>
  <si>
    <t>Metric Tonnes CO2e</t>
  </si>
  <si>
    <t>Demand Sales</t>
  </si>
  <si>
    <t>Demand Transport</t>
  </si>
  <si>
    <t>Conversions Table</t>
  </si>
  <si>
    <t>Emissions Factor</t>
  </si>
  <si>
    <t>WA Offsets</t>
  </si>
  <si>
    <t>Name</t>
  </si>
  <si>
    <t>Value</t>
  </si>
  <si>
    <t>CCI Limit 2022-2024 10%</t>
  </si>
  <si>
    <t>CCI Limit 2025-2027 15%</t>
  </si>
  <si>
    <t>CCI Limit 2028-2030 20%</t>
  </si>
  <si>
    <t>CCI Limit 2031-2033 20%</t>
  </si>
  <si>
    <t>CCI Limit 2034-2036 20%</t>
  </si>
  <si>
    <t>CCI Limit 2037-2039 20%</t>
  </si>
  <si>
    <t>CCI Limit 2040-2042 20%</t>
  </si>
  <si>
    <t>CCI Limit 2043-2045 20%</t>
  </si>
  <si>
    <t>CCI Limit 2046-2048 20%</t>
  </si>
  <si>
    <t>CCI Limit 2049-2051 20%</t>
  </si>
  <si>
    <t>CCI Limitation</t>
  </si>
  <si>
    <t>Parent Name</t>
  </si>
  <si>
    <t>Collection</t>
  </si>
  <si>
    <t>Property</t>
  </si>
  <si>
    <t>Band</t>
  </si>
  <si>
    <t>Sample</t>
  </si>
  <si>
    <t>Units</t>
  </si>
  <si>
    <t>OR Credit Compliance</t>
  </si>
  <si>
    <t>OR Hydrogen Compliance</t>
  </si>
  <si>
    <t>OR RNG Tranche 1 Compliance</t>
  </si>
  <si>
    <t>OR RNG Tranche 2 Compliance</t>
  </si>
  <si>
    <t>OR Synthetic Methane Compliance</t>
  </si>
  <si>
    <t>WA Credit Compliance</t>
  </si>
  <si>
    <t>WA Hydrogen Compliance</t>
  </si>
  <si>
    <t>WA RNG Tranche 1 Compliance</t>
  </si>
  <si>
    <t>WA RNG Tranche 2 Compliance</t>
  </si>
  <si>
    <t>WA Synthetic Methane Compliance</t>
  </si>
  <si>
    <t>Gas Node</t>
  </si>
  <si>
    <t>Flow</t>
  </si>
  <si>
    <t>Sample 1</t>
  </si>
  <si>
    <t>Sample 2</t>
  </si>
  <si>
    <t>Sample 3</t>
  </si>
  <si>
    <t>Sample 4</t>
  </si>
  <si>
    <t>Sample 5</t>
  </si>
  <si>
    <t>Sample 6</t>
  </si>
  <si>
    <t>Sample 7</t>
  </si>
  <si>
    <t>Demand_Sales OR</t>
  </si>
  <si>
    <t>Demand_Sales WA</t>
  </si>
  <si>
    <t>Demand_Transport OR</t>
  </si>
  <si>
    <t>Demand_Transport WA</t>
  </si>
  <si>
    <t>OR Pathway</t>
  </si>
  <si>
    <t>WA Pathway</t>
  </si>
  <si>
    <t>OR Emissions (tons CO2e)</t>
  </si>
  <si>
    <t>WA Emissions (tons CO2e)</t>
  </si>
  <si>
    <t>Emission</t>
  </si>
  <si>
    <t>Production</t>
  </si>
  <si>
    <t>ton</t>
  </si>
  <si>
    <t>Scenario</t>
  </si>
  <si>
    <t>Washington</t>
  </si>
  <si>
    <t>Demand</t>
  </si>
  <si>
    <t>CCI Purchases</t>
  </si>
  <si>
    <t>RNG Tranche 1</t>
  </si>
  <si>
    <t>RNG Tranche 2</t>
  </si>
  <si>
    <t>Synthetic Methane</t>
  </si>
  <si>
    <t xml:space="preserve">Emissions </t>
  </si>
  <si>
    <t>Offsets</t>
  </si>
  <si>
    <t>Voluntary RNG</t>
  </si>
  <si>
    <t>Total Conventional Gas - RTC From RNG - CCI credits</t>
  </si>
  <si>
    <t>Emissions</t>
  </si>
  <si>
    <t>Non-Compliance Gas</t>
  </si>
  <si>
    <t>Assigned Allowances</t>
  </si>
  <si>
    <t>Purchased Allowances</t>
  </si>
  <si>
    <t>Reference</t>
  </si>
  <si>
    <t>Sample 8</t>
  </si>
  <si>
    <t>Sample 9</t>
  </si>
  <si>
    <t>Sample 10</t>
  </si>
  <si>
    <t>Scenario 1- Balanced Decarbonization</t>
  </si>
  <si>
    <t>Scenario 2- Carbon Neutral</t>
  </si>
  <si>
    <t>Scenario 3- Dual-Fuel Heating</t>
  </si>
  <si>
    <t>Scenario 4- New Gas Customer Moratorium</t>
  </si>
  <si>
    <t>Scenario 5- Aggressive Building Electrification</t>
  </si>
  <si>
    <t>Scenario 6- Full Building Electrification</t>
  </si>
  <si>
    <t>Scenario 7- RNG and H2 Policy Support</t>
  </si>
  <si>
    <t>Scenario 8- Limited RNG</t>
  </si>
  <si>
    <t>Scenario 9- Supply-Focused Decarbonization</t>
  </si>
  <si>
    <t>Archaea Offtake Portfolio</t>
  </si>
  <si>
    <t>Element Markets NYC</t>
  </si>
  <si>
    <t>Tyson – Dakota City</t>
  </si>
  <si>
    <t>Tyson – Lexington</t>
  </si>
  <si>
    <t>Wasatch Resource Recovery</t>
  </si>
  <si>
    <t>Total Exisitng RNG</t>
  </si>
  <si>
    <t>Current RNG Agreements</t>
  </si>
  <si>
    <t>Industrial Recall/City Gate Deliveries</t>
  </si>
  <si>
    <t>Non-Pipeline/Storage Gas Supply</t>
  </si>
  <si>
    <t>Conventional Gas Flow</t>
  </si>
  <si>
    <t>Non-Pipeline Gas Supply</t>
  </si>
  <si>
    <t xml:space="preserve">OR CPP EMIISSIONS CAP </t>
  </si>
  <si>
    <t>MC_Supply Price Hydrogen 2022</t>
  </si>
  <si>
    <t>MC_Supply Price Hydrogen 2023</t>
  </si>
  <si>
    <t>MC_Supply Price Hydrogen 2024</t>
  </si>
  <si>
    <t>MC_Supply Price Hydrogen 2025</t>
  </si>
  <si>
    <t>MC_Supply Price Hydrogen 2026</t>
  </si>
  <si>
    <t>MC_Supply Price Hydrogen 2027</t>
  </si>
  <si>
    <t>MC_Supply Price Hydrogen 2028</t>
  </si>
  <si>
    <t>MC_Supply Price Hydrogen 2029</t>
  </si>
  <si>
    <t>MC_Supply Price Hydrogen 2030</t>
  </si>
  <si>
    <t>MC_Supply Price Hydrogen 2031</t>
  </si>
  <si>
    <t>MC_Supply Price Hydrogen 2032</t>
  </si>
  <si>
    <t>MC_Supply Price Hydrogen 2033</t>
  </si>
  <si>
    <t>MC_Supply Price Hydrogen 2034</t>
  </si>
  <si>
    <t>MC_Supply Price Hydrogen 2035</t>
  </si>
  <si>
    <t>MC_Supply Price Hydrogen 2036</t>
  </si>
  <si>
    <t>MC_Supply Price Hydrogen 2037</t>
  </si>
  <si>
    <t>MC_Supply Price Hydrogen 2038</t>
  </si>
  <si>
    <t>MC_Supply Price Hydrogen 2039</t>
  </si>
  <si>
    <t>MC_Supply Price Hydrogen 2040</t>
  </si>
  <si>
    <t>MC_Supply Price Hydrogen 2041</t>
  </si>
  <si>
    <t>MC_Supply Price Hydrogen 2042</t>
  </si>
  <si>
    <t>MC_Supply Price Hydrogen 2043</t>
  </si>
  <si>
    <t>MC_Supply Price Hydrogen 2044</t>
  </si>
  <si>
    <t>MC_Supply Price Hydrogen 2045</t>
  </si>
  <si>
    <t>MC_Supply Price Hydrogen 2046</t>
  </si>
  <si>
    <t>MC_Supply Price Hydrogen 2047</t>
  </si>
  <si>
    <t>MC_Supply Price Hydrogen 2048</t>
  </si>
  <si>
    <t>MC_Supply Price Hydrogen 2049</t>
  </si>
  <si>
    <t>MC_Supply Price Hydrogen 2050</t>
  </si>
  <si>
    <t>MC_Supply Price Hydrogen 2051</t>
  </si>
  <si>
    <t>MC_Supply Price RNG Tranche 1 2022</t>
  </si>
  <si>
    <t>MC_Supply Price RNG Tranche 1 2023</t>
  </si>
  <si>
    <t>MC_Supply Price RNG Tranche 1 2024</t>
  </si>
  <si>
    <t>MC_Supply Price RNG Tranche 1 2025</t>
  </si>
  <si>
    <t>MC_Supply Price RNG Tranche 1 2026</t>
  </si>
  <si>
    <t>MC_Supply Price RNG Tranche 1 2027</t>
  </si>
  <si>
    <t>MC_Supply Price RNG Tranche 1 2028</t>
  </si>
  <si>
    <t>MC_Supply Price RNG Tranche 1 2029</t>
  </si>
  <si>
    <t>MC_Supply Price RNG Tranche 1 2030</t>
  </si>
  <si>
    <t>MC_Supply Price RNG Tranche 1 2031</t>
  </si>
  <si>
    <t>MC_Supply Price RNG Tranche 1 2032</t>
  </si>
  <si>
    <t>MC_Supply Price RNG Tranche 1 2033</t>
  </si>
  <si>
    <t>MC_Supply Price RNG Tranche 1 2034</t>
  </si>
  <si>
    <t>MC_Supply Price RNG Tranche 1 2035</t>
  </si>
  <si>
    <t>MC_Supply Price RNG Tranche 1 2036</t>
  </si>
  <si>
    <t>MC_Supply Price RNG Tranche 1 2037</t>
  </si>
  <si>
    <t>MC_Supply Price RNG Tranche 1 2038</t>
  </si>
  <si>
    <t>MC_Supply Price RNG Tranche 1 2039</t>
  </si>
  <si>
    <t>MC_Supply Price RNG Tranche 1 2040</t>
  </si>
  <si>
    <t>MC_Supply Price RNG Tranche 1 2041</t>
  </si>
  <si>
    <t>MC_Supply Price RNG Tranche 1 2042</t>
  </si>
  <si>
    <t>MC_Supply Price RNG Tranche 1 2043</t>
  </si>
  <si>
    <t>MC_Supply Price RNG Tranche 1 2044</t>
  </si>
  <si>
    <t>MC_Supply Price RNG Tranche 1 2045</t>
  </si>
  <si>
    <t>MC_Supply Price RNG Tranche 1 2046</t>
  </si>
  <si>
    <t>MC_Supply Price RNG Tranche 1 2047</t>
  </si>
  <si>
    <t>MC_Supply Price RNG Tranche 1 2048</t>
  </si>
  <si>
    <t>MC_Supply Price RNG Tranche 1 2049</t>
  </si>
  <si>
    <t>MC_Supply Price RNG Tranche 1 2050</t>
  </si>
  <si>
    <t>MC_Supply Price RNG Tranche 1 2051</t>
  </si>
  <si>
    <t>MC_Supply Price RNG Tranche 2 2022</t>
  </si>
  <si>
    <t>MC_Supply Price RNG Tranche 2 2023</t>
  </si>
  <si>
    <t>MC_Supply Price RNG Tranche 2 2024</t>
  </si>
  <si>
    <t>MC_Supply Price RNG Tranche 2 2025</t>
  </si>
  <si>
    <t>MC_Supply Price RNG Tranche 2 2026</t>
  </si>
  <si>
    <t>MC_Supply Price RNG Tranche 2 2027</t>
  </si>
  <si>
    <t>MC_Supply Price RNG Tranche 2 2028</t>
  </si>
  <si>
    <t>MC_Supply Price RNG Tranche 2 2029</t>
  </si>
  <si>
    <t>MC_Supply Price RNG Tranche 2 2030</t>
  </si>
  <si>
    <t>MC_Supply Price RNG Tranche 2 2031</t>
  </si>
  <si>
    <t>MC_Supply Price RNG Tranche 2 2032</t>
  </si>
  <si>
    <t>MC_Supply Price RNG Tranche 2 2033</t>
  </si>
  <si>
    <t>MC_Supply Price RNG Tranche 2 2034</t>
  </si>
  <si>
    <t>MC_Supply Price RNG Tranche 2 2035</t>
  </si>
  <si>
    <t>MC_Supply Price RNG Tranche 2 2036</t>
  </si>
  <si>
    <t>MC_Supply Price RNG Tranche 2 2037</t>
  </si>
  <si>
    <t>MC_Supply Price RNG Tranche 2 2038</t>
  </si>
  <si>
    <t>MC_Supply Price RNG Tranche 2 2039</t>
  </si>
  <si>
    <t>MC_Supply Price RNG Tranche 2 2040</t>
  </si>
  <si>
    <t>MC_Supply Price RNG Tranche 2 2041</t>
  </si>
  <si>
    <t>MC_Supply Price RNG Tranche 2 2042</t>
  </si>
  <si>
    <t>MC_Supply Price RNG Tranche 2 2043</t>
  </si>
  <si>
    <t>MC_Supply Price RNG Tranche 2 2044</t>
  </si>
  <si>
    <t>MC_Supply Price RNG Tranche 2 2045</t>
  </si>
  <si>
    <t>MC_Supply Price RNG Tranche 2 2046</t>
  </si>
  <si>
    <t>MC_Supply Price RNG Tranche 2 2047</t>
  </si>
  <si>
    <t>MC_Supply Price RNG Tranche 2 2048</t>
  </si>
  <si>
    <t>MC_Supply Price RNG Tranche 2 2049</t>
  </si>
  <si>
    <t>MC_Supply Price RNG Tranche 2 2050</t>
  </si>
  <si>
    <t>MC_Supply Price RNG Tranche 2 2051</t>
  </si>
  <si>
    <t>MC_Supply Price Synthetic Methane 2022</t>
  </si>
  <si>
    <t>MC_Supply Price Synthetic Methane 2023</t>
  </si>
  <si>
    <t>MC_Supply Price Synthetic Methane 2024</t>
  </si>
  <si>
    <t>MC_Supply Price Synthetic Methane 2025</t>
  </si>
  <si>
    <t>MC_Supply Price Synthetic Methane 2026</t>
  </si>
  <si>
    <t>MC_Supply Price Synthetic Methane 2027</t>
  </si>
  <si>
    <t>MC_Supply Price Synthetic Methane 2028</t>
  </si>
  <si>
    <t>MC_Supply Price Synthetic Methane 2029</t>
  </si>
  <si>
    <t>MC_Supply Price Synthetic Methane 2030</t>
  </si>
  <si>
    <t>MC_Supply Price Synthetic Methane 2031</t>
  </si>
  <si>
    <t>MC_Supply Price Synthetic Methane 2032</t>
  </si>
  <si>
    <t>MC_Supply Price Synthetic Methane 2033</t>
  </si>
  <si>
    <t>MC_Supply Price Synthetic Methane 2034</t>
  </si>
  <si>
    <t>MC_Supply Price Synthetic Methane 2035</t>
  </si>
  <si>
    <t>MC_Supply Price Synthetic Methane 2036</t>
  </si>
  <si>
    <t>MC_Supply Price Synthetic Methane 2037</t>
  </si>
  <si>
    <t>MC_Supply Price Synthetic Methane 2038</t>
  </si>
  <si>
    <t>MC_Supply Price Synthetic Methane 2039</t>
  </si>
  <si>
    <t>MC_Supply Price Synthetic Methane 2040</t>
  </si>
  <si>
    <t>MC_Supply Price Synthetic Methane 2041</t>
  </si>
  <si>
    <t>MC_Supply Price Synthetic Methane 2042</t>
  </si>
  <si>
    <t>MC_Supply Price Synthetic Methane 2043</t>
  </si>
  <si>
    <t>MC_Supply Price Synthetic Methane 2044</t>
  </si>
  <si>
    <t>MC_Supply Price Synthetic Methane 2045</t>
  </si>
  <si>
    <t>MC_Supply Price Synthetic Methane 2046</t>
  </si>
  <si>
    <t>MC_Supply Price Synthetic Methane 2047</t>
  </si>
  <si>
    <t>MC_Supply Price Synthetic Methane 2048</t>
  </si>
  <si>
    <t>MC_Supply Price Synthetic Methane 2049</t>
  </si>
  <si>
    <t>MC_Supply Price Synthetic Methane 2050</t>
  </si>
  <si>
    <t>MC_Supply Price Synthetic Methane 2051</t>
  </si>
  <si>
    <t>Datetime</t>
  </si>
  <si>
    <t>OR Community Climate Investments</t>
  </si>
  <si>
    <t>2021 $ / MMBtu</t>
  </si>
  <si>
    <t>Year</t>
  </si>
  <si>
    <t>year</t>
  </si>
  <si>
    <t>ORResScen1</t>
  </si>
  <si>
    <t>ORResScen2</t>
  </si>
  <si>
    <t>ORResScen3</t>
  </si>
  <si>
    <t>ORResScen4</t>
  </si>
  <si>
    <t>ORResScen5</t>
  </si>
  <si>
    <t>ORResScen6</t>
  </si>
  <si>
    <t>ORResScen7</t>
  </si>
  <si>
    <t>ORResScen8</t>
  </si>
  <si>
    <t>ORResScen9</t>
  </si>
  <si>
    <t>ORComScen1</t>
  </si>
  <si>
    <t>ORComScen2</t>
  </si>
  <si>
    <t>ORComScen3</t>
  </si>
  <si>
    <t>ORComScen4</t>
  </si>
  <si>
    <t>ORComScen5</t>
  </si>
  <si>
    <t>ORComScen6</t>
  </si>
  <si>
    <t>ORComScen7</t>
  </si>
  <si>
    <t>ORComScen8</t>
  </si>
  <si>
    <t>ORComScen9</t>
  </si>
  <si>
    <t>ORIndSalesScen1</t>
  </si>
  <si>
    <t>ORIndSalesScen2</t>
  </si>
  <si>
    <t>ORIndSalesScen3</t>
  </si>
  <si>
    <t>ORIndSalesScen4</t>
  </si>
  <si>
    <t>ORIndSalesScen5</t>
  </si>
  <si>
    <t>ORIndSalesScen6</t>
  </si>
  <si>
    <t>ORIndSalesScen7</t>
  </si>
  <si>
    <t>ORIndSalesScen8</t>
  </si>
  <si>
    <t>ORIndSalesScen9</t>
  </si>
  <si>
    <t>ORTransportScen1</t>
  </si>
  <si>
    <t>ORTransportScen2</t>
  </si>
  <si>
    <t>ORTransportScen3</t>
  </si>
  <si>
    <t>ORTransportScen4</t>
  </si>
  <si>
    <t>ORTransportScen5</t>
  </si>
  <si>
    <t>ORTransportScen6</t>
  </si>
  <si>
    <t>ORTransportScen7</t>
  </si>
  <si>
    <t>ORTransportScen8</t>
  </si>
  <si>
    <t>ORTransportScen9</t>
  </si>
  <si>
    <t>WAResScen1</t>
  </si>
  <si>
    <t>WAResScen2</t>
  </si>
  <si>
    <t>WAResScen3</t>
  </si>
  <si>
    <t>WAResScen4</t>
  </si>
  <si>
    <t>WAResScen5</t>
  </si>
  <si>
    <t>WAResScen6</t>
  </si>
  <si>
    <t>WAResScen7</t>
  </si>
  <si>
    <t>WAResScen8</t>
  </si>
  <si>
    <t>WAResScen9</t>
  </si>
  <si>
    <t>WAComScen1</t>
  </si>
  <si>
    <t>WAComScen2</t>
  </si>
  <si>
    <t>WAComScen3</t>
  </si>
  <si>
    <t>WAComScen4</t>
  </si>
  <si>
    <t>WAComScen5</t>
  </si>
  <si>
    <t>WAComScen6</t>
  </si>
  <si>
    <t>WAComScen7</t>
  </si>
  <si>
    <t>WAComScen8</t>
  </si>
  <si>
    <t>WAComScen9</t>
  </si>
  <si>
    <t>WAIndSalesScen1</t>
  </si>
  <si>
    <t>WAIndSalesScen2</t>
  </si>
  <si>
    <t>WAIndSalesScen3</t>
  </si>
  <si>
    <t>WAIndSalesScen4</t>
  </si>
  <si>
    <t>WAIndSalesScen5</t>
  </si>
  <si>
    <t>WAIndSalesScen6</t>
  </si>
  <si>
    <t>WAIndSalesScen7</t>
  </si>
  <si>
    <t>WAIndSalesScen8</t>
  </si>
  <si>
    <t>WAIndSalesScen9</t>
  </si>
  <si>
    <t>WATranspWAtScen1</t>
  </si>
  <si>
    <t>WATranspWAtScen2</t>
  </si>
  <si>
    <t>WATranspWAtScen3</t>
  </si>
  <si>
    <t>WATranspWAtScen4</t>
  </si>
  <si>
    <t>WATranspWAtScen5</t>
  </si>
  <si>
    <t>WATranspWAtScen6</t>
  </si>
  <si>
    <t>WATranspWAtScen7</t>
  </si>
  <si>
    <t>WATranspWAtScen8</t>
  </si>
  <si>
    <t>WATranspWAtScen9</t>
  </si>
  <si>
    <t>Residential Reduction</t>
  </si>
  <si>
    <t>Commercial Reduction</t>
  </si>
  <si>
    <t>Ind-Com Sales Reduction</t>
  </si>
  <si>
    <t>Transport Reduction</t>
  </si>
  <si>
    <t xml:space="preserve">WA CCA Assigned Allowance Limit </t>
  </si>
  <si>
    <t>Totals</t>
  </si>
  <si>
    <t>Scenario/Sample Crosswalk</t>
  </si>
  <si>
    <t>Child Name</t>
  </si>
  <si>
    <t>Category</t>
  </si>
  <si>
    <t>Gas Zone</t>
  </si>
  <si>
    <t>Conventional Gas Supplies</t>
  </si>
  <si>
    <t>-</t>
  </si>
  <si>
    <t>Gas Supply Total Commodity Costs</t>
  </si>
  <si>
    <t>AECO</t>
  </si>
  <si>
    <t>Opal</t>
  </si>
  <si>
    <t>Sumas</t>
  </si>
  <si>
    <t>West Coast Station 2</t>
  </si>
  <si>
    <t>AECO weight</t>
  </si>
  <si>
    <t>Opal weight</t>
  </si>
  <si>
    <t>Sumas weight</t>
  </si>
  <si>
    <t>West Coast Station 2 weight</t>
  </si>
  <si>
    <t>Gas Contract</t>
  </si>
  <si>
    <t>Take Quantity</t>
  </si>
  <si>
    <t>Basin</t>
  </si>
  <si>
    <t>NW Pipeline</t>
  </si>
  <si>
    <t>GTN to Stanfield</t>
  </si>
  <si>
    <t>Fuel</t>
  </si>
  <si>
    <t>Foothills Pipeline</t>
  </si>
  <si>
    <t>GTN to Starr Road</t>
  </si>
  <si>
    <t>Nova Pipeline</t>
  </si>
  <si>
    <t>T-South Pipeline</t>
  </si>
  <si>
    <t>Pipeline Charges</t>
  </si>
  <si>
    <t>Gas Pipeline</t>
  </si>
  <si>
    <t>Star Road Percentage</t>
  </si>
  <si>
    <t>Flow In</t>
  </si>
  <si>
    <t>Variable</t>
  </si>
  <si>
    <t>WACOG</t>
  </si>
  <si>
    <t>AECO (Stanfield)</t>
  </si>
  <si>
    <t>AECO (Star Road)</t>
  </si>
  <si>
    <t>QC</t>
  </si>
  <si>
    <t>Weights</t>
  </si>
  <si>
    <t>Variable ($/MMBtu)</t>
  </si>
  <si>
    <t>Commodity Cost ($/MMBtu)</t>
  </si>
  <si>
    <t>Fuel (%)</t>
  </si>
  <si>
    <t>CCP and CCA Emissions Constraint Violation</t>
  </si>
  <si>
    <t>WACOD</t>
  </si>
  <si>
    <t>Days in Year</t>
  </si>
  <si>
    <t>Total Annual Cost ($)</t>
  </si>
  <si>
    <t>Incremental MMBtu / Day</t>
  </si>
  <si>
    <t>Incremental Annual Cost ($)</t>
  </si>
  <si>
    <t>SB 98 Renewable Gas</t>
  </si>
  <si>
    <t>Total Incremental DSM Annual Cost</t>
  </si>
  <si>
    <t>Total Compliance Cost</t>
  </si>
  <si>
    <t xml:space="preserve"> Annual Cost ($)</t>
  </si>
  <si>
    <t>$/MMBtu</t>
  </si>
  <si>
    <t>WA RNG Targets</t>
  </si>
  <si>
    <t>Total Renewable Gas</t>
  </si>
  <si>
    <t>Cost From Renewable Gas</t>
  </si>
  <si>
    <t>Cost From DSM</t>
  </si>
  <si>
    <t>Cost From Purchased Allowances and Offsets</t>
  </si>
  <si>
    <t>Renewable Supply Costs</t>
  </si>
  <si>
    <t>Community Climate Investments</t>
  </si>
  <si>
    <t>Incremental Load Reductions Investments</t>
  </si>
  <si>
    <t xml:space="preserve"> Percentage of Demand (%)</t>
  </si>
  <si>
    <t>OR0</t>
  </si>
  <si>
    <t>OR1</t>
  </si>
  <si>
    <t>OR2</t>
  </si>
  <si>
    <t>OR3</t>
  </si>
  <si>
    <t>OR4</t>
  </si>
  <si>
    <t>OR5</t>
  </si>
  <si>
    <t>OR6</t>
  </si>
  <si>
    <t>OR7</t>
  </si>
  <si>
    <t>OR8</t>
  </si>
  <si>
    <t>OR9</t>
  </si>
  <si>
    <t>WA0</t>
  </si>
  <si>
    <t>WA1</t>
  </si>
  <si>
    <t>WA2</t>
  </si>
  <si>
    <t>WA3</t>
  </si>
  <si>
    <t>WA4</t>
  </si>
  <si>
    <t>WA5</t>
  </si>
  <si>
    <t>WA6</t>
  </si>
  <si>
    <t>WA7</t>
  </si>
  <si>
    <t>WA8</t>
  </si>
  <si>
    <t>WA9</t>
  </si>
  <si>
    <t>RNG WACOD ($/MMBtu)</t>
  </si>
  <si>
    <t>CCI WACOD ($/MMBtu)</t>
  </si>
  <si>
    <t>Demand-Side WACOD ($/MMBtu)</t>
  </si>
  <si>
    <t>S/MMBtu</t>
  </si>
  <si>
    <t>Renewables WACOD</t>
  </si>
  <si>
    <t>Compliance Tools WACOD</t>
  </si>
  <si>
    <t>Demand-Side Action WACOD</t>
  </si>
  <si>
    <t xml:space="preserve">Biofuel RNG </t>
  </si>
  <si>
    <t xml:space="preserve">NOTES: Formulas for each column can be dragged down rows for each year, but are unique to the column and therefore cannot be dragged across columns. Orange Tabs are direct outputs from PLEXOS, Blue tabs are direct inputs to PLEXOS. </t>
  </si>
  <si>
    <t>PLEXOS Draw</t>
  </si>
  <si>
    <t>Incremental Res/Com EE</t>
  </si>
  <si>
    <t>Heat Pumps</t>
  </si>
  <si>
    <t>Hybrid System</t>
  </si>
  <si>
    <t>Incremental Ind Sales</t>
  </si>
  <si>
    <t>Transport EE</t>
  </si>
  <si>
    <t>Total</t>
  </si>
  <si>
    <t>Allowance Price 2021 $ / MMBtu</t>
  </si>
  <si>
    <t>Max(SSC, Allowance Price)</t>
  </si>
  <si>
    <t>Exisitng RNG Contracts</t>
  </si>
  <si>
    <t>Scenario 1</t>
  </si>
  <si>
    <t>Scenario 2</t>
  </si>
  <si>
    <t>Scenario 3</t>
  </si>
  <si>
    <t>Scenario 4</t>
  </si>
  <si>
    <t>Scenario 5</t>
  </si>
  <si>
    <t>Scenario 6</t>
  </si>
  <si>
    <t>Scenario 7</t>
  </si>
  <si>
    <t>Scenario 8</t>
  </si>
  <si>
    <t>Scenario 9</t>
  </si>
  <si>
    <t>Hydrogen Percentage</t>
  </si>
  <si>
    <t>Month</t>
  </si>
  <si>
    <t>HB 1257  Renewable Gas</t>
  </si>
  <si>
    <t>HB 1257 Percentage</t>
  </si>
  <si>
    <t xml:space="preserve">SB 98 </t>
  </si>
  <si>
    <t>SB 98 / HB 1257 Targets</t>
  </si>
  <si>
    <t>QC Check</t>
  </si>
  <si>
    <t>NOTE: Scenario 2 is the Carbon Neutral Scenario and has a different emissions trajectory than other scenarios and Monte Carlo draws. Therefore, it will show as a violation in this QC check that compares the emissions in each year to the emissions targets in the CPP and CAA</t>
  </si>
  <si>
    <t xml:space="preserve">Scenario 1 represents what NW Natural considers to be a balanced approach to meeting the emissions compliance obligation of Oregon’s Climate Protection Program (CPP) and Washington’s Cap-and-Invest program. Customer growth is based upon historical trends. It uses the energy efficiency forecasts provided by Energy Trust of Oregon for sales customers and AEG for transport customers. It also deploys a moderate amount of both natural gas heat pump technology for space and water heating and dual-fuel heating systems (electric heat pump with natural gas supplemental/backup heat). It uses our best estimate of the availability and cost of biofuel RNG and a conservative estimate of the amount of renewable hydrogen that is either blended into our system or deployed in pure hydrogen to some customers (20% of deliveries in energy terms). Key assumptions in the other scenarios are varied to be able to compare against Scenario 1.
</t>
  </si>
  <si>
    <t xml:space="preserve"> </t>
  </si>
  <si>
    <t>Scenario 2 is the scenario meant to help answer the question “What if NW Natural reduced emissions faster and further than is required by the OR CPP and WA CCA programs?” As such, it is the only scenario that does not use NW Natural’s emissions cap in Oregon’s CPP program or expected activity to comply with Washington’s Cap-and-Invest program as the constraint for emissions. It deploys a requirement that NW Natural’s emissions are zero in 2050 without the use of offsets or compliance instruments (like CCIs in OR or emissions allowances in WA). It assumes customer growth based upon historical trends. In order to meet this more aggressive emissions target it deploys a more aggressive deployment of existing Energy Trust EE programs and expected transport schedule EE programs than Scenario 1. It also assumes a more aggressive penetration of natural gas heat pump technology for space and water heating. While the cost and availability of the modeled renewable supply options is the same as Scenario 1 it allows for more pure hydrogen to be blended or dedicated to some customers.</t>
  </si>
  <si>
    <t>Scenario 3 helps to answer the question “What could it mean for gas utility customers if dual-fuel heating (an electric heat pump supplemented by a gas furnace during cold events) becomes the primary equipment to meet heating need in NW Natural’s service territory?” It utilizes the same customer growth and supply-side assumptions as Scenario 1 but assumes that by 2028 all heating equipment installations (replacement of existing equipment reaching the end of its life as well as installations in newly constructed buildings) that would be natural gas heating in the reference case become dual-fuel systems, such that by 2050 dual-fuel heating systems predominate in NW Natural’s service territory.</t>
  </si>
  <si>
    <t>Scenario 4 helps to answer the question “What would be the implications if policy prohibited new customers from connecting to the natural gas grid?” It deploys the same demand and supply-side resource option assumptions as Scenario 1, but assumes that no new customers connect to the gas system starting in 2025. This reduces much of the energy efficiency deployed via Energy Trust programs given that much of the expected savings over the planning horizon come from new construction and conversions.</t>
  </si>
  <si>
    <t>Scenario 5 helps to answer the question “What would it mean if policy prohibited new customers from connecting to the natural gas grid and many existing customers also left the gas system to electrify?” Scenario 5 assumes the same cost and availability of renewable supply as Scenario 1 but assumes no new customers are added to the system starting in 2025, and that half of the customers who replace their existing gas heating equipment in a given year choose to electrify their homes upon that decision and leave the gas system.</t>
  </si>
  <si>
    <t>Scenario 6 helps to answer the question “What would it mean if a policy were implemented that required homes and businesses to leave the gas system when they replaced their heating equipment?” This scenario represents the bookend of what the implications could be if the most extreme electrification policy were implemented. While rendered largely moot by the electrification assumption, this scenario assumes the same availability and cost of renewable resources as Scenario 1.</t>
  </si>
  <si>
    <t>Scenario 7 answers the question “What would it mean if there were federal policy support for renewable natural gas and renewable hydrogen that reduced the cost of these resources to gas utility customers?” This scenario assumes a federal production tax credit of 30% for RNG and H2 similar to policies to support renewable electricity generation. It is assumed that this reduction in the price of these resources also results in a moderate increase in the availability of biofuel RNG. The customer growth demand-side resource assumptions in this scenario are the same as Scenario 1.</t>
  </si>
  <si>
    <t>Scenario 8 helps to answer the question “What are the implications if biofuel RNG is less plentiful and more expensive than expected?” This scenario assumes a low resource potential for biofuel RNG (roughly half of the resource assumed in Scenario 1) at a higher cost than can be seen in current markets, and that less hydrogen can be delivered to customers via a combination of blending and dedicated delivery to some customers. Customer growth and demand-side resource assumptions in this Scenario are the same as Scenario 1.</t>
  </si>
  <si>
    <t>Scenario 9 helps to answer the question “What would it mean if less load can be reduced than is expected?” This scenario assumes less energy efficiency can be achieved than Scenario 1 and assumes that natural gas heat pump technology never becomes available in NW Natural’s service territory. This assumption results in a great need for renewable supply to meet the emissions requirements of the OR-CPP and WA-CCA programs. It assumes the same customer growth and price and availability of renewable supply sources (RNG, H2) as Scenario 1.</t>
  </si>
  <si>
    <t>Scenario Description</t>
  </si>
  <si>
    <t>Scenario - Dropdown Selection</t>
  </si>
  <si>
    <t>Scenario Descriptions</t>
  </si>
  <si>
    <t>Compliance Resource Annual Avaliablity</t>
  </si>
  <si>
    <t>Excel File Tab Color Scheme</t>
  </si>
  <si>
    <t>Output Solution from PLEXOS</t>
  </si>
  <si>
    <t>Compliance Resource Property used for WACOD calc</t>
  </si>
  <si>
    <t>Additional Data</t>
  </si>
  <si>
    <t>Data Compilation/Aggregation</t>
  </si>
  <si>
    <t>Excel Tab Description</t>
  </si>
  <si>
    <t>Excel Tab Color</t>
  </si>
  <si>
    <t>We define the reference case as a projection of demand based on historical trends of customer additions and gas usage. The reference case shows what load would look like if all trends embedded in historical data continued over the remainder of the planning horizon to 2050. The reference case is not a base case or preferred portfolio, it is a tool used to show how the scenarios being modeled in the IRP differ from the prior “business-as-usual” state. In the reference case all gas flowing through the system would be conventional fossil gas or on-system brown gas (i.e., RNG without environmental attributes).</t>
  </si>
  <si>
    <t>Scenarios</t>
  </si>
  <si>
    <t>Additional Scenario Modeling Notes</t>
  </si>
  <si>
    <t/>
  </si>
  <si>
    <t xml:space="preserve">We had the PLEXOS model solve the reference case to meet compliance obligations for QC purposes as seen in values in the PLEXOS output tabs, but a "business-as-usual" state prior to decarbonization efforts assumes that demand would be met using fossil gas throughout the planning horizon. This assumption implicitly ignores that there could be impacts not related to decarbonization that are reducing the costs for hydrogen and it could potentially become economical if the price of hydrogen fell below the price of conventional gas. However; at this point in the hydrogen cost modeling, we have not disentangled the cost declines driven by to decarbonization efforts, such as increased renewable portfolio standards on the electric grid, and cost declines driven by non-decarbonization influence. A true reference case would need to disentangle these cost declines and and re-optimized using the cost of hydrogen not driven by decarbonization and may result in no difference than assuming conventional fossil gas is used to serve demand over the planning horizon. </t>
  </si>
  <si>
    <t>Oregon Compliance Periods</t>
  </si>
  <si>
    <t>Annual Properties</t>
  </si>
  <si>
    <t>Peak Day Sales Load</t>
  </si>
  <si>
    <t>Gas Year</t>
  </si>
  <si>
    <t>Dth</t>
  </si>
  <si>
    <t>PLEXOS NAMES</t>
  </si>
  <si>
    <t>Mist Recall 1</t>
  </si>
  <si>
    <t>Mist Recall 2</t>
  </si>
  <si>
    <t>Mist Recall - Cold Box Alternative_NWN</t>
  </si>
  <si>
    <t>Mist Recall - Cold Box Alternative_NWP</t>
  </si>
  <si>
    <t>Total Mist Recall</t>
  </si>
  <si>
    <t>Portland LNG - Cold Box</t>
  </si>
  <si>
    <t>Mist Expansion</t>
  </si>
  <si>
    <t>Cold Box Alternative_Do Nothing</t>
  </si>
  <si>
    <t>Cold Box Alternative_NWN</t>
  </si>
  <si>
    <t>Cold Box Alternative_NWP</t>
  </si>
  <si>
    <t>Newport Takeaway 1</t>
  </si>
  <si>
    <t>Newport Takeaway 2</t>
  </si>
  <si>
    <t>Newport Takeaway 3</t>
  </si>
  <si>
    <t>Pipeline Expansion NWP Sumas to Zone 26 - Local</t>
  </si>
  <si>
    <t>Total 2050 Potential</t>
  </si>
  <si>
    <t>Total Potential</t>
  </si>
  <si>
    <t>Incremental</t>
  </si>
  <si>
    <t>Cumulative</t>
  </si>
  <si>
    <t>Mist Recall</t>
  </si>
  <si>
    <t>PLNG - Cold Box Alt NWP</t>
  </si>
  <si>
    <t>Gas-Year</t>
  </si>
  <si>
    <t>Existing Supply-side Capacity</t>
  </si>
  <si>
    <t>Firm Sale Peak Day Forecast</t>
  </si>
  <si>
    <t>Existing Demand-Response</t>
  </si>
  <si>
    <t>Peak Day Load Reduction</t>
  </si>
  <si>
    <t>Existing Resource Stack</t>
  </si>
  <si>
    <t>Citygate Deal</t>
  </si>
  <si>
    <t>Cold Box</t>
  </si>
  <si>
    <t>Storage Speeds</t>
  </si>
  <si>
    <t xml:space="preserve">Mist </t>
  </si>
  <si>
    <t xml:space="preserve">PLNG </t>
  </si>
  <si>
    <t xml:space="preserve">Mist Expansion </t>
  </si>
  <si>
    <t>GRAPH</t>
  </si>
  <si>
    <t>Compliance Resource Property Input into PLEXOS</t>
  </si>
  <si>
    <t>Demand-Side Assumptions</t>
  </si>
  <si>
    <t>Sales Customer Energy Efficiency</t>
  </si>
  <si>
    <t>Energy Trust of Oregon projection of savings, at $5.06/therm of first year savings</t>
  </si>
  <si>
    <t xml:space="preserve">Transport Customer Energy Efficiency </t>
  </si>
  <si>
    <t>Applied Energy Group projection of savings at $1.79/therm of first year savings</t>
  </si>
  <si>
    <t xml:space="preserve"> Gas Heat Pump Cost</t>
  </si>
  <si>
    <t>$4,000 total cost to utility for a residential heating system, $13,000 for a Commercial heating System; $1600 for residential water heater</t>
  </si>
  <si>
    <t xml:space="preserve"> Dual-Fuel System Costs</t>
  </si>
  <si>
    <t>Net cost of $400 to utility</t>
  </si>
  <si>
    <t>Scenario Cross Walk</t>
  </si>
  <si>
    <t>Dual-Fuel System Costs</t>
  </si>
  <si>
    <t>Gas Heat Pump Cost</t>
  </si>
  <si>
    <t>Scenario Drop Down</t>
  </si>
  <si>
    <t>Residential Rate increase</t>
  </si>
  <si>
    <t>Oregon</t>
  </si>
  <si>
    <t>Page 2</t>
  </si>
  <si>
    <t>Page 5</t>
  </si>
  <si>
    <t>Page 1</t>
  </si>
  <si>
    <t>OR Residential</t>
  </si>
  <si>
    <t>OR Commercial</t>
  </si>
  <si>
    <t>OR Total</t>
  </si>
  <si>
    <t>WA Residential</t>
  </si>
  <si>
    <t>WA Commercial</t>
  </si>
  <si>
    <t>WA Total</t>
  </si>
  <si>
    <t>Reference Total</t>
  </si>
  <si>
    <t>Gas Heat Pump</t>
  </si>
  <si>
    <t>Dual-Fuel System</t>
  </si>
  <si>
    <t>Furnace/Boiler</t>
  </si>
  <si>
    <t>Dual-Fuel Heating</t>
  </si>
  <si>
    <t>Gas Furnace</t>
  </si>
  <si>
    <t>Installs</t>
  </si>
  <si>
    <t>Penetration</t>
  </si>
  <si>
    <t>Residential Firm Sales</t>
  </si>
  <si>
    <t>Commercial Firm Sales</t>
  </si>
  <si>
    <t>Industrial Firm Sales</t>
  </si>
  <si>
    <t>Reference Case</t>
  </si>
  <si>
    <t>Residential</t>
  </si>
  <si>
    <t>Commercial</t>
  </si>
  <si>
    <t>Industrial Sales</t>
  </si>
  <si>
    <t>Exisiting Resource Stack</t>
  </si>
  <si>
    <t>Small Commercial</t>
  </si>
  <si>
    <t>Industrial &amp; Large Com</t>
  </si>
  <si>
    <t>Transport</t>
  </si>
  <si>
    <t>Industrial Sales Reduction</t>
  </si>
  <si>
    <t>CPP Emissions Cap</t>
  </si>
  <si>
    <t>OR-Residential</t>
  </si>
  <si>
    <t>OR-Commercial</t>
  </si>
  <si>
    <t>OR-Industrial Sales</t>
  </si>
  <si>
    <t>OR-Transport</t>
  </si>
  <si>
    <t>CCA Allowance Allocation</t>
  </si>
  <si>
    <t>WA-Residential</t>
  </si>
  <si>
    <t>WA-Commercial</t>
  </si>
  <si>
    <t>WA-Industrial Sales</t>
  </si>
  <si>
    <t>WA-Transport</t>
  </si>
  <si>
    <t>Res Non-WACOG Rev Req</t>
  </si>
  <si>
    <t>Res UPC</t>
  </si>
  <si>
    <t>Total Res Bill</t>
  </si>
  <si>
    <t>Residential Bill Increase From Decarbonization</t>
  </si>
  <si>
    <t>Res Bill History</t>
  </si>
  <si>
    <t>Actual History</t>
  </si>
  <si>
    <t>With Decarbonization</t>
  </si>
  <si>
    <t>Com Non-WACOG Rev Req</t>
  </si>
  <si>
    <t>Total Commercial Bill</t>
  </si>
  <si>
    <t>15% more than ETO projection at $5.06/therm of first year savings</t>
  </si>
  <si>
    <t>30% more than ETO projection of savings at $1.79/therm of first year savings</t>
  </si>
  <si>
    <t>Fixed Costs From Expansion Capacity Resources  ($000)</t>
  </si>
  <si>
    <t>Newport Takeaway 1 ($000)</t>
  </si>
  <si>
    <t>Mist Expansion ($000)</t>
  </si>
  <si>
    <t>Mist Recall ($000)</t>
  </si>
  <si>
    <t>Portland LNG - Cold Box ($000)</t>
  </si>
  <si>
    <t>Expansion Options</t>
  </si>
  <si>
    <t>Max Daily Flow Built</t>
  </si>
  <si>
    <t>Gas Storage</t>
  </si>
  <si>
    <t>Max Volume Built</t>
  </si>
  <si>
    <t>Mean</t>
  </si>
  <si>
    <t>#</t>
  </si>
  <si>
    <t>Scenario Selection and Graphics</t>
  </si>
  <si>
    <t>Demand Reduction Cost Calculation used for WACOD and Rate impacts</t>
  </si>
  <si>
    <t>Demand Modeling Inputs</t>
  </si>
  <si>
    <t>ETO projection for existing customers at $5.06/therm of first year savings. Expected savings from new buildings are not achieved as new customers are not added.</t>
  </si>
  <si>
    <t>Gas energy efficiency programs are halted as they are not required to meet emissions goals and cross-subsidize electric customers</t>
  </si>
  <si>
    <t>No Gas Heat Pumps Installed</t>
  </si>
  <si>
    <t>No Dual-Fuel System Installed</t>
  </si>
  <si>
    <t>Quantity Available</t>
  </si>
  <si>
    <t>Option</t>
  </si>
  <si>
    <t>Limit</t>
  </si>
  <si>
    <t xml:space="preserve">RNG Tranche 1 </t>
  </si>
  <si>
    <t xml:space="preserve"> RNG Tranche 2</t>
  </si>
  <si>
    <t xml:space="preserve"> Hydrogen </t>
  </si>
  <si>
    <t xml:space="preserve"> Synthetic Methane </t>
  </si>
  <si>
    <t>Unbounded</t>
  </si>
  <si>
    <t xml:space="preserve"> CCIs</t>
  </si>
  <si>
    <t>OR Compliance Period 1: 10%</t>
  </si>
  <si>
    <t>OR Compliance Period 2: 15%</t>
  </si>
  <si>
    <t>OR Compliance Period &gt;=3: 20%</t>
  </si>
  <si>
    <t xml:space="preserve"> Allowances </t>
  </si>
  <si>
    <t>WA Compliance Period 1: 6%</t>
  </si>
  <si>
    <t>WA Compliance Period &gt;=2: 8%</t>
  </si>
  <si>
    <t>OR SB 98 / WA HB 1257 RNG Targets</t>
  </si>
  <si>
    <t>Tab Color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</si>
</sst>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_(* #,##0_);_(* \(#,##0\);_(* &quot;-&quot;??_);_(@_)"/>
    <numFmt numFmtId="165" formatCode="0.0000"/>
    <numFmt numFmtId="166" formatCode="0.000"/>
    <numFmt numFmtId="167" formatCode="0.000%"/>
    <numFmt numFmtId="168" formatCode="_(&quot;$&quot;* #,##0_);_(&quot;$&quot;* \(#,##0\);_(&quot;$&quot;* &quot;-&quot;??_);_(@_)"/>
    <numFmt numFmtId="169" formatCode="&quot;$&quot;#,##0.00"/>
    <numFmt numFmtId="170" formatCode="&quot;$&quot;#,##0"/>
    <numFmt numFmtId="171" formatCode="&quot;$&quot;#,##0.000"/>
    <numFmt numFmtId="172" formatCode="0.0"/>
    <numFmt numFmtId="173" formatCode="0.0000%"/>
    <numFmt numFmtId="174" formatCode="0_);\(0\)"/>
  </numFmts>
  <fonts count="22" x14ac:knownFonts="1">
    <font>
      <sz val="11"/>
      <color theme="1"/>
      <name val="Calibri"/>
      <family val="2"/>
      <scheme val="minor"/>
    </font>
    <font>
      <sz val="11"/>
      <color theme="1"/>
      <name val="Calibri"/>
      <family val="2"/>
      <scheme val="minor"/>
    </font>
    <font>
      <sz val="11"/>
      <color theme="0"/>
      <name val="Calibri"/>
      <family val="2"/>
      <scheme val="minor"/>
    </font>
    <font>
      <sz val="8"/>
      <name val="Calibri"/>
      <family val="2"/>
      <scheme val="minor"/>
    </font>
    <font>
      <sz val="11"/>
      <color rgb="FF000000"/>
      <name val="Calibri"/>
      <family val="2"/>
    </font>
    <font>
      <sz val="11"/>
      <color rgb="FF9C0006"/>
      <name val="Calibri"/>
      <family val="2"/>
      <scheme val="minor"/>
    </font>
    <font>
      <b/>
      <sz val="11"/>
      <color theme="1"/>
      <name val="Calibri"/>
      <family val="2"/>
      <scheme val="minor"/>
    </font>
    <font>
      <sz val="11"/>
      <name val="Calibri"/>
      <family val="2"/>
    </font>
    <font>
      <sz val="11"/>
      <name val="Calibri"/>
      <family val="2"/>
    </font>
    <font>
      <sz val="11"/>
      <color rgb="FFFF0000"/>
      <name val="Calibri"/>
      <family val="2"/>
      <scheme val="minor"/>
    </font>
    <font>
      <sz val="11"/>
      <color rgb="FF002060"/>
      <name val="Calibri"/>
      <family val="2"/>
      <scheme val="minor"/>
    </font>
    <font>
      <sz val="12"/>
      <color rgb="FF002060"/>
      <name val="Calibri"/>
      <family val="2"/>
      <scheme val="minor"/>
    </font>
    <font>
      <sz val="12"/>
      <color theme="1"/>
      <name val="Calibri"/>
      <family val="2"/>
      <scheme val="minor"/>
    </font>
    <font>
      <sz val="18"/>
      <color theme="1"/>
      <name val="Calibri"/>
      <family val="2"/>
      <scheme val="minor"/>
    </font>
    <font>
      <sz val="22"/>
      <color theme="1"/>
      <name val="Calibri"/>
      <family val="2"/>
      <scheme val="minor"/>
    </font>
    <font>
      <sz val="28"/>
      <color theme="1"/>
      <name val="Calibri"/>
      <family val="2"/>
      <scheme val="minor"/>
    </font>
    <font>
      <b/>
      <sz val="14"/>
      <color rgb="FFFFFFFF"/>
      <name val="Calibri"/>
      <family val="2"/>
      <scheme val="minor"/>
    </font>
    <font>
      <sz val="10"/>
      <color rgb="FF000000"/>
      <name val="Calibri"/>
      <family val="2"/>
      <scheme val="minor"/>
    </font>
    <font>
      <sz val="8"/>
      <color theme="1"/>
      <name val="Calibri"/>
      <family val="2"/>
      <scheme val="minor"/>
    </font>
    <font>
      <sz val="8"/>
      <color rgb="FF000000"/>
      <name val="Calibri"/>
      <family val="2"/>
      <scheme val="minor"/>
    </font>
    <font>
      <b/>
      <sz val="12"/>
      <color rgb="FF000000"/>
      <name val="Calibri"/>
      <family val="2"/>
      <scheme val="minor"/>
    </font>
    <font>
      <b/>
      <u/>
      <sz val="10"/>
      <color rgb="FF000000"/>
      <name val="Calibri"/>
      <family val="2"/>
      <scheme val="minor"/>
    </font>
  </fonts>
  <fills count="33">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bgColor indexed="64"/>
      </patternFill>
    </fill>
    <fill>
      <patternFill patternType="solid">
        <fgColor theme="7" tint="0.79998168889431442"/>
        <bgColor indexed="64"/>
      </patternFill>
    </fill>
    <fill>
      <patternFill patternType="solid">
        <fgColor theme="7"/>
        <bgColor indexed="64"/>
      </patternFill>
    </fill>
    <fill>
      <patternFill patternType="solid">
        <fgColor rgb="FFFFC7CE"/>
      </patternFill>
    </fill>
    <fill>
      <patternFill patternType="solid">
        <fgColor rgb="FF00B05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0"/>
        <bgColor indexed="64"/>
      </patternFill>
    </fill>
    <fill>
      <patternFill patternType="solid">
        <fgColor theme="2"/>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FFD85D"/>
        <bgColor indexed="64"/>
      </patternFill>
    </fill>
    <fill>
      <patternFill patternType="solid">
        <fgColor rgb="FF1CF8CE"/>
        <bgColor indexed="64"/>
      </patternFill>
    </fill>
    <fill>
      <patternFill patternType="solid">
        <fgColor rgb="FF1CC29E"/>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002060"/>
        <bgColor indexed="64"/>
      </patternFill>
    </fill>
    <fill>
      <patternFill patternType="solid">
        <fgColor rgb="FFFFD961"/>
        <bgColor indexed="64"/>
      </patternFill>
    </fill>
    <fill>
      <patternFill patternType="solid">
        <fgColor rgb="FF0070C0"/>
        <bgColor indexed="64"/>
      </patternFill>
    </fill>
    <fill>
      <patternFill patternType="solid">
        <fgColor rgb="FF7030A0"/>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s>
  <cellStyleXfs count="7">
    <xf numFmtId="0" fontId="0" fillId="0" borderId="0"/>
    <xf numFmtId="43" fontId="1" fillId="0" borderId="0" applyFont="0" applyFill="0" applyBorder="0" applyAlignment="0" applyProtection="0"/>
    <xf numFmtId="0" fontId="5" fillId="8" borderId="0" applyNumberFormat="0" applyBorder="0" applyAlignment="0" applyProtection="0"/>
    <xf numFmtId="0" fontId="7" fillId="0" borderId="0"/>
    <xf numFmtId="43" fontId="8"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308">
    <xf numFmtId="0" fontId="0" fillId="0" borderId="0" xfId="0"/>
    <xf numFmtId="0" fontId="0" fillId="0" borderId="0" xfId="0" applyAlignment="1">
      <alignment vertical="center" wrapText="1"/>
    </xf>
    <xf numFmtId="4" fontId="0" fillId="0" borderId="0" xfId="0" applyNumberFormat="1" applyAlignment="1">
      <alignment horizontal="right" vertical="center" wrapText="1"/>
    </xf>
    <xf numFmtId="0" fontId="0" fillId="0" borderId="0" xfId="0" applyAlignment="1">
      <alignment horizontal="right" vertical="center" wrapText="1"/>
    </xf>
    <xf numFmtId="164" fontId="0" fillId="0" borderId="0" xfId="1" applyNumberFormat="1" applyFont="1" applyAlignment="1">
      <alignment horizontal="right" vertical="center" wrapText="1"/>
    </xf>
    <xf numFmtId="3" fontId="0" fillId="0" borderId="0" xfId="0" applyNumberFormat="1" applyAlignment="1">
      <alignment horizontal="right" vertical="center" wrapText="1"/>
    </xf>
    <xf numFmtId="0" fontId="0" fillId="0" borderId="0" xfId="0" applyBorder="1"/>
    <xf numFmtId="164" fontId="0" fillId="0" borderId="0" xfId="0" applyNumberFormat="1"/>
    <xf numFmtId="1" fontId="0" fillId="0" borderId="0" xfId="0" applyNumberFormat="1"/>
    <xf numFmtId="3" fontId="0" fillId="0" borderId="0" xfId="0" applyNumberFormat="1"/>
    <xf numFmtId="0" fontId="0" fillId="0" borderId="4" xfId="0"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7" xfId="0" applyFill="1" applyBorder="1" applyAlignment="1">
      <alignment horizontal="center" vertical="center"/>
    </xf>
    <xf numFmtId="0" fontId="0" fillId="0" borderId="8" xfId="0"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0" fillId="0" borderId="3" xfId="0" applyFill="1" applyBorder="1" applyAlignment="1">
      <alignment horizontal="center" vertical="center" wrapText="1"/>
    </xf>
    <xf numFmtId="0" fontId="2" fillId="5" borderId="9" xfId="0" applyFont="1" applyFill="1" applyBorder="1" applyAlignment="1"/>
    <xf numFmtId="0" fontId="2" fillId="5" borderId="10" xfId="0" applyFont="1" applyFill="1" applyBorder="1" applyAlignment="1"/>
    <xf numFmtId="164" fontId="0" fillId="0" borderId="0" xfId="1" applyNumberFormat="1" applyFont="1" applyFill="1" applyAlignment="1">
      <alignment horizontal="right" vertical="center" wrapText="1"/>
    </xf>
    <xf numFmtId="0" fontId="0" fillId="0" borderId="0" xfId="0" applyFill="1"/>
    <xf numFmtId="0" fontId="0" fillId="0" borderId="0" xfId="0" applyFill="1" applyBorder="1"/>
    <xf numFmtId="0" fontId="0" fillId="7" borderId="11" xfId="0" applyFill="1" applyBorder="1"/>
    <xf numFmtId="0" fontId="0" fillId="0" borderId="12" xfId="0" applyBorder="1" applyAlignment="1">
      <alignment wrapText="1"/>
    </xf>
    <xf numFmtId="0" fontId="0" fillId="2" borderId="0" xfId="0" applyFill="1"/>
    <xf numFmtId="0" fontId="0" fillId="3" borderId="0" xfId="0" applyFill="1"/>
    <xf numFmtId="0" fontId="0" fillId="0" borderId="0" xfId="0" applyFill="1" applyAlignment="1">
      <alignment horizontal="center" vertical="center" wrapText="1"/>
    </xf>
    <xf numFmtId="0" fontId="0" fillId="0" borderId="0" xfId="0" applyAlignment="1">
      <alignment horizontal="center" vertical="center" wrapText="1"/>
    </xf>
    <xf numFmtId="0" fontId="0" fillId="0" borderId="0" xfId="0" applyAlignment="1">
      <alignment horizontal="center"/>
    </xf>
    <xf numFmtId="0" fontId="0" fillId="2" borderId="0" xfId="0" applyFill="1" applyAlignment="1">
      <alignment horizontal="center" vertical="center" wrapText="1"/>
    </xf>
    <xf numFmtId="0" fontId="0" fillId="2" borderId="0" xfId="0" applyFill="1" applyAlignment="1">
      <alignment horizontal="center" wrapText="1"/>
    </xf>
    <xf numFmtId="0" fontId="0" fillId="0" borderId="0" xfId="0" applyFill="1" applyAlignment="1"/>
    <xf numFmtId="1" fontId="0" fillId="0" borderId="0" xfId="1" applyNumberFormat="1" applyFont="1" applyAlignment="1">
      <alignment horizontal="right" vertical="center" wrapText="1"/>
    </xf>
    <xf numFmtId="0" fontId="0" fillId="11" borderId="0" xfId="0" applyFill="1" applyAlignment="1">
      <alignment horizontal="center" vertical="center" wrapText="1"/>
    </xf>
    <xf numFmtId="0" fontId="0" fillId="12" borderId="0" xfId="0" applyFill="1" applyAlignment="1">
      <alignment horizontal="center" vertical="center" wrapText="1"/>
    </xf>
    <xf numFmtId="0" fontId="0" fillId="2" borderId="0" xfId="0" applyFill="1" applyAlignment="1"/>
    <xf numFmtId="0" fontId="6" fillId="2" borderId="0" xfId="0" applyFont="1" applyFill="1" applyAlignment="1"/>
    <xf numFmtId="14" fontId="0" fillId="0" borderId="0" xfId="0" applyNumberFormat="1"/>
    <xf numFmtId="0" fontId="7" fillId="0" borderId="0" xfId="3"/>
    <xf numFmtId="0" fontId="7" fillId="4" borderId="0" xfId="3" applyFill="1"/>
    <xf numFmtId="164" fontId="0" fillId="4" borderId="0" xfId="4" applyNumberFormat="1" applyFont="1" applyFill="1"/>
    <xf numFmtId="164" fontId="0" fillId="0" borderId="0" xfId="4" applyNumberFormat="1" applyFont="1"/>
    <xf numFmtId="164" fontId="0" fillId="14" borderId="0" xfId="4" applyNumberFormat="1" applyFont="1" applyFill="1"/>
    <xf numFmtId="43" fontId="7" fillId="0" borderId="0" xfId="3" applyNumberFormat="1"/>
    <xf numFmtId="164" fontId="0" fillId="0" borderId="0" xfId="4" applyNumberFormat="1" applyFont="1" applyFill="1"/>
    <xf numFmtId="0" fontId="6" fillId="3" borderId="0" xfId="0" applyFont="1" applyFill="1" applyAlignment="1">
      <alignment horizontal="center" vertical="center" wrapText="1"/>
    </xf>
    <xf numFmtId="0" fontId="0" fillId="3" borderId="0" xfId="0" applyFill="1" applyAlignment="1">
      <alignment horizontal="center" vertical="center" wrapText="1"/>
    </xf>
    <xf numFmtId="43" fontId="0" fillId="0" borderId="0" xfId="0" applyNumberFormat="1"/>
    <xf numFmtId="0" fontId="0" fillId="0" borderId="4" xfId="0" applyBorder="1"/>
    <xf numFmtId="0" fontId="0" fillId="0" borderId="5" xfId="0" applyBorder="1"/>
    <xf numFmtId="0" fontId="4" fillId="0" borderId="4" xfId="0" applyFont="1" applyBorder="1" applyAlignment="1">
      <alignment vertical="center" wrapText="1"/>
    </xf>
    <xf numFmtId="0" fontId="4" fillId="0" borderId="6" xfId="0" applyFont="1" applyBorder="1" applyAlignment="1">
      <alignment vertical="center" wrapText="1"/>
    </xf>
    <xf numFmtId="0" fontId="0" fillId="0" borderId="8" xfId="0" applyBorder="1"/>
    <xf numFmtId="3" fontId="0" fillId="0" borderId="5" xfId="0" applyNumberFormat="1" applyBorder="1"/>
    <xf numFmtId="0" fontId="0" fillId="0" borderId="6" xfId="0" applyBorder="1"/>
    <xf numFmtId="3" fontId="0" fillId="0" borderId="8" xfId="0" applyNumberFormat="1" applyBorder="1"/>
    <xf numFmtId="0" fontId="0" fillId="17" borderId="0" xfId="0" applyFill="1" applyAlignment="1">
      <alignment horizontal="center" vertical="center" wrapText="1"/>
    </xf>
    <xf numFmtId="0" fontId="0" fillId="6" borderId="0" xfId="0" applyFill="1"/>
    <xf numFmtId="6" fontId="0" fillId="0" borderId="0" xfId="0" applyNumberFormat="1"/>
    <xf numFmtId="0" fontId="0" fillId="0" borderId="7" xfId="0" applyBorder="1"/>
    <xf numFmtId="0" fontId="0" fillId="0" borderId="2" xfId="0" applyBorder="1"/>
    <xf numFmtId="0" fontId="0" fillId="0" borderId="3" xfId="0" applyBorder="1"/>
    <xf numFmtId="0" fontId="6" fillId="18" borderId="0" xfId="0" applyFont="1" applyFill="1"/>
    <xf numFmtId="165" fontId="0" fillId="0" borderId="0" xfId="0" applyNumberFormat="1"/>
    <xf numFmtId="166" fontId="0" fillId="0" borderId="0" xfId="0" applyNumberFormat="1"/>
    <xf numFmtId="43" fontId="0" fillId="0" borderId="0" xfId="1" applyFont="1"/>
    <xf numFmtId="167" fontId="0" fillId="0" borderId="0" xfId="5" applyNumberFormat="1" applyFont="1"/>
    <xf numFmtId="0" fontId="0" fillId="7" borderId="1" xfId="0" applyFill="1" applyBorder="1"/>
    <xf numFmtId="0" fontId="0" fillId="0" borderId="2" xfId="0" applyBorder="1" applyAlignment="1">
      <alignment horizontal="center" vertical="center"/>
    </xf>
    <xf numFmtId="0" fontId="0" fillId="0" borderId="3" xfId="0" applyBorder="1" applyAlignment="1">
      <alignment horizontal="center" vertical="center"/>
    </xf>
    <xf numFmtId="0" fontId="0" fillId="7" borderId="1" xfId="0" applyFill="1" applyBorder="1" applyAlignment="1"/>
    <xf numFmtId="0" fontId="0" fillId="17" borderId="0" xfId="0" applyFill="1"/>
    <xf numFmtId="4" fontId="0" fillId="17" borderId="0" xfId="0" applyNumberFormat="1" applyFill="1" applyAlignment="1">
      <alignment horizontal="right"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164" fontId="0" fillId="0" borderId="4" xfId="1" applyNumberFormat="1" applyFont="1" applyBorder="1" applyAlignment="1">
      <alignment horizontal="right" vertical="center" wrapText="1"/>
    </xf>
    <xf numFmtId="164" fontId="0" fillId="0" borderId="0" xfId="1" applyNumberFormat="1" applyFont="1" applyBorder="1" applyAlignment="1">
      <alignment horizontal="right" vertical="center" wrapText="1"/>
    </xf>
    <xf numFmtId="43" fontId="0" fillId="0" borderId="0" xfId="1" applyNumberFormat="1" applyFont="1" applyBorder="1" applyAlignment="1">
      <alignment horizontal="right" vertical="center" wrapText="1"/>
    </xf>
    <xf numFmtId="43" fontId="0" fillId="0" borderId="5" xfId="1" applyNumberFormat="1" applyFont="1" applyBorder="1" applyAlignment="1">
      <alignment horizontal="right" vertical="center" wrapText="1"/>
    </xf>
    <xf numFmtId="164" fontId="0" fillId="0" borderId="6" xfId="1" applyNumberFormat="1" applyFont="1" applyBorder="1" applyAlignment="1">
      <alignment horizontal="right" vertical="center" wrapText="1"/>
    </xf>
    <xf numFmtId="164" fontId="0" fillId="0" borderId="7" xfId="1" applyNumberFormat="1" applyFont="1" applyBorder="1" applyAlignment="1">
      <alignment horizontal="right" vertical="center" wrapText="1"/>
    </xf>
    <xf numFmtId="43" fontId="0" fillId="0" borderId="7" xfId="1" applyNumberFormat="1" applyFont="1" applyBorder="1" applyAlignment="1">
      <alignment horizontal="right" vertical="center" wrapText="1"/>
    </xf>
    <xf numFmtId="43" fontId="0" fillId="0" borderId="8" xfId="1" applyNumberFormat="1" applyFont="1" applyBorder="1" applyAlignment="1">
      <alignment horizontal="right" vertical="center" wrapText="1"/>
    </xf>
    <xf numFmtId="0" fontId="0" fillId="0" borderId="0" xfId="0" applyFill="1" applyBorder="1" applyAlignment="1">
      <alignment horizontal="center" vertical="center" wrapText="1"/>
    </xf>
    <xf numFmtId="164" fontId="0" fillId="0" borderId="5" xfId="1" applyNumberFormat="1" applyFont="1" applyBorder="1" applyAlignment="1">
      <alignment horizontal="right" vertical="center" wrapText="1"/>
    </xf>
    <xf numFmtId="164" fontId="0" fillId="0" borderId="8" xfId="1" applyNumberFormat="1" applyFont="1" applyBorder="1" applyAlignment="1">
      <alignment horizontal="right" vertical="center" wrapText="1"/>
    </xf>
    <xf numFmtId="164" fontId="0" fillId="0" borderId="4" xfId="1" applyNumberFormat="1" applyFont="1" applyBorder="1"/>
    <xf numFmtId="164" fontId="0" fillId="0" borderId="5" xfId="1" applyNumberFormat="1" applyFont="1" applyBorder="1"/>
    <xf numFmtId="164" fontId="0" fillId="0" borderId="6" xfId="1" applyNumberFormat="1" applyFont="1" applyBorder="1"/>
    <xf numFmtId="164" fontId="0" fillId="0" borderId="8" xfId="1" applyNumberFormat="1" applyFont="1" applyBorder="1"/>
    <xf numFmtId="3" fontId="0" fillId="0" borderId="4" xfId="0" applyNumberFormat="1" applyBorder="1" applyAlignment="1">
      <alignment horizontal="right" vertical="center" wrapText="1"/>
    </xf>
    <xf numFmtId="3" fontId="0" fillId="0" borderId="6" xfId="0" applyNumberFormat="1" applyBorder="1" applyAlignment="1">
      <alignment horizontal="right" vertical="center" wrapText="1"/>
    </xf>
    <xf numFmtId="4" fontId="0" fillId="0" borderId="0" xfId="0" applyNumberFormat="1" applyBorder="1" applyAlignment="1">
      <alignment horizontal="right" vertical="center" wrapText="1"/>
    </xf>
    <xf numFmtId="4" fontId="0" fillId="0" borderId="7" xfId="0" applyNumberFormat="1" applyBorder="1" applyAlignment="1">
      <alignment horizontal="right" vertical="center" wrapText="1"/>
    </xf>
    <xf numFmtId="164" fontId="0" fillId="0" borderId="0" xfId="1" applyNumberFormat="1" applyFont="1" applyBorder="1"/>
    <xf numFmtId="164" fontId="0" fillId="0" borderId="7" xfId="1" applyNumberFormat="1" applyFont="1" applyBorder="1"/>
    <xf numFmtId="3" fontId="0" fillId="0" borderId="0" xfId="0" applyNumberFormat="1" applyBorder="1" applyAlignment="1">
      <alignment horizontal="right" vertical="center" wrapText="1"/>
    </xf>
    <xf numFmtId="0" fontId="0" fillId="15" borderId="1" xfId="0" applyFill="1" applyBorder="1" applyAlignment="1">
      <alignment horizontal="center" vertical="center" wrapText="1"/>
    </xf>
    <xf numFmtId="1" fontId="0" fillId="0" borderId="4" xfId="0" applyNumberFormat="1" applyBorder="1" applyAlignment="1">
      <alignment horizontal="right" vertical="center" wrapText="1"/>
    </xf>
    <xf numFmtId="1" fontId="0" fillId="0" borderId="0" xfId="0" applyNumberFormat="1" applyBorder="1" applyAlignment="1">
      <alignment horizontal="right" vertical="center" wrapText="1"/>
    </xf>
    <xf numFmtId="1" fontId="0" fillId="0" borderId="6" xfId="0" applyNumberFormat="1" applyBorder="1" applyAlignment="1">
      <alignment horizontal="right" vertical="center" wrapText="1"/>
    </xf>
    <xf numFmtId="1" fontId="0" fillId="0" borderId="7" xfId="0" applyNumberFormat="1" applyBorder="1" applyAlignment="1">
      <alignment horizontal="right" vertical="center" wrapText="1"/>
    </xf>
    <xf numFmtId="0" fontId="0" fillId="10" borderId="3" xfId="0" applyFill="1" applyBorder="1" applyAlignment="1">
      <alignment horizontal="center" vertical="center" wrapText="1"/>
    </xf>
    <xf numFmtId="0" fontId="0" fillId="0" borderId="5" xfId="0" applyFill="1" applyBorder="1" applyAlignment="1">
      <alignment horizontal="center" vertical="center" wrapText="1"/>
    </xf>
    <xf numFmtId="3" fontId="0" fillId="0" borderId="7" xfId="0" applyNumberFormat="1" applyBorder="1" applyAlignment="1">
      <alignment horizontal="right" vertical="center" wrapText="1"/>
    </xf>
    <xf numFmtId="0" fontId="0" fillId="0" borderId="1" xfId="0" applyFill="1" applyBorder="1" applyAlignment="1">
      <alignment horizontal="center" vertical="center" wrapText="1"/>
    </xf>
    <xf numFmtId="44" fontId="0" fillId="0" borderId="5" xfId="6" applyFont="1" applyBorder="1" applyAlignment="1">
      <alignment horizontal="right" vertical="center" wrapText="1"/>
    </xf>
    <xf numFmtId="168" fontId="0" fillId="0" borderId="4" xfId="6" applyNumberFormat="1" applyFont="1" applyBorder="1" applyAlignment="1">
      <alignment horizontal="right" vertical="center" wrapText="1"/>
    </xf>
    <xf numFmtId="168" fontId="0" fillId="0" borderId="6" xfId="6" applyNumberFormat="1" applyFont="1" applyBorder="1" applyAlignment="1">
      <alignment horizontal="right" vertical="center" wrapText="1"/>
    </xf>
    <xf numFmtId="44" fontId="0" fillId="0" borderId="8" xfId="6" applyFont="1" applyBorder="1" applyAlignment="1">
      <alignment horizontal="right" vertical="center" wrapText="1"/>
    </xf>
    <xf numFmtId="168" fontId="0" fillId="0" borderId="0" xfId="6" applyNumberFormat="1" applyFont="1" applyBorder="1" applyAlignment="1">
      <alignment horizontal="right" vertical="center" wrapText="1"/>
    </xf>
    <xf numFmtId="168" fontId="0" fillId="0" borderId="7" xfId="6" applyNumberFormat="1" applyFont="1" applyBorder="1" applyAlignment="1">
      <alignment horizontal="right" vertical="center" wrapText="1"/>
    </xf>
    <xf numFmtId="4" fontId="0" fillId="0" borderId="0" xfId="0" applyNumberFormat="1" applyBorder="1"/>
    <xf numFmtId="4" fontId="0" fillId="0" borderId="7" xfId="0" applyNumberFormat="1" applyBorder="1"/>
    <xf numFmtId="43" fontId="0" fillId="0" borderId="4" xfId="1" applyNumberFormat="1" applyFont="1" applyBorder="1" applyAlignment="1">
      <alignment horizontal="right" vertical="center" wrapText="1"/>
    </xf>
    <xf numFmtId="43" fontId="0" fillId="0" borderId="6" xfId="1" applyNumberFormat="1" applyFont="1" applyBorder="1" applyAlignment="1">
      <alignment horizontal="right" vertical="center" wrapText="1"/>
    </xf>
    <xf numFmtId="0" fontId="0" fillId="19" borderId="3" xfId="0" applyFill="1" applyBorder="1" applyAlignment="1">
      <alignment horizontal="center" vertical="center" wrapText="1"/>
    </xf>
    <xf numFmtId="0" fontId="0" fillId="0" borderId="3" xfId="0" applyBorder="1" applyAlignment="1">
      <alignment horizontal="center" vertical="center" wrapText="1"/>
    </xf>
    <xf numFmtId="164" fontId="0" fillId="0" borderId="0" xfId="1" applyNumberFormat="1" applyFont="1" applyFill="1" applyBorder="1" applyAlignment="1">
      <alignment horizontal="right" vertical="center" wrapText="1"/>
    </xf>
    <xf numFmtId="164" fontId="0" fillId="0" borderId="7" xfId="1" applyNumberFormat="1" applyFont="1" applyFill="1" applyBorder="1" applyAlignment="1">
      <alignment horizontal="right" vertical="center" wrapText="1"/>
    </xf>
    <xf numFmtId="0" fontId="0" fillId="9" borderId="3" xfId="0" applyFill="1" applyBorder="1" applyAlignment="1">
      <alignment horizontal="center" vertical="center" wrapText="1"/>
    </xf>
    <xf numFmtId="9" fontId="0" fillId="0" borderId="4" xfId="5" applyFont="1" applyBorder="1"/>
    <xf numFmtId="9" fontId="0" fillId="0" borderId="0" xfId="5" applyFont="1" applyBorder="1" applyAlignment="1">
      <alignment horizontal="right" vertical="center" wrapText="1"/>
    </xf>
    <xf numFmtId="9" fontId="0" fillId="0" borderId="6" xfId="5" applyFont="1" applyBorder="1"/>
    <xf numFmtId="9" fontId="0" fillId="0" borderId="7" xfId="5" applyFont="1" applyBorder="1" applyAlignment="1">
      <alignment horizontal="right" vertical="center" wrapText="1"/>
    </xf>
    <xf numFmtId="4" fontId="0" fillId="0" borderId="0" xfId="0" applyNumberFormat="1"/>
    <xf numFmtId="0" fontId="7" fillId="0" borderId="0" xfId="3" applyFill="1"/>
    <xf numFmtId="170" fontId="0" fillId="0" borderId="0" xfId="0" applyNumberFormat="1"/>
    <xf numFmtId="170" fontId="0" fillId="0" borderId="0" xfId="6" applyNumberFormat="1" applyFont="1"/>
    <xf numFmtId="168" fontId="0" fillId="0" borderId="5" xfId="6" applyNumberFormat="1" applyFont="1" applyBorder="1" applyAlignment="1">
      <alignment horizontal="right" vertical="center" wrapText="1"/>
    </xf>
    <xf numFmtId="170" fontId="0" fillId="0" borderId="5" xfId="0" applyNumberFormat="1" applyBorder="1" applyAlignment="1">
      <alignment horizontal="right" vertical="center" wrapText="1"/>
    </xf>
    <xf numFmtId="170" fontId="0" fillId="0" borderId="8" xfId="0" applyNumberFormat="1" applyBorder="1" applyAlignment="1">
      <alignment horizontal="right" vertical="center" wrapText="1"/>
    </xf>
    <xf numFmtId="0" fontId="0" fillId="15" borderId="3" xfId="0" applyFill="1" applyBorder="1" applyAlignment="1">
      <alignment horizontal="center" vertical="center" wrapText="1"/>
    </xf>
    <xf numFmtId="44" fontId="0" fillId="0" borderId="0" xfId="6" applyNumberFormat="1" applyFont="1" applyBorder="1" applyAlignment="1">
      <alignment horizontal="right" vertical="center" wrapText="1"/>
    </xf>
    <xf numFmtId="44" fontId="0" fillId="0" borderId="7" xfId="6" applyNumberFormat="1" applyFont="1" applyBorder="1" applyAlignment="1">
      <alignment horizontal="right" vertical="center" wrapText="1"/>
    </xf>
    <xf numFmtId="44" fontId="0" fillId="0" borderId="5" xfId="6" applyNumberFormat="1" applyFont="1" applyBorder="1" applyAlignment="1">
      <alignment horizontal="right" vertical="center" wrapText="1"/>
    </xf>
    <xf numFmtId="44" fontId="0" fillId="0" borderId="8" xfId="6" applyNumberFormat="1" applyFont="1" applyBorder="1" applyAlignment="1">
      <alignment horizontal="right" vertical="center" wrapText="1"/>
    </xf>
    <xf numFmtId="169" fontId="0" fillId="0" borderId="0" xfId="1" applyNumberFormat="1" applyFont="1" applyBorder="1" applyAlignment="1">
      <alignment horizontal="right" vertical="center" wrapText="1"/>
    </xf>
    <xf numFmtId="169" fontId="0" fillId="0" borderId="7" xfId="1" applyNumberFormat="1" applyFont="1" applyBorder="1" applyAlignment="1">
      <alignment horizontal="right" vertical="center" wrapText="1"/>
    </xf>
    <xf numFmtId="169" fontId="0" fillId="0" borderId="0" xfId="6" applyNumberFormat="1" applyFont="1" applyBorder="1" applyAlignment="1">
      <alignment horizontal="right" vertical="center" wrapText="1"/>
    </xf>
    <xf numFmtId="169" fontId="0" fillId="0" borderId="7" xfId="6" applyNumberFormat="1" applyFont="1" applyBorder="1" applyAlignment="1">
      <alignment horizontal="right" vertical="center" wrapText="1"/>
    </xf>
    <xf numFmtId="0" fontId="0" fillId="15" borderId="2" xfId="0" applyFill="1" applyBorder="1" applyAlignment="1">
      <alignment horizontal="center" vertical="center" wrapText="1"/>
    </xf>
    <xf numFmtId="0" fontId="0" fillId="13" borderId="2" xfId="0" applyFill="1" applyBorder="1" applyAlignment="1">
      <alignment horizontal="center" vertical="center" wrapText="1"/>
    </xf>
    <xf numFmtId="0" fontId="0" fillId="13" borderId="1" xfId="0" applyFill="1" applyBorder="1" applyAlignment="1">
      <alignment horizontal="center" vertical="center" wrapText="1"/>
    </xf>
    <xf numFmtId="0" fontId="0" fillId="13" borderId="3" xfId="0" applyFill="1" applyBorder="1" applyAlignment="1">
      <alignment horizontal="center" vertical="center" wrapText="1"/>
    </xf>
    <xf numFmtId="2" fontId="0" fillId="0" borderId="0" xfId="0" applyNumberFormat="1"/>
    <xf numFmtId="168" fontId="0" fillId="0" borderId="0" xfId="6" applyNumberFormat="1" applyFont="1"/>
    <xf numFmtId="171" fontId="0" fillId="0" borderId="0" xfId="0" applyNumberFormat="1"/>
    <xf numFmtId="169" fontId="0" fillId="0" borderId="0" xfId="0" applyNumberFormat="1"/>
    <xf numFmtId="172" fontId="0" fillId="0" borderId="0" xfId="0" applyNumberFormat="1" applyBorder="1" applyAlignment="1">
      <alignment horizontal="right" vertical="center" wrapText="1"/>
    </xf>
    <xf numFmtId="9" fontId="0" fillId="0" borderId="0" xfId="5" applyFont="1" applyBorder="1"/>
    <xf numFmtId="9" fontId="0" fillId="0" borderId="7" xfId="5" applyFont="1" applyBorder="1"/>
    <xf numFmtId="0" fontId="0" fillId="15" borderId="2" xfId="0" applyFill="1" applyBorder="1" applyAlignment="1">
      <alignment horizontal="center" vertical="center" wrapText="1"/>
    </xf>
    <xf numFmtId="1" fontId="0" fillId="0" borderId="5" xfId="1" applyNumberFormat="1" applyFont="1" applyBorder="1" applyAlignment="1">
      <alignment horizontal="right" vertical="center" wrapText="1"/>
    </xf>
    <xf numFmtId="173" fontId="0" fillId="0" borderId="0" xfId="5" applyNumberFormat="1" applyFont="1" applyBorder="1" applyAlignment="1">
      <alignment horizontal="right" vertical="center" wrapText="1"/>
    </xf>
    <xf numFmtId="9" fontId="0" fillId="0" borderId="4" xfId="5" applyNumberFormat="1" applyFont="1" applyBorder="1"/>
    <xf numFmtId="0" fontId="0" fillId="9" borderId="13" xfId="0" applyFill="1" applyBorder="1" applyAlignment="1">
      <alignment horizontal="center" vertical="center" wrapText="1"/>
    </xf>
    <xf numFmtId="164" fontId="5" fillId="8" borderId="13" xfId="2" applyNumberFormat="1" applyBorder="1" applyAlignment="1">
      <alignment horizontal="left" vertical="center" wrapText="1"/>
    </xf>
    <xf numFmtId="0" fontId="0" fillId="0" borderId="14" xfId="0" applyBorder="1" applyAlignment="1"/>
    <xf numFmtId="0" fontId="11" fillId="0" borderId="14" xfId="0" applyFont="1" applyBorder="1" applyAlignment="1">
      <alignment vertical="center"/>
    </xf>
    <xf numFmtId="0" fontId="10" fillId="0" borderId="14" xfId="0" applyFont="1" applyBorder="1" applyAlignment="1">
      <alignment vertical="center"/>
    </xf>
    <xf numFmtId="0" fontId="0" fillId="0" borderId="14" xfId="0" applyBorder="1"/>
    <xf numFmtId="0" fontId="0" fillId="0" borderId="12" xfId="0" applyBorder="1"/>
    <xf numFmtId="0" fontId="12" fillId="0" borderId="6" xfId="0" applyFont="1" applyBorder="1" applyAlignment="1">
      <alignment vertical="center" wrapText="1"/>
    </xf>
    <xf numFmtId="0" fontId="0" fillId="0" borderId="3" xfId="0" applyBorder="1" applyAlignment="1">
      <alignment horizontal="center" wrapText="1"/>
    </xf>
    <xf numFmtId="0" fontId="0" fillId="0" borderId="0" xfId="0" applyAlignment="1">
      <alignment horizontal="left" wrapText="1"/>
    </xf>
    <xf numFmtId="0" fontId="0" fillId="0" borderId="1" xfId="0" applyBorder="1" applyAlignment="1">
      <alignment horizontal="center" vertical="center"/>
    </xf>
    <xf numFmtId="0" fontId="0" fillId="0" borderId="11" xfId="0" applyFill="1" applyBorder="1" applyAlignment="1">
      <alignment horizontal="center" vertical="center" wrapText="1"/>
    </xf>
    <xf numFmtId="0" fontId="0" fillId="0" borderId="11" xfId="0" applyFill="1" applyBorder="1" applyAlignment="1">
      <alignment vertical="center" wrapText="1"/>
    </xf>
    <xf numFmtId="0" fontId="0" fillId="0" borderId="1" xfId="0" applyBorder="1" applyAlignment="1">
      <alignment horizontal="center" wrapText="1"/>
    </xf>
    <xf numFmtId="0" fontId="0" fillId="18" borderId="4" xfId="0" applyFill="1" applyBorder="1" applyAlignment="1">
      <alignment horizontal="center" wrapText="1"/>
    </xf>
    <xf numFmtId="0" fontId="0" fillId="0" borderId="5" xfId="0" applyBorder="1" applyAlignment="1">
      <alignment horizontal="left" wrapText="1"/>
    </xf>
    <xf numFmtId="0" fontId="0" fillId="19" borderId="4" xfId="0" applyFill="1" applyBorder="1" applyAlignment="1">
      <alignment horizontal="center" wrapText="1"/>
    </xf>
    <xf numFmtId="0" fontId="0" fillId="21" borderId="4" xfId="0" applyFill="1" applyBorder="1" applyAlignment="1">
      <alignment horizontal="left" wrapText="1"/>
    </xf>
    <xf numFmtId="0" fontId="0" fillId="4" borderId="4" xfId="0" applyFill="1" applyBorder="1" applyAlignment="1">
      <alignment horizontal="left" wrapText="1"/>
    </xf>
    <xf numFmtId="0" fontId="9" fillId="22" borderId="4" xfId="0" applyFont="1" applyFill="1" applyBorder="1"/>
    <xf numFmtId="0" fontId="0" fillId="23" borderId="6" xfId="0" applyFill="1" applyBorder="1"/>
    <xf numFmtId="0" fontId="0" fillId="0" borderId="8" xfId="0" applyBorder="1" applyAlignment="1">
      <alignment horizontal="left" wrapText="1"/>
    </xf>
    <xf numFmtId="0" fontId="0" fillId="0" borderId="0" xfId="0" quotePrefix="1"/>
    <xf numFmtId="0" fontId="0" fillId="0" borderId="5" xfId="0" applyFill="1" applyBorder="1"/>
    <xf numFmtId="0" fontId="4" fillId="0" borderId="0" xfId="0" applyFont="1" applyAlignment="1">
      <alignment vertical="center" wrapText="1"/>
    </xf>
    <xf numFmtId="164" fontId="0" fillId="0" borderId="0" xfId="1" applyNumberFormat="1" applyFont="1"/>
    <xf numFmtId="0" fontId="0" fillId="23" borderId="0" xfId="0" applyFill="1" applyAlignment="1">
      <alignment vertical="center"/>
    </xf>
    <xf numFmtId="0" fontId="0" fillId="0" borderId="0" xfId="0" applyAlignment="1">
      <alignment vertical="center"/>
    </xf>
    <xf numFmtId="3" fontId="0" fillId="0" borderId="0" xfId="0" applyNumberFormat="1" applyAlignment="1">
      <alignment horizontal="center" vertical="center" wrapText="1"/>
    </xf>
    <xf numFmtId="164" fontId="0" fillId="0" borderId="0" xfId="0" applyNumberFormat="1" applyAlignment="1">
      <alignment horizontal="center" vertical="center" wrapText="1"/>
    </xf>
    <xf numFmtId="164" fontId="0" fillId="0" borderId="0" xfId="0" applyNumberFormat="1" applyAlignment="1">
      <alignment horizontal="center" vertical="center"/>
    </xf>
    <xf numFmtId="0" fontId="0" fillId="6" borderId="0" xfId="0" applyFill="1" applyAlignment="1">
      <alignment horizontal="center" vertical="center" wrapText="1"/>
    </xf>
    <xf numFmtId="0" fontId="0" fillId="26" borderId="0" xfId="0" applyFill="1" applyAlignment="1">
      <alignment horizontal="center" vertical="center" wrapText="1"/>
    </xf>
    <xf numFmtId="0" fontId="0" fillId="13" borderId="0" xfId="0" applyFill="1" applyAlignment="1">
      <alignment horizontal="center" vertical="center" wrapText="1"/>
    </xf>
    <xf numFmtId="0" fontId="0" fillId="27" borderId="0" xfId="0" applyFill="1" applyAlignment="1">
      <alignment horizontal="center" vertical="center" wrapText="1"/>
    </xf>
    <xf numFmtId="0" fontId="0" fillId="28" borderId="0" xfId="0" applyFill="1" applyAlignment="1">
      <alignment horizontal="center" vertical="center" wrapText="1"/>
    </xf>
    <xf numFmtId="0" fontId="0" fillId="0" borderId="0" xfId="0" applyAlignment="1">
      <alignment wrapText="1"/>
    </xf>
    <xf numFmtId="174" fontId="0" fillId="0" borderId="0" xfId="1" applyNumberFormat="1" applyFont="1"/>
    <xf numFmtId="0" fontId="15" fillId="0" borderId="0" xfId="0" applyFont="1" applyFill="1" applyBorder="1" applyAlignment="1">
      <alignment vertical="center" textRotation="90"/>
    </xf>
    <xf numFmtId="0" fontId="4" fillId="0" borderId="0" xfId="0" applyFont="1" applyFill="1" applyBorder="1" applyAlignment="1">
      <alignment vertical="center" wrapText="1"/>
    </xf>
    <xf numFmtId="9" fontId="0" fillId="0" borderId="0" xfId="5" applyFont="1" applyFill="1" applyBorder="1"/>
    <xf numFmtId="164" fontId="0" fillId="0" borderId="0" xfId="1" applyNumberFormat="1" applyFont="1" applyFill="1" applyBorder="1"/>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xf>
    <xf numFmtId="3" fontId="0" fillId="0" borderId="0" xfId="0" applyNumberFormat="1" applyBorder="1"/>
    <xf numFmtId="0" fontId="19" fillId="0" borderId="0" xfId="0" applyFont="1" applyBorder="1"/>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8" fillId="0" borderId="4" xfId="0" applyFont="1" applyBorder="1"/>
    <xf numFmtId="0" fontId="19" fillId="0" borderId="5" xfId="0" applyFont="1" applyBorder="1"/>
    <xf numFmtId="0" fontId="0" fillId="0" borderId="6" xfId="0" applyFill="1" applyBorder="1" applyAlignment="1">
      <alignment vertical="center" wrapText="1"/>
    </xf>
    <xf numFmtId="0" fontId="0" fillId="0" borderId="8" xfId="0" applyFill="1" applyBorder="1" applyAlignment="1">
      <alignment vertical="center" wrapText="1"/>
    </xf>
    <xf numFmtId="0" fontId="17" fillId="0" borderId="15"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2" xfId="0" applyFont="1" applyBorder="1" applyAlignment="1">
      <alignment horizontal="center" vertical="center" wrapText="1"/>
    </xf>
    <xf numFmtId="9" fontId="0" fillId="0" borderId="0" xfId="5" applyFont="1"/>
    <xf numFmtId="0" fontId="20" fillId="0" borderId="0" xfId="0" applyFont="1"/>
    <xf numFmtId="0" fontId="6" fillId="0" borderId="0" xfId="0" applyFont="1"/>
    <xf numFmtId="9" fontId="0" fillId="0" borderId="0" xfId="0" applyNumberFormat="1"/>
    <xf numFmtId="169" fontId="0" fillId="0" borderId="0" xfId="6" applyNumberFormat="1" applyFont="1"/>
    <xf numFmtId="1" fontId="0" fillId="0" borderId="0" xfId="5" applyNumberFormat="1" applyFont="1"/>
    <xf numFmtId="170" fontId="0" fillId="0" borderId="0" xfId="5" applyNumberFormat="1" applyFont="1"/>
    <xf numFmtId="0" fontId="0" fillId="0" borderId="1" xfId="0" applyBorder="1" applyAlignment="1">
      <alignment horizontal="center" vertical="center"/>
    </xf>
    <xf numFmtId="0" fontId="0" fillId="0" borderId="3" xfId="0" applyBorder="1" applyAlignment="1">
      <alignment horizontal="center" vertical="center"/>
    </xf>
    <xf numFmtId="0" fontId="16" fillId="29" borderId="9"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0" fillId="0" borderId="0" xfId="0" applyAlignment="1">
      <alignment horizontal="center" vertical="center"/>
    </xf>
    <xf numFmtId="0" fontId="0" fillId="30" borderId="0" xfId="0" applyFill="1" applyAlignment="1">
      <alignment vertical="center" wrapText="1"/>
    </xf>
    <xf numFmtId="0" fontId="18" fillId="0" borderId="0" xfId="0" applyFont="1" applyBorder="1"/>
    <xf numFmtId="0" fontId="0" fillId="0" borderId="5" xfId="0" applyBorder="1" applyAlignment="1">
      <alignment horizontal="center"/>
    </xf>
    <xf numFmtId="0" fontId="0" fillId="0" borderId="5" xfId="0" applyFill="1" applyBorder="1" applyAlignment="1">
      <alignment horizontal="center"/>
    </xf>
    <xf numFmtId="0" fontId="0" fillId="0" borderId="8" xfId="0" applyFill="1" applyBorder="1" applyAlignment="1">
      <alignment horizontal="center"/>
    </xf>
    <xf numFmtId="0" fontId="0" fillId="23" borderId="0" xfId="0" applyFill="1"/>
    <xf numFmtId="0" fontId="0" fillId="0" borderId="6" xfId="0" applyBorder="1" applyAlignment="1">
      <alignment wrapText="1"/>
    </xf>
    <xf numFmtId="0" fontId="0" fillId="0" borderId="7" xfId="0" applyBorder="1" applyAlignment="1">
      <alignment wrapText="1"/>
    </xf>
    <xf numFmtId="0" fontId="0" fillId="0" borderId="8" xfId="0" applyBorder="1" applyAlignment="1">
      <alignment wrapText="1"/>
    </xf>
    <xf numFmtId="0" fontId="0" fillId="31" borderId="4" xfId="0" applyFill="1" applyBorder="1" applyAlignment="1">
      <alignment horizontal="center" wrapText="1"/>
    </xf>
    <xf numFmtId="0" fontId="0" fillId="32" borderId="4" xfId="0" applyFill="1" applyBorder="1" applyAlignment="1">
      <alignment horizontal="center" wrapText="1"/>
    </xf>
    <xf numFmtId="0" fontId="21" fillId="0" borderId="12" xfId="0" applyFont="1" applyBorder="1" applyAlignment="1">
      <alignment horizontal="center" vertical="center"/>
    </xf>
    <xf numFmtId="0" fontId="21" fillId="0" borderId="8" xfId="0" applyFont="1" applyBorder="1" applyAlignment="1">
      <alignment horizontal="center" vertical="center" wrapText="1"/>
    </xf>
    <xf numFmtId="0" fontId="17" fillId="0" borderId="12" xfId="0" applyFont="1" applyBorder="1" applyAlignment="1">
      <alignment horizontal="center" vertical="center"/>
    </xf>
    <xf numFmtId="0" fontId="17" fillId="0" borderId="8" xfId="0" applyFont="1" applyBorder="1" applyAlignment="1">
      <alignment horizontal="center" vertical="center"/>
    </xf>
    <xf numFmtId="0" fontId="17" fillId="0" borderId="14" xfId="0" applyFont="1" applyBorder="1" applyAlignment="1">
      <alignment horizontal="center" vertical="center"/>
    </xf>
    <xf numFmtId="0" fontId="17" fillId="0" borderId="5" xfId="0" applyFont="1" applyBorder="1" applyAlignment="1">
      <alignment horizontal="center" vertical="center"/>
    </xf>
    <xf numFmtId="0" fontId="17" fillId="0" borderId="11" xfId="0" applyFont="1" applyBorder="1" applyAlignment="1">
      <alignment horizontal="center" vertical="center"/>
    </xf>
    <xf numFmtId="164" fontId="17" fillId="0" borderId="8" xfId="1" applyNumberFormat="1" applyFont="1" applyBorder="1" applyAlignment="1">
      <alignment horizontal="center" vertical="center" wrapText="1"/>
    </xf>
    <xf numFmtId="9" fontId="0" fillId="0" borderId="5" xfId="5" applyNumberFormat="1" applyFont="1" applyBorder="1"/>
    <xf numFmtId="9" fontId="0" fillId="0" borderId="8" xfId="5" applyNumberFormat="1" applyFont="1" applyBorder="1"/>
    <xf numFmtId="0" fontId="17" fillId="0" borderId="0" xfId="0" applyFont="1" applyBorder="1" applyAlignment="1">
      <alignment horizontal="center" vertical="center"/>
    </xf>
    <xf numFmtId="0" fontId="18" fillId="0" borderId="5" xfId="0" applyFont="1" applyBorder="1"/>
    <xf numFmtId="0" fontId="18" fillId="0" borderId="6" xfId="0" applyFont="1" applyBorder="1"/>
    <xf numFmtId="0" fontId="18" fillId="0" borderId="7" xfId="0" applyFont="1" applyBorder="1"/>
    <xf numFmtId="0" fontId="18" fillId="0" borderId="8" xfId="0" applyFont="1" applyBorder="1"/>
    <xf numFmtId="0" fontId="0" fillId="0" borderId="9"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0" xfId="0" applyAlignment="1">
      <alignment horizontal="left" wrapText="1"/>
    </xf>
    <xf numFmtId="0" fontId="13" fillId="15" borderId="5" xfId="0" applyFont="1" applyFill="1" applyBorder="1" applyAlignment="1">
      <alignment horizontal="center" vertical="center" textRotation="90" wrapText="1"/>
    </xf>
    <xf numFmtId="0" fontId="13" fillId="15" borderId="0" xfId="0" applyFont="1" applyFill="1" applyBorder="1" applyAlignment="1">
      <alignment horizontal="center" vertical="center" textRotation="90" wrapText="1"/>
    </xf>
    <xf numFmtId="0" fontId="14" fillId="15" borderId="5" xfId="0" applyFont="1" applyFill="1" applyBorder="1" applyAlignment="1">
      <alignment horizontal="center" vertical="center" textRotation="90" wrapText="1"/>
    </xf>
    <xf numFmtId="0" fontId="15" fillId="15" borderId="5" xfId="0" applyFont="1" applyFill="1" applyBorder="1" applyAlignment="1">
      <alignment horizontal="center" vertical="center" textRotation="90"/>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wrapText="1"/>
    </xf>
    <xf numFmtId="0" fontId="0" fillId="0" borderId="3" xfId="0" applyBorder="1" applyAlignment="1">
      <alignment horizont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5" xfId="0"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13" fillId="15" borderId="5" xfId="0" applyFont="1" applyFill="1" applyBorder="1" applyAlignment="1">
      <alignment horizontal="center" vertical="center" textRotation="90"/>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6" fillId="29" borderId="4" xfId="0" applyFont="1" applyFill="1" applyBorder="1" applyAlignment="1">
      <alignment horizontal="center" vertical="center" wrapText="1"/>
    </xf>
    <xf numFmtId="0" fontId="16" fillId="29" borderId="0" xfId="0" applyFont="1" applyFill="1" applyBorder="1" applyAlignment="1">
      <alignment horizontal="center" vertical="center" wrapText="1"/>
    </xf>
    <xf numFmtId="0" fontId="16" fillId="29" borderId="9" xfId="0" applyFont="1" applyFill="1" applyBorder="1" applyAlignment="1">
      <alignment horizontal="center" vertical="center" wrapText="1"/>
    </xf>
    <xf numFmtId="0" fontId="16" fillId="29" borderId="15" xfId="0" applyFont="1" applyFill="1" applyBorder="1" applyAlignment="1">
      <alignment horizontal="center" vertical="center" wrapText="1"/>
    </xf>
    <xf numFmtId="0" fontId="0" fillId="20" borderId="1" xfId="0" applyFill="1" applyBorder="1" applyAlignment="1">
      <alignment horizontal="center"/>
    </xf>
    <xf numFmtId="0" fontId="0" fillId="20" borderId="2" xfId="0" applyFill="1" applyBorder="1" applyAlignment="1">
      <alignment horizontal="center"/>
    </xf>
    <xf numFmtId="0" fontId="0" fillId="20" borderId="3" xfId="0" applyFill="1" applyBorder="1" applyAlignment="1">
      <alignment horizont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0" fillId="0" borderId="0" xfId="0" applyAlignment="1">
      <alignment horizontal="center" vertical="center"/>
    </xf>
    <xf numFmtId="0" fontId="0" fillId="24" borderId="0" xfId="0" applyFill="1" applyAlignment="1">
      <alignment horizontal="center" vertical="center" wrapText="1"/>
    </xf>
    <xf numFmtId="0" fontId="0" fillId="25" borderId="0" xfId="0" applyFill="1" applyAlignment="1">
      <alignment horizontal="center" vertical="center"/>
    </xf>
    <xf numFmtId="0" fontId="0" fillId="25" borderId="1" xfId="0" applyFill="1" applyBorder="1" applyAlignment="1">
      <alignment horizontal="center"/>
    </xf>
    <xf numFmtId="0" fontId="0" fillId="25" borderId="3" xfId="0" applyFill="1" applyBorder="1" applyAlignment="1">
      <alignment horizontal="center"/>
    </xf>
    <xf numFmtId="0" fontId="0" fillId="7" borderId="1" xfId="0" applyFill="1" applyBorder="1" applyAlignment="1">
      <alignment horizontal="center"/>
    </xf>
    <xf numFmtId="0" fontId="0" fillId="7" borderId="2" xfId="0" applyFill="1" applyBorder="1" applyAlignment="1">
      <alignment horizontal="center"/>
    </xf>
    <xf numFmtId="0" fontId="0" fillId="7" borderId="3" xfId="0" applyFill="1" applyBorder="1" applyAlignment="1">
      <alignment horizontal="center"/>
    </xf>
    <xf numFmtId="0" fontId="0" fillId="0" borderId="0" xfId="0" applyAlignment="1">
      <alignment horizontal="center"/>
    </xf>
    <xf numFmtId="0" fontId="0" fillId="0" borderId="1"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Fill="1" applyBorder="1" applyAlignment="1">
      <alignment horizontal="left" vertical="center" wrapText="1"/>
    </xf>
    <xf numFmtId="0" fontId="0" fillId="0" borderId="5" xfId="0" applyFill="1" applyBorder="1" applyAlignment="1">
      <alignment horizontal="left" vertical="center" wrapText="1"/>
    </xf>
    <xf numFmtId="0" fontId="0" fillId="0" borderId="6" xfId="0" applyFill="1" applyBorder="1" applyAlignment="1">
      <alignment horizontal="left" vertical="center" wrapText="1"/>
    </xf>
    <xf numFmtId="0" fontId="0" fillId="0" borderId="8" xfId="0" applyFill="1" applyBorder="1" applyAlignment="1">
      <alignment horizontal="left" vertical="center" wrapText="1"/>
    </xf>
    <xf numFmtId="0" fontId="0" fillId="13" borderId="1" xfId="0" applyFill="1" applyBorder="1" applyAlignment="1">
      <alignment horizontal="center" vertical="center" wrapText="1"/>
    </xf>
    <xf numFmtId="0" fontId="0" fillId="13" borderId="2" xfId="0" applyFill="1" applyBorder="1" applyAlignment="1">
      <alignment horizontal="center" vertical="center" wrapText="1"/>
    </xf>
    <xf numFmtId="0" fontId="0" fillId="13" borderId="3" xfId="0" applyFill="1" applyBorder="1" applyAlignment="1">
      <alignment horizontal="center" vertical="center" wrapText="1"/>
    </xf>
    <xf numFmtId="0" fontId="0" fillId="15" borderId="2" xfId="0" applyFill="1" applyBorder="1" applyAlignment="1">
      <alignment horizontal="center" vertical="center" wrapText="1"/>
    </xf>
    <xf numFmtId="0" fontId="0" fillId="10" borderId="0" xfId="0" applyFill="1" applyAlignment="1">
      <alignment horizontal="center"/>
    </xf>
    <xf numFmtId="0" fontId="0" fillId="16" borderId="0" xfId="0" applyFill="1" applyAlignment="1">
      <alignment horizontal="center"/>
    </xf>
  </cellXfs>
  <cellStyles count="7">
    <cellStyle name="Bad" xfId="2" builtinId="27"/>
    <cellStyle name="Comma" xfId="1" builtinId="3"/>
    <cellStyle name="Comma 2" xfId="4" xr:uid="{E58989B7-975E-4746-9422-DA56577C06E4}"/>
    <cellStyle name="Currency" xfId="6" builtinId="4"/>
    <cellStyle name="Normal" xfId="0" builtinId="0"/>
    <cellStyle name="Normal 2" xfId="3" xr:uid="{6A3E74A7-F7DD-4F08-8238-D910533CE5B4}"/>
    <cellStyle name="Percent" xfId="5" builtinId="5"/>
  </cellStyles>
  <dxfs count="1">
    <dxf>
      <font>
        <color theme="9" tint="-0.499984740745262"/>
      </font>
      <fill>
        <patternFill>
          <bgColor theme="9" tint="0.79998168889431442"/>
        </patternFill>
      </fill>
    </dxf>
  </dxfs>
  <tableStyles count="0" defaultTableStyle="TableStyleMedium2" defaultPivotStyle="PivotStyleLight16"/>
  <colors>
    <mruColors>
      <color rgb="FF008AB0"/>
      <color rgb="FF005480"/>
      <color rgb="FFFFD961"/>
      <color rgb="FFBC8F00"/>
      <color rgb="FF1CF870"/>
      <color rgb="FF1CF8CE"/>
      <color rgb="FF1CC29E"/>
      <color rgb="FFFFD85D"/>
      <color rgb="FFC5C000"/>
      <color rgb="FFC1D7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theme" Target="theme/theme1.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Heating</a:t>
            </a:r>
            <a:r>
              <a:rPr lang="en-US" sz="1100" b="1" baseline="0">
                <a:solidFill>
                  <a:schemeClr val="bg1"/>
                </a:solidFill>
              </a:rPr>
              <a:t> Equipment Installations by Year</a:t>
            </a:r>
            <a:endParaRPr lang="en-US" sz="1100" b="1">
              <a:solidFill>
                <a:schemeClr val="bg1"/>
              </a:solidFill>
            </a:endParaRPr>
          </a:p>
        </c:rich>
      </c:tx>
      <c:layout>
        <c:manualLayout>
          <c:xMode val="edge"/>
          <c:yMode val="edge"/>
          <c:x val="0.13704954320553836"/>
          <c:y val="6.5877895463314753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areaChart>
        <c:grouping val="stacked"/>
        <c:varyColors val="0"/>
        <c:ser>
          <c:idx val="0"/>
          <c:order val="0"/>
          <c:tx>
            <c:strRef>
              <c:f>'Heating Equipment Penetration'!$C$1</c:f>
              <c:strCache>
                <c:ptCount val="1"/>
                <c:pt idx="0">
                  <c:v>Gas Heat Pump</c:v>
                </c:pt>
              </c:strCache>
            </c:strRef>
          </c:tx>
          <c:spPr>
            <a:solidFill>
              <a:schemeClr val="accent5">
                <a:lumMod val="50000"/>
              </a:schemeClr>
            </a:solidFill>
            <a:ln>
              <a:noFill/>
            </a:ln>
            <a:effectLst/>
          </c:spPr>
          <c:cat>
            <c:numRef>
              <c:f>'Heating Equipment Penetration'!$B$2:$B$30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Penetration'!$C$2:$C$30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43D3-4E15-8A41-8B277B8E74B0}"/>
            </c:ext>
          </c:extLst>
        </c:ser>
        <c:ser>
          <c:idx val="1"/>
          <c:order val="1"/>
          <c:tx>
            <c:strRef>
              <c:f>'Heating Equipment Penetration'!$D$1</c:f>
              <c:strCache>
                <c:ptCount val="1"/>
                <c:pt idx="0">
                  <c:v>Dual-Fuel System</c:v>
                </c:pt>
              </c:strCache>
            </c:strRef>
          </c:tx>
          <c:spPr>
            <a:solidFill>
              <a:schemeClr val="accent5">
                <a:lumMod val="60000"/>
                <a:lumOff val="40000"/>
              </a:schemeClr>
            </a:solidFill>
            <a:ln>
              <a:noFill/>
            </a:ln>
            <a:effectLst/>
          </c:spPr>
          <c:cat>
            <c:numRef>
              <c:f>'Heating Equipment Penetration'!$B$2:$B$30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Penetration'!$D$2:$D$30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43D3-4E15-8A41-8B277B8E74B0}"/>
            </c:ext>
          </c:extLst>
        </c:ser>
        <c:ser>
          <c:idx val="2"/>
          <c:order val="2"/>
          <c:tx>
            <c:strRef>
              <c:f>'Heating Equipment Penetration'!$E$1</c:f>
              <c:strCache>
                <c:ptCount val="1"/>
                <c:pt idx="0">
                  <c:v>Furnace/Boiler</c:v>
                </c:pt>
              </c:strCache>
            </c:strRef>
          </c:tx>
          <c:spPr>
            <a:solidFill>
              <a:schemeClr val="accent4">
                <a:lumMod val="60000"/>
                <a:lumOff val="40000"/>
              </a:schemeClr>
            </a:solidFill>
            <a:ln w="25400">
              <a:noFill/>
            </a:ln>
            <a:effectLst/>
          </c:spPr>
          <c:val>
            <c:numRef>
              <c:f>'Heating Equipment Penetration'!$E$32:$E$60</c:f>
              <c:numCache>
                <c:formatCode>0%</c:formatCode>
                <c:ptCount val="2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2-43D3-4E15-8A41-8B277B8E74B0}"/>
            </c:ext>
          </c:extLst>
        </c:ser>
        <c:dLbls>
          <c:showLegendKey val="0"/>
          <c:showVal val="0"/>
          <c:showCatName val="0"/>
          <c:showSerName val="0"/>
          <c:showPercent val="0"/>
          <c:showBubbleSize val="0"/>
        </c:dLbls>
        <c:axId val="1022638608"/>
        <c:axId val="1022617392"/>
      </c:area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System Resource Stack</a:t>
            </a:r>
            <a:r>
              <a:rPr lang="en-US" b="1" baseline="0">
                <a:solidFill>
                  <a:schemeClr val="bg1"/>
                </a:solidFill>
              </a:rPr>
              <a:t> - </a:t>
            </a:r>
            <a:r>
              <a:rPr lang="en-US" b="1">
                <a:solidFill>
                  <a:schemeClr val="bg1"/>
                </a:solidFill>
              </a:rPr>
              <a:t>Daily</a:t>
            </a:r>
            <a:r>
              <a:rPr lang="en-US" b="1" baseline="0">
                <a:solidFill>
                  <a:schemeClr val="bg1"/>
                </a:solidFill>
              </a:rPr>
              <a:t> Capacity</a:t>
            </a:r>
            <a:endParaRPr lang="en-US" b="1">
              <a:solidFill>
                <a:schemeClr val="bg1"/>
              </a:solidFill>
            </a:endParaRPr>
          </a:p>
        </c:rich>
      </c:tx>
      <c:layout>
        <c:manualLayout>
          <c:xMode val="edge"/>
          <c:yMode val="edge"/>
          <c:x val="0.1190588676415448"/>
          <c:y val="2.9214559386973177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2833796655168553"/>
          <c:y val="0.10601700576540467"/>
          <c:w val="0.59135170603674536"/>
          <c:h val="0.71206219014289884"/>
        </c:manualLayout>
      </c:layout>
      <c:areaChart>
        <c:grouping val="stacked"/>
        <c:varyColors val="0"/>
        <c:ser>
          <c:idx val="9"/>
          <c:order val="1"/>
          <c:tx>
            <c:strRef>
              <c:f>'Capacity Data'!$U$5</c:f>
              <c:strCache>
                <c:ptCount val="1"/>
                <c:pt idx="0">
                  <c:v>Existing Supply-side Capacity</c:v>
                </c:pt>
              </c:strCache>
            </c:strRef>
          </c:tx>
          <c:spPr>
            <a:solidFill>
              <a:schemeClr val="bg2"/>
            </a:solidFill>
            <a:ln w="25400">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Data'!$U$6:$U$34</c15:sqref>
                  </c15:fullRef>
                </c:ext>
              </c:extLst>
              <c:f>('Capacity Data'!$U$6,'Capacity Data'!$U$8:$U$34)</c:f>
              <c:numCache>
                <c:formatCode>_(* #,##0_);_(* \(#,##0\);_(* "-"??_);_(@_)</c:formatCode>
                <c:ptCount val="28"/>
                <c:pt idx="0">
                  <c:v>990934.07850000006</c:v>
                </c:pt>
                <c:pt idx="1">
                  <c:v>990934.07850000006</c:v>
                </c:pt>
                <c:pt idx="2">
                  <c:v>990934.07850000006</c:v>
                </c:pt>
                <c:pt idx="3">
                  <c:v>990934.07850000006</c:v>
                </c:pt>
                <c:pt idx="4">
                  <c:v>799434.07850000006</c:v>
                </c:pt>
                <c:pt idx="5">
                  <c:v>799434.07850000006</c:v>
                </c:pt>
                <c:pt idx="6">
                  <c:v>799434.07850000006</c:v>
                </c:pt>
                <c:pt idx="7">
                  <c:v>799434.07850000006</c:v>
                </c:pt>
                <c:pt idx="8">
                  <c:v>799434.07850000006</c:v>
                </c:pt>
                <c:pt idx="9">
                  <c:v>799434.07850000006</c:v>
                </c:pt>
                <c:pt idx="10">
                  <c:v>799434.07850000006</c:v>
                </c:pt>
                <c:pt idx="11">
                  <c:v>799434.07850000006</c:v>
                </c:pt>
                <c:pt idx="12">
                  <c:v>799434.07850000006</c:v>
                </c:pt>
                <c:pt idx="13">
                  <c:v>799434.07850000006</c:v>
                </c:pt>
                <c:pt idx="14">
                  <c:v>799434.07850000006</c:v>
                </c:pt>
                <c:pt idx="15">
                  <c:v>799434.07850000006</c:v>
                </c:pt>
                <c:pt idx="16">
                  <c:v>799434.07850000006</c:v>
                </c:pt>
                <c:pt idx="17">
                  <c:v>799434.07850000006</c:v>
                </c:pt>
                <c:pt idx="18">
                  <c:v>799434.07850000006</c:v>
                </c:pt>
                <c:pt idx="19">
                  <c:v>799434.07850000006</c:v>
                </c:pt>
                <c:pt idx="20">
                  <c:v>799434.07850000006</c:v>
                </c:pt>
                <c:pt idx="21">
                  <c:v>799434.07850000006</c:v>
                </c:pt>
                <c:pt idx="22">
                  <c:v>799434.07850000006</c:v>
                </c:pt>
                <c:pt idx="23">
                  <c:v>799434.07850000006</c:v>
                </c:pt>
                <c:pt idx="24">
                  <c:v>799434.07850000006</c:v>
                </c:pt>
                <c:pt idx="25">
                  <c:v>799434.07850000006</c:v>
                </c:pt>
                <c:pt idx="26">
                  <c:v>799434.07850000006</c:v>
                </c:pt>
                <c:pt idx="27">
                  <c:v>799434.07850000006</c:v>
                </c:pt>
              </c:numCache>
            </c:numRef>
          </c:val>
          <c:extLst>
            <c:ext xmlns:c16="http://schemas.microsoft.com/office/drawing/2014/chart" uri="{C3380CC4-5D6E-409C-BE32-E72D297353CC}">
              <c16:uniqueId val="{00000000-C2C3-4EEB-814F-71DDDC6FF9AF}"/>
            </c:ext>
          </c:extLst>
        </c:ser>
        <c:ser>
          <c:idx val="12"/>
          <c:order val="2"/>
          <c:tx>
            <c:strRef>
              <c:f>'Capacity Data'!$W$5</c:f>
              <c:strCache>
                <c:ptCount val="1"/>
                <c:pt idx="0">
                  <c:v>Existing Demand-Response</c:v>
                </c:pt>
              </c:strCache>
            </c:strRef>
          </c:tx>
          <c:spPr>
            <a:solidFill>
              <a:srgbClr val="FFD456"/>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Data'!$W$6:$W$34</c15:sqref>
                  </c15:fullRef>
                </c:ext>
              </c:extLst>
              <c:f>('Capacity Data'!$W$6,'Capacity Data'!$W$8:$W$34)</c:f>
              <c:numCache>
                <c:formatCode>_(* #,##0_);_(* \(#,##0\);_(* "-"??_);_(@_)</c:formatCode>
                <c:ptCount val="28"/>
                <c:pt idx="0">
                  <c:v>24000</c:v>
                </c:pt>
                <c:pt idx="1">
                  <c:v>24000</c:v>
                </c:pt>
                <c:pt idx="2">
                  <c:v>24000</c:v>
                </c:pt>
                <c:pt idx="3">
                  <c:v>24000</c:v>
                </c:pt>
                <c:pt idx="4">
                  <c:v>24000</c:v>
                </c:pt>
                <c:pt idx="5">
                  <c:v>24000</c:v>
                </c:pt>
                <c:pt idx="6">
                  <c:v>24000</c:v>
                </c:pt>
                <c:pt idx="7">
                  <c:v>24000</c:v>
                </c:pt>
                <c:pt idx="8">
                  <c:v>24000</c:v>
                </c:pt>
                <c:pt idx="9">
                  <c:v>24000</c:v>
                </c:pt>
                <c:pt idx="10">
                  <c:v>24000</c:v>
                </c:pt>
                <c:pt idx="11">
                  <c:v>24000</c:v>
                </c:pt>
                <c:pt idx="12">
                  <c:v>24000</c:v>
                </c:pt>
                <c:pt idx="13">
                  <c:v>24000</c:v>
                </c:pt>
                <c:pt idx="14">
                  <c:v>24000</c:v>
                </c:pt>
                <c:pt idx="15">
                  <c:v>24000</c:v>
                </c:pt>
                <c:pt idx="16">
                  <c:v>24000</c:v>
                </c:pt>
                <c:pt idx="17">
                  <c:v>24000</c:v>
                </c:pt>
                <c:pt idx="18">
                  <c:v>24000</c:v>
                </c:pt>
                <c:pt idx="19">
                  <c:v>24000</c:v>
                </c:pt>
                <c:pt idx="20">
                  <c:v>24000</c:v>
                </c:pt>
                <c:pt idx="21">
                  <c:v>24000</c:v>
                </c:pt>
                <c:pt idx="22">
                  <c:v>24000</c:v>
                </c:pt>
                <c:pt idx="23">
                  <c:v>24000</c:v>
                </c:pt>
                <c:pt idx="24">
                  <c:v>24000</c:v>
                </c:pt>
                <c:pt idx="25">
                  <c:v>24000</c:v>
                </c:pt>
                <c:pt idx="26">
                  <c:v>24000</c:v>
                </c:pt>
                <c:pt idx="27">
                  <c:v>24000</c:v>
                </c:pt>
              </c:numCache>
            </c:numRef>
          </c:val>
          <c:extLst>
            <c:ext xmlns:c16="http://schemas.microsoft.com/office/drawing/2014/chart" uri="{C3380CC4-5D6E-409C-BE32-E72D297353CC}">
              <c16:uniqueId val="{00000001-C2C3-4EEB-814F-71DDDC6FF9AF}"/>
            </c:ext>
          </c:extLst>
        </c:ser>
        <c:ser>
          <c:idx val="1"/>
          <c:order val="3"/>
          <c:tx>
            <c:strRef>
              <c:f>'Capacity Data'!$AC$5</c:f>
              <c:strCache>
                <c:ptCount val="1"/>
                <c:pt idx="0">
                  <c:v>Cold Box</c:v>
                </c:pt>
              </c:strCache>
            </c:strRef>
          </c:tx>
          <c:spPr>
            <a:solidFill>
              <a:srgbClr val="E26714"/>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Data'!$AC$6:$AC$34</c15:sqref>
                  </c15:fullRef>
                </c:ext>
              </c:extLst>
              <c:f>('Capacity Data'!$AC$6,'Capacity Data'!$AC$8:$AC$34)</c:f>
              <c:numCache>
                <c:formatCode>_(* #,##0_);_(* \(#,##0\);_(* "-"??_);_(@_)</c:formatCode>
                <c:ptCount val="28"/>
                <c:pt idx="0">
                  <c:v>0</c:v>
                </c:pt>
                <c:pt idx="1">
                  <c:v>0</c:v>
                </c:pt>
                <c:pt idx="2">
                  <c:v>0</c:v>
                </c:pt>
                <c:pt idx="3">
                  <c:v>0</c:v>
                </c:pt>
                <c:pt idx="4">
                  <c:v>130800.00000057208</c:v>
                </c:pt>
                <c:pt idx="5">
                  <c:v>130800.00000057208</c:v>
                </c:pt>
                <c:pt idx="6">
                  <c:v>130800.00000057208</c:v>
                </c:pt>
                <c:pt idx="7">
                  <c:v>130800.00000057208</c:v>
                </c:pt>
                <c:pt idx="8">
                  <c:v>130800.00000057208</c:v>
                </c:pt>
                <c:pt idx="9">
                  <c:v>130800.00000057208</c:v>
                </c:pt>
                <c:pt idx="10">
                  <c:v>130800.00000057208</c:v>
                </c:pt>
                <c:pt idx="11">
                  <c:v>130800.00000057208</c:v>
                </c:pt>
                <c:pt idx="12">
                  <c:v>130800.00000057208</c:v>
                </c:pt>
                <c:pt idx="13">
                  <c:v>130800.00000057208</c:v>
                </c:pt>
                <c:pt idx="14">
                  <c:v>130800.00000057208</c:v>
                </c:pt>
                <c:pt idx="15">
                  <c:v>130800.00000057208</c:v>
                </c:pt>
                <c:pt idx="16">
                  <c:v>130800.00000057208</c:v>
                </c:pt>
                <c:pt idx="17">
                  <c:v>130800.00000057208</c:v>
                </c:pt>
                <c:pt idx="18">
                  <c:v>130800.00000057208</c:v>
                </c:pt>
                <c:pt idx="19">
                  <c:v>130800.00000057208</c:v>
                </c:pt>
                <c:pt idx="20">
                  <c:v>130800.00000057208</c:v>
                </c:pt>
                <c:pt idx="21">
                  <c:v>130800.00000057208</c:v>
                </c:pt>
                <c:pt idx="22">
                  <c:v>130800.00000057208</c:v>
                </c:pt>
                <c:pt idx="23">
                  <c:v>130800.00000057208</c:v>
                </c:pt>
                <c:pt idx="24">
                  <c:v>130800.00000057208</c:v>
                </c:pt>
                <c:pt idx="25">
                  <c:v>130800.00000057208</c:v>
                </c:pt>
                <c:pt idx="26">
                  <c:v>130800.00000057208</c:v>
                </c:pt>
                <c:pt idx="27">
                  <c:v>130800.00000057208</c:v>
                </c:pt>
              </c:numCache>
            </c:numRef>
          </c:val>
          <c:extLst>
            <c:ext xmlns:c16="http://schemas.microsoft.com/office/drawing/2014/chart" uri="{C3380CC4-5D6E-409C-BE32-E72D297353CC}">
              <c16:uniqueId val="{00000002-C2C3-4EEB-814F-71DDDC6FF9AF}"/>
            </c:ext>
          </c:extLst>
        </c:ser>
        <c:ser>
          <c:idx val="0"/>
          <c:order val="4"/>
          <c:tx>
            <c:strRef>
              <c:f>'Capacity Data'!$AB$5</c:f>
              <c:strCache>
                <c:ptCount val="1"/>
                <c:pt idx="0">
                  <c:v>Mist Recall</c:v>
                </c:pt>
              </c:strCache>
            </c:strRef>
          </c:tx>
          <c:spPr>
            <a:solidFill>
              <a:srgbClr val="0082B0"/>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Data'!$AB$6:$AB$34</c15:sqref>
                  </c15:fullRef>
                </c:ext>
              </c:extLst>
              <c:f>('Capacity Data'!$AB$6,'Capacity Data'!$AB$8:$AB$34)</c:f>
              <c:numCache>
                <c:formatCode>_(* #,##0_);_(* \(#,##0\);_(* "-"??_);_(@_)</c:formatCode>
                <c:ptCount val="28"/>
                <c:pt idx="0">
                  <c:v>0</c:v>
                </c:pt>
                <c:pt idx="1">
                  <c:v>27022.00348152536</c:v>
                </c:pt>
                <c:pt idx="2">
                  <c:v>27022.00348152536</c:v>
                </c:pt>
                <c:pt idx="3">
                  <c:v>27022.00348152536</c:v>
                </c:pt>
                <c:pt idx="4">
                  <c:v>27022.00348152536</c:v>
                </c:pt>
                <c:pt idx="5">
                  <c:v>27022.00348152536</c:v>
                </c:pt>
                <c:pt idx="6">
                  <c:v>27022.00348152536</c:v>
                </c:pt>
                <c:pt idx="7">
                  <c:v>27022.00348152536</c:v>
                </c:pt>
                <c:pt idx="8">
                  <c:v>27022.00348152536</c:v>
                </c:pt>
                <c:pt idx="9">
                  <c:v>27022.00348152536</c:v>
                </c:pt>
                <c:pt idx="10">
                  <c:v>27022.00348152536</c:v>
                </c:pt>
                <c:pt idx="11">
                  <c:v>27022.00348152536</c:v>
                </c:pt>
                <c:pt idx="12">
                  <c:v>27022.00348152536</c:v>
                </c:pt>
                <c:pt idx="13">
                  <c:v>27022.00348152536</c:v>
                </c:pt>
                <c:pt idx="14">
                  <c:v>27022.00348152536</c:v>
                </c:pt>
                <c:pt idx="15">
                  <c:v>27022.00348152536</c:v>
                </c:pt>
                <c:pt idx="16">
                  <c:v>27022.00348152536</c:v>
                </c:pt>
                <c:pt idx="17">
                  <c:v>27022.00348152536</c:v>
                </c:pt>
                <c:pt idx="18">
                  <c:v>27022.00348152536</c:v>
                </c:pt>
                <c:pt idx="19">
                  <c:v>27022.00348152536</c:v>
                </c:pt>
                <c:pt idx="20">
                  <c:v>27022.00348152536</c:v>
                </c:pt>
                <c:pt idx="21">
                  <c:v>27022.00348152536</c:v>
                </c:pt>
                <c:pt idx="22">
                  <c:v>27022.00348152536</c:v>
                </c:pt>
                <c:pt idx="23">
                  <c:v>27022.00348152536</c:v>
                </c:pt>
                <c:pt idx="24">
                  <c:v>27022.00348152536</c:v>
                </c:pt>
                <c:pt idx="25">
                  <c:v>27022.00348152536</c:v>
                </c:pt>
                <c:pt idx="26">
                  <c:v>27022.00348152536</c:v>
                </c:pt>
                <c:pt idx="27">
                  <c:v>27022.00348152536</c:v>
                </c:pt>
              </c:numCache>
            </c:numRef>
          </c:val>
          <c:extLst>
            <c:ext xmlns:c16="http://schemas.microsoft.com/office/drawing/2014/chart" uri="{C3380CC4-5D6E-409C-BE32-E72D297353CC}">
              <c16:uniqueId val="{00000003-C2C3-4EEB-814F-71DDDC6FF9AF}"/>
            </c:ext>
          </c:extLst>
        </c:ser>
        <c:dLbls>
          <c:showLegendKey val="0"/>
          <c:showVal val="0"/>
          <c:showCatName val="0"/>
          <c:showSerName val="0"/>
          <c:showPercent val="0"/>
          <c:showBubbleSize val="0"/>
        </c:dLbls>
        <c:axId val="320888351"/>
        <c:axId val="320890015"/>
      </c:areaChart>
      <c:lineChart>
        <c:grouping val="standard"/>
        <c:varyColors val="0"/>
        <c:ser>
          <c:idx val="10"/>
          <c:order val="0"/>
          <c:tx>
            <c:strRef>
              <c:f>'Capacity Data'!$Z$5</c:f>
              <c:strCache>
                <c:ptCount val="1"/>
                <c:pt idx="0">
                  <c:v>Existing Resource Stack</c:v>
                </c:pt>
              </c:strCache>
            </c:strRef>
          </c:tx>
          <c:spPr>
            <a:ln w="22225" cap="sq">
              <a:solidFill>
                <a:schemeClr val="tx1"/>
              </a:solidFill>
              <a:prstDash val="sysDot"/>
              <a:round/>
            </a:ln>
            <a:effectLst/>
          </c:spPr>
          <c:marker>
            <c:symbol val="none"/>
          </c:marke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Data'!$Z$6:$Z$34</c15:sqref>
                  </c15:fullRef>
                </c:ext>
              </c:extLst>
              <c:f>('Capacity Data'!$Z$6,'Capacity Data'!$Z$8:$Z$34)</c:f>
              <c:numCache>
                <c:formatCode>_(* #,##0_);_(* \(#,##0\);_(* "-"??_);_(@_)</c:formatCode>
                <c:ptCount val="28"/>
                <c:pt idx="0">
                  <c:v>1014934.0785000001</c:v>
                </c:pt>
                <c:pt idx="1">
                  <c:v>1014934.0785000001</c:v>
                </c:pt>
                <c:pt idx="2">
                  <c:v>1014934.0785000001</c:v>
                </c:pt>
                <c:pt idx="3">
                  <c:v>1014934.0785000001</c:v>
                </c:pt>
                <c:pt idx="4">
                  <c:v>823434.07850000006</c:v>
                </c:pt>
                <c:pt idx="5">
                  <c:v>823434.07850000006</c:v>
                </c:pt>
                <c:pt idx="6">
                  <c:v>823434.07850000006</c:v>
                </c:pt>
                <c:pt idx="7">
                  <c:v>823434.07850000006</c:v>
                </c:pt>
                <c:pt idx="8">
                  <c:v>823434.07850000006</c:v>
                </c:pt>
                <c:pt idx="9">
                  <c:v>823434.07850000006</c:v>
                </c:pt>
                <c:pt idx="10">
                  <c:v>823434.07850000006</c:v>
                </c:pt>
                <c:pt idx="11">
                  <c:v>823434.07850000006</c:v>
                </c:pt>
                <c:pt idx="12">
                  <c:v>823434.07850000006</c:v>
                </c:pt>
                <c:pt idx="13">
                  <c:v>823434.07850000006</c:v>
                </c:pt>
                <c:pt idx="14">
                  <c:v>823434.07850000006</c:v>
                </c:pt>
                <c:pt idx="15">
                  <c:v>823434.07850000006</c:v>
                </c:pt>
                <c:pt idx="16">
                  <c:v>823434.07850000006</c:v>
                </c:pt>
                <c:pt idx="17">
                  <c:v>823434.07850000006</c:v>
                </c:pt>
                <c:pt idx="18">
                  <c:v>823434.07850000006</c:v>
                </c:pt>
                <c:pt idx="19">
                  <c:v>823434.07850000006</c:v>
                </c:pt>
                <c:pt idx="20">
                  <c:v>823434.07850000006</c:v>
                </c:pt>
                <c:pt idx="21">
                  <c:v>823434.07850000006</c:v>
                </c:pt>
                <c:pt idx="22">
                  <c:v>823434.07850000006</c:v>
                </c:pt>
                <c:pt idx="23">
                  <c:v>823434.07850000006</c:v>
                </c:pt>
                <c:pt idx="24">
                  <c:v>823434.07850000006</c:v>
                </c:pt>
                <c:pt idx="25">
                  <c:v>823434.07850000006</c:v>
                </c:pt>
                <c:pt idx="26">
                  <c:v>823434.07850000006</c:v>
                </c:pt>
                <c:pt idx="27">
                  <c:v>823434.07850000006</c:v>
                </c:pt>
              </c:numCache>
            </c:numRef>
          </c:val>
          <c:smooth val="0"/>
          <c:extLst>
            <c:ext xmlns:c16="http://schemas.microsoft.com/office/drawing/2014/chart" uri="{C3380CC4-5D6E-409C-BE32-E72D297353CC}">
              <c16:uniqueId val="{00000004-C2C3-4EEB-814F-71DDDC6FF9AF}"/>
            </c:ext>
          </c:extLst>
        </c:ser>
        <c:dLbls>
          <c:showLegendKey val="0"/>
          <c:showVal val="0"/>
          <c:showCatName val="0"/>
          <c:showSerName val="0"/>
          <c:showPercent val="0"/>
          <c:showBubbleSize val="0"/>
        </c:dLbls>
        <c:marker val="1"/>
        <c:smooth val="0"/>
        <c:axId val="320888351"/>
        <c:axId val="320890015"/>
      </c:lineChart>
      <c:catAx>
        <c:axId val="320888351"/>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20890015"/>
        <c:crosses val="autoZero"/>
        <c:auto val="1"/>
        <c:lblAlgn val="ctr"/>
        <c:lblOffset val="100"/>
        <c:noMultiLvlLbl val="0"/>
      </c:catAx>
      <c:valAx>
        <c:axId val="320890015"/>
        <c:scaling>
          <c:orientation val="minMax"/>
          <c:max val="1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Dth / day</a:t>
                </a:r>
              </a:p>
            </c:rich>
          </c:tx>
          <c:layout>
            <c:manualLayout>
              <c:xMode val="edge"/>
              <c:yMode val="edge"/>
              <c:x val="3.7689091540800829E-3"/>
              <c:y val="0.3130148339634717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20888351"/>
        <c:crosses val="autoZero"/>
        <c:crossBetween val="midCat"/>
      </c:valAx>
      <c:spPr>
        <a:noFill/>
        <a:ln>
          <a:solidFill>
            <a:schemeClr val="bg2"/>
          </a:solidFill>
        </a:ln>
        <a:effectLst/>
      </c:spPr>
    </c:plotArea>
    <c:legend>
      <c:legendPos val="r"/>
      <c:layout>
        <c:manualLayout>
          <c:xMode val="edge"/>
          <c:yMode val="edge"/>
          <c:x val="0.72612079740032498"/>
          <c:y val="5.0282881306503366E-2"/>
          <c:w val="0.25800915510561179"/>
          <c:h val="0.91491870807815689"/>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b="1">
                <a:solidFill>
                  <a:schemeClr val="bg1"/>
                </a:solidFill>
                <a:latin typeface="+mn-lt"/>
                <a:ea typeface="+mn-ea"/>
                <a:cs typeface="+mn-cs"/>
              </a:rPr>
              <a:t>Oregon</a:t>
            </a:r>
            <a:r>
              <a:rPr lang="en-US" b="1" baseline="0">
                <a:solidFill>
                  <a:schemeClr val="bg1"/>
                </a:solidFill>
                <a:latin typeface="+mn-lt"/>
                <a:ea typeface="+mn-ea"/>
                <a:cs typeface="+mn-cs"/>
              </a:rPr>
              <a:t> Compliance Resources</a:t>
            </a:r>
            <a:endParaRPr lang="en-US" b="1">
              <a:solidFill>
                <a:schemeClr val="bg1"/>
              </a:solidFill>
            </a:endParaRPr>
          </a:p>
        </c:rich>
      </c:tx>
      <c:layout>
        <c:manualLayout>
          <c:xMode val="edge"/>
          <c:yMode val="edge"/>
          <c:x val="0.10010419543548671"/>
          <c:y val="1.6196253392267606E-5"/>
        </c:manualLayout>
      </c:layout>
      <c:overlay val="0"/>
      <c:spPr>
        <a:solidFill>
          <a:srgbClr val="002060"/>
        </a:solidFill>
        <a:ln w="38100" cap="flat" cmpd="sng" algn="ctr">
          <a:noFill/>
          <a:prstDash val="solid"/>
          <a:miter lim="800000"/>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1036201929960912"/>
          <c:y val="9.961813189013792E-2"/>
          <c:w val="0.61476470746392031"/>
          <c:h val="0.75643245503185585"/>
        </c:manualLayout>
      </c:layout>
      <c:areaChart>
        <c:grouping val="stacked"/>
        <c:varyColors val="0"/>
        <c:ser>
          <c:idx val="1"/>
          <c:order val="1"/>
          <c:tx>
            <c:strRef>
              <c:f>'Compliance Data'!$AT$2</c:f>
              <c:strCache>
                <c:ptCount val="1"/>
                <c:pt idx="0">
                  <c:v>Non-Compliance Gas</c:v>
                </c:pt>
              </c:strCache>
            </c:strRef>
          </c:tx>
          <c:spPr>
            <a:solidFill>
              <a:srgbClr val="DBDADF"/>
            </a:solidFill>
            <a:ln w="381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Data'!$AT$4:$AT$32</c:f>
              <c:numCache>
                <c:formatCode>_(* #,##0_);_(* \(#,##0\);_(* "-"??_);_(@_)</c:formatCode>
                <c:ptCount val="29"/>
                <c:pt idx="0">
                  <c:v>106025.68362047999</c:v>
                </c:pt>
                <c:pt idx="1">
                  <c:v>102541.46952456002</c:v>
                </c:pt>
                <c:pt idx="2">
                  <c:v>102128.09049312001</c:v>
                </c:pt>
                <c:pt idx="3">
                  <c:v>97851.955790639986</c:v>
                </c:pt>
                <c:pt idx="4">
                  <c:v>94351.931571120003</c:v>
                </c:pt>
                <c:pt idx="5">
                  <c:v>90059.046261359996</c:v>
                </c:pt>
                <c:pt idx="6">
                  <c:v>85764.781925520016</c:v>
                </c:pt>
                <c:pt idx="7">
                  <c:v>81473.051711520005</c:v>
                </c:pt>
                <c:pt idx="8">
                  <c:v>77179.879921440021</c:v>
                </c:pt>
                <c:pt idx="9">
                  <c:v>72886.669588560006</c:v>
                </c:pt>
                <c:pt idx="10">
                  <c:v>68592.123896160017</c:v>
                </c:pt>
                <c:pt idx="11">
                  <c:v>64299.91656096001</c:v>
                </c:pt>
                <c:pt idx="12">
                  <c:v>60006.444716879989</c:v>
                </c:pt>
                <c:pt idx="13">
                  <c:v>55712.886577440004</c:v>
                </c:pt>
                <c:pt idx="14">
                  <c:v>52736.479312080002</c:v>
                </c:pt>
                <c:pt idx="15">
                  <c:v>49762.12436400001</c:v>
                </c:pt>
                <c:pt idx="16">
                  <c:v>46786.655140319999</c:v>
                </c:pt>
                <c:pt idx="17">
                  <c:v>43811.127568320007</c:v>
                </c:pt>
                <c:pt idx="18">
                  <c:v>40834.637244720005</c:v>
                </c:pt>
                <c:pt idx="19">
                  <c:v>37859.956569120011</c:v>
                </c:pt>
                <c:pt idx="20">
                  <c:v>34884.317917679997</c:v>
                </c:pt>
                <c:pt idx="21">
                  <c:v>31908.665389200007</c:v>
                </c:pt>
                <c:pt idx="22">
                  <c:v>28932.147759599993</c:v>
                </c:pt>
                <c:pt idx="23">
                  <c:v>25957.185931680004</c:v>
                </c:pt>
                <c:pt idx="24">
                  <c:v>22981.388619600009</c:v>
                </c:pt>
                <c:pt idx="25">
                  <c:v>20005.570921200007</c:v>
                </c:pt>
                <c:pt idx="26">
                  <c:v>17029.022258640001</c:v>
                </c:pt>
                <c:pt idx="27">
                  <c:v>14053.841045520006</c:v>
                </c:pt>
                <c:pt idx="28">
                  <c:v>11077.941706560006</c:v>
                </c:pt>
              </c:numCache>
            </c:numRef>
          </c:val>
          <c:extLst>
            <c:ext xmlns:c16="http://schemas.microsoft.com/office/drawing/2014/chart" uri="{C3380CC4-5D6E-409C-BE32-E72D297353CC}">
              <c16:uniqueId val="{00000000-49A8-454E-9AB6-FD51F849199C}"/>
            </c:ext>
          </c:extLst>
        </c:ser>
        <c:ser>
          <c:idx val="7"/>
          <c:order val="2"/>
          <c:tx>
            <c:strRef>
              <c:f>'Compliance Data'!$AR$2</c:f>
              <c:strCache>
                <c:ptCount val="1"/>
                <c:pt idx="0">
                  <c:v>Exisitng RNG Contracts</c:v>
                </c:pt>
              </c:strCache>
            </c:strRef>
          </c:tx>
          <c:spPr>
            <a:solidFill>
              <a:srgbClr val="7AC142"/>
            </a:solidFill>
            <a:ln>
              <a:noFill/>
            </a:ln>
            <a:effectLst/>
          </c:spPr>
          <c:val>
            <c:numRef>
              <c:f>'Compliance Data'!$AR$4:$AR$32</c:f>
              <c:numCache>
                <c:formatCode>_(* #,##0_);_(* \(#,##0\);_(* "-"??_);_(@_)</c:formatCode>
                <c:ptCount val="29"/>
                <c:pt idx="0">
                  <c:v>364.26997080000001</c:v>
                </c:pt>
                <c:pt idx="1">
                  <c:v>1200.1199999999999</c:v>
                </c:pt>
                <c:pt idx="2">
                  <c:v>1314.6721171200002</c:v>
                </c:pt>
                <c:pt idx="3">
                  <c:v>1838.5050875999998</c:v>
                </c:pt>
                <c:pt idx="4">
                  <c:v>1842.5201459999998</c:v>
                </c:pt>
                <c:pt idx="5">
                  <c:v>1842.5201459999998</c:v>
                </c:pt>
                <c:pt idx="6">
                  <c:v>1847.5681464000002</c:v>
                </c:pt>
                <c:pt idx="7">
                  <c:v>1842.5201459999998</c:v>
                </c:pt>
                <c:pt idx="8">
                  <c:v>1842.5201459999998</c:v>
                </c:pt>
                <c:pt idx="9">
                  <c:v>1842.5201459999998</c:v>
                </c:pt>
                <c:pt idx="10">
                  <c:v>1847.5681464000002</c:v>
                </c:pt>
                <c:pt idx="11">
                  <c:v>1842.5201459999998</c:v>
                </c:pt>
                <c:pt idx="12">
                  <c:v>1842.5201459999998</c:v>
                </c:pt>
                <c:pt idx="13">
                  <c:v>1842.5201459999998</c:v>
                </c:pt>
                <c:pt idx="14">
                  <c:v>1847.5681464000002</c:v>
                </c:pt>
                <c:pt idx="15">
                  <c:v>1842.5201459999998</c:v>
                </c:pt>
                <c:pt idx="16">
                  <c:v>1842.5201459999998</c:v>
                </c:pt>
                <c:pt idx="17">
                  <c:v>1842.5201459999998</c:v>
                </c:pt>
                <c:pt idx="18">
                  <c:v>1847.5681464000002</c:v>
                </c:pt>
                <c:pt idx="19">
                  <c:v>1842.5201459999998</c:v>
                </c:pt>
                <c:pt idx="20">
                  <c:v>1842.5201459999998</c:v>
                </c:pt>
                <c:pt idx="21">
                  <c:v>1842.5201459999998</c:v>
                </c:pt>
                <c:pt idx="22">
                  <c:v>1847.5681464000002</c:v>
                </c:pt>
                <c:pt idx="23">
                  <c:v>1842.5201459999998</c:v>
                </c:pt>
                <c:pt idx="24">
                  <c:v>1842.5201459999998</c:v>
                </c:pt>
                <c:pt idx="25">
                  <c:v>1842.5201459999998</c:v>
                </c:pt>
                <c:pt idx="26">
                  <c:v>1847.5681464000002</c:v>
                </c:pt>
                <c:pt idx="27">
                  <c:v>1842.5201459999998</c:v>
                </c:pt>
                <c:pt idx="28">
                  <c:v>1842.5201459999998</c:v>
                </c:pt>
              </c:numCache>
            </c:numRef>
          </c:val>
          <c:extLst>
            <c:ext xmlns:c16="http://schemas.microsoft.com/office/drawing/2014/chart" uri="{C3380CC4-5D6E-409C-BE32-E72D297353CC}">
              <c16:uniqueId val="{00000001-49A8-454E-9AB6-FD51F849199C}"/>
            </c:ext>
          </c:extLst>
        </c:ser>
        <c:ser>
          <c:idx val="3"/>
          <c:order val="3"/>
          <c:tx>
            <c:strRef>
              <c:f>'Compliance Data'!$K$2</c:f>
              <c:strCache>
                <c:ptCount val="1"/>
                <c:pt idx="0">
                  <c:v>RNG Tranche 1</c:v>
                </c:pt>
              </c:strCache>
            </c:strRef>
          </c:tx>
          <c:spPr>
            <a:solidFill>
              <a:srgbClr val="C1D72E"/>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Data'!$K$4:$K$32</c:f>
              <c:numCache>
                <c:formatCode>_(* #,##0_);_(* \(#,##0\);_(* "-"??_);_(@_)</c:formatCode>
                <c:ptCount val="29"/>
                <c:pt idx="0">
                  <c:v>1801.964412</c:v>
                </c:pt>
                <c:pt idx="1">
                  <c:v>4166.4454788000003</c:v>
                </c:pt>
                <c:pt idx="2">
                  <c:v>4177.8603979199997</c:v>
                </c:pt>
                <c:pt idx="3">
                  <c:v>5360.8231236000001</c:v>
                </c:pt>
                <c:pt idx="4">
                  <c:v>5888.5245599999998</c:v>
                </c:pt>
                <c:pt idx="5">
                  <c:v>6388.9870392000003</c:v>
                </c:pt>
                <c:pt idx="6">
                  <c:v>7732.57048416</c:v>
                </c:pt>
                <c:pt idx="7">
                  <c:v>7711.4432423999997</c:v>
                </c:pt>
                <c:pt idx="8">
                  <c:v>7711.4432423999997</c:v>
                </c:pt>
                <c:pt idx="9">
                  <c:v>7711.4432423999997</c:v>
                </c:pt>
                <c:pt idx="10">
                  <c:v>7732.57048416</c:v>
                </c:pt>
                <c:pt idx="11">
                  <c:v>7711.4432423999997</c:v>
                </c:pt>
                <c:pt idx="12">
                  <c:v>7711.4432423999997</c:v>
                </c:pt>
                <c:pt idx="13">
                  <c:v>7711.4432423999997</c:v>
                </c:pt>
                <c:pt idx="14">
                  <c:v>7732.57048416</c:v>
                </c:pt>
                <c:pt idx="15">
                  <c:v>7711.4432423999997</c:v>
                </c:pt>
                <c:pt idx="16">
                  <c:v>7711.4432423999997</c:v>
                </c:pt>
                <c:pt idx="17">
                  <c:v>7711.4432423999997</c:v>
                </c:pt>
                <c:pt idx="18">
                  <c:v>7732.57048416</c:v>
                </c:pt>
                <c:pt idx="19">
                  <c:v>7711.4432423999997</c:v>
                </c:pt>
                <c:pt idx="20">
                  <c:v>7711.4432423999997</c:v>
                </c:pt>
                <c:pt idx="21">
                  <c:v>7711.4432423999997</c:v>
                </c:pt>
                <c:pt idx="22">
                  <c:v>7732.57048416</c:v>
                </c:pt>
                <c:pt idx="23">
                  <c:v>7711.4432423999997</c:v>
                </c:pt>
                <c:pt idx="24">
                  <c:v>7711.4432423999997</c:v>
                </c:pt>
                <c:pt idx="25">
                  <c:v>7711.4432423999997</c:v>
                </c:pt>
                <c:pt idx="26">
                  <c:v>7732.57048416</c:v>
                </c:pt>
                <c:pt idx="27">
                  <c:v>7711.4432423999997</c:v>
                </c:pt>
                <c:pt idx="28">
                  <c:v>7711.4432423999997</c:v>
                </c:pt>
              </c:numCache>
            </c:numRef>
          </c:val>
          <c:extLst>
            <c:ext xmlns:c16="http://schemas.microsoft.com/office/drawing/2014/chart" uri="{C3380CC4-5D6E-409C-BE32-E72D297353CC}">
              <c16:uniqueId val="{00000002-49A8-454E-9AB6-FD51F849199C}"/>
            </c:ext>
          </c:extLst>
        </c:ser>
        <c:ser>
          <c:idx val="2"/>
          <c:order val="4"/>
          <c:tx>
            <c:strRef>
              <c:f>'Compliance Data'!$H$2</c:f>
              <c:strCache>
                <c:ptCount val="1"/>
                <c:pt idx="0">
                  <c:v>CCI Purchases</c:v>
                </c:pt>
              </c:strCache>
            </c:strRef>
          </c:tx>
          <c:spPr>
            <a:solidFill>
              <a:schemeClr val="accent4"/>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Data'!$H$4:$H$32</c:f>
              <c:numCache>
                <c:formatCode>_(* #,##0_);_(* \(#,##0\);_(* "-"??_);_(@_)</c:formatCode>
                <c:ptCount val="29"/>
                <c:pt idx="0">
                  <c:v>0</c:v>
                </c:pt>
                <c:pt idx="1">
                  <c:v>0</c:v>
                </c:pt>
                <c:pt idx="2">
                  <c:v>0</c:v>
                </c:pt>
                <c:pt idx="3">
                  <c:v>0</c:v>
                </c:pt>
                <c:pt idx="4">
                  <c:v>205.83872400000001</c:v>
                </c:pt>
                <c:pt idx="5">
                  <c:v>1265.7635560799999</c:v>
                </c:pt>
                <c:pt idx="6">
                  <c:v>2123.4794436000002</c:v>
                </c:pt>
                <c:pt idx="7">
                  <c:v>3175.53789336</c:v>
                </c:pt>
                <c:pt idx="8">
                  <c:v>4876.3696972799999</c:v>
                </c:pt>
                <c:pt idx="9">
                  <c:v>6210.4992103200002</c:v>
                </c:pt>
                <c:pt idx="10">
                  <c:v>8114.6876172000002</c:v>
                </c:pt>
                <c:pt idx="11">
                  <c:v>9104.0511871199997</c:v>
                </c:pt>
                <c:pt idx="12">
                  <c:v>10635.82697448</c:v>
                </c:pt>
                <c:pt idx="13">
                  <c:v>12241.036278240001</c:v>
                </c:pt>
                <c:pt idx="14">
                  <c:v>10924.299747360001</c:v>
                </c:pt>
                <c:pt idx="15">
                  <c:v>11100.5089032</c:v>
                </c:pt>
                <c:pt idx="16">
                  <c:v>8198.6022525600001</c:v>
                </c:pt>
                <c:pt idx="17">
                  <c:v>8872.3468439999997</c:v>
                </c:pt>
                <c:pt idx="18">
                  <c:v>8386.00295568</c:v>
                </c:pt>
                <c:pt idx="19">
                  <c:v>6874.0905290399996</c:v>
                </c:pt>
                <c:pt idx="20">
                  <c:v>7545.3725152799998</c:v>
                </c:pt>
                <c:pt idx="21">
                  <c:v>8284.8160336799992</c:v>
                </c:pt>
                <c:pt idx="22">
                  <c:v>4332.3026387999998</c:v>
                </c:pt>
                <c:pt idx="23">
                  <c:v>4822.3553275200002</c:v>
                </c:pt>
                <c:pt idx="24">
                  <c:v>5628.8016475200002</c:v>
                </c:pt>
                <c:pt idx="25">
                  <c:v>6444.6803524799998</c:v>
                </c:pt>
                <c:pt idx="26">
                  <c:v>0</c:v>
                </c:pt>
                <c:pt idx="27">
                  <c:v>0</c:v>
                </c:pt>
                <c:pt idx="28">
                  <c:v>0</c:v>
                </c:pt>
              </c:numCache>
            </c:numRef>
          </c:val>
          <c:extLst>
            <c:ext xmlns:c16="http://schemas.microsoft.com/office/drawing/2014/chart" uri="{C3380CC4-5D6E-409C-BE32-E72D297353CC}">
              <c16:uniqueId val="{00000003-49A8-454E-9AB6-FD51F849199C}"/>
            </c:ext>
          </c:extLst>
        </c:ser>
        <c:ser>
          <c:idx val="4"/>
          <c:order val="5"/>
          <c:tx>
            <c:strRef>
              <c:f>'Compliance Data'!$P$2</c:f>
              <c:strCache>
                <c:ptCount val="1"/>
                <c:pt idx="0">
                  <c:v>RNG Tranche 2</c:v>
                </c:pt>
              </c:strCache>
            </c:strRef>
          </c:tx>
          <c:spPr>
            <a:solidFill>
              <a:schemeClr val="accent6">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Data'!$P$4:$P$32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4-49A8-454E-9AB6-FD51F849199C}"/>
            </c:ext>
          </c:extLst>
        </c:ser>
        <c:ser>
          <c:idx val="5"/>
          <c:order val="6"/>
          <c:tx>
            <c:strRef>
              <c:f>'Compliance Data'!$U$2</c:f>
              <c:strCache>
                <c:ptCount val="1"/>
                <c:pt idx="0">
                  <c:v>Hydrogen</c:v>
                </c:pt>
              </c:strCache>
            </c:strRef>
          </c:tx>
          <c:spPr>
            <a:solidFill>
              <a:srgbClr val="008AB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Data'!$U$4:$U$32</c:f>
              <c:numCache>
                <c:formatCode>_(* #,##0_);_(* \(#,##0\);_(* "-"??_);_(@_)</c:formatCode>
                <c:ptCount val="29"/>
                <c:pt idx="0">
                  <c:v>0</c:v>
                </c:pt>
                <c:pt idx="1">
                  <c:v>0</c:v>
                </c:pt>
                <c:pt idx="2">
                  <c:v>0</c:v>
                </c:pt>
                <c:pt idx="3">
                  <c:v>0</c:v>
                </c:pt>
                <c:pt idx="4">
                  <c:v>0</c:v>
                </c:pt>
                <c:pt idx="5">
                  <c:v>0</c:v>
                </c:pt>
                <c:pt idx="6">
                  <c:v>0</c:v>
                </c:pt>
                <c:pt idx="7">
                  <c:v>0</c:v>
                </c:pt>
                <c:pt idx="8">
                  <c:v>0</c:v>
                </c:pt>
                <c:pt idx="9">
                  <c:v>384.53982239999999</c:v>
                </c:pt>
                <c:pt idx="10">
                  <c:v>782.8208568</c:v>
                </c:pt>
                <c:pt idx="11">
                  <c:v>1074.2008691999999</c:v>
                </c:pt>
                <c:pt idx="12">
                  <c:v>1374.1959168000001</c:v>
                </c:pt>
                <c:pt idx="13">
                  <c:v>1648.5997632000001</c:v>
                </c:pt>
                <c:pt idx="14">
                  <c:v>4027.8193127999998</c:v>
                </c:pt>
                <c:pt idx="15">
                  <c:v>4016.8143420000001</c:v>
                </c:pt>
                <c:pt idx="16">
                  <c:v>7573.3442076000001</c:v>
                </c:pt>
                <c:pt idx="17">
                  <c:v>7573.3442076000001</c:v>
                </c:pt>
                <c:pt idx="18">
                  <c:v>9160.6221691200008</c:v>
                </c:pt>
                <c:pt idx="19">
                  <c:v>9135.5931467999999</c:v>
                </c:pt>
                <c:pt idx="20">
                  <c:v>9135.5931467999999</c:v>
                </c:pt>
                <c:pt idx="21">
                  <c:v>9135.5931467999999</c:v>
                </c:pt>
                <c:pt idx="22">
                  <c:v>9160.6221691200008</c:v>
                </c:pt>
                <c:pt idx="23">
                  <c:v>9135.5931467999999</c:v>
                </c:pt>
                <c:pt idx="24">
                  <c:v>9135.5931467999999</c:v>
                </c:pt>
                <c:pt idx="25">
                  <c:v>9135.5931467999999</c:v>
                </c:pt>
                <c:pt idx="26">
                  <c:v>9160.6221691200008</c:v>
                </c:pt>
                <c:pt idx="27">
                  <c:v>9135.5931467999999</c:v>
                </c:pt>
                <c:pt idx="28">
                  <c:v>9135.5931467999999</c:v>
                </c:pt>
              </c:numCache>
            </c:numRef>
          </c:val>
          <c:extLst>
            <c:ext xmlns:c16="http://schemas.microsoft.com/office/drawing/2014/chart" uri="{C3380CC4-5D6E-409C-BE32-E72D297353CC}">
              <c16:uniqueId val="{00000005-49A8-454E-9AB6-FD51F849199C}"/>
            </c:ext>
          </c:extLst>
        </c:ser>
        <c:ser>
          <c:idx val="6"/>
          <c:order val="7"/>
          <c:tx>
            <c:strRef>
              <c:f>'Compliance Data'!$Z$2</c:f>
              <c:strCache>
                <c:ptCount val="1"/>
                <c:pt idx="0">
                  <c:v>Synthetic Methane</c:v>
                </c:pt>
              </c:strCache>
            </c:strRef>
          </c:tx>
          <c:spPr>
            <a:solidFill>
              <a:srgbClr val="00548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Data'!$Z$4:$Z$32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1852.8913728</c:v>
                </c:pt>
                <c:pt idx="20">
                  <c:v>1914.6270348</c:v>
                </c:pt>
                <c:pt idx="21">
                  <c:v>1914.6270348</c:v>
                </c:pt>
                <c:pt idx="22">
                  <c:v>6955.6848004800004</c:v>
                </c:pt>
                <c:pt idx="23">
                  <c:v>6936.6801972000003</c:v>
                </c:pt>
                <c:pt idx="24">
                  <c:v>6936.6801972000003</c:v>
                </c:pt>
                <c:pt idx="25">
                  <c:v>6936.6801972000003</c:v>
                </c:pt>
                <c:pt idx="26">
                  <c:v>14484.260939039999</c:v>
                </c:pt>
                <c:pt idx="27">
                  <c:v>15056.821414800001</c:v>
                </c:pt>
                <c:pt idx="28">
                  <c:v>15910.4667708</c:v>
                </c:pt>
              </c:numCache>
            </c:numRef>
          </c:val>
          <c:extLst>
            <c:ext xmlns:c16="http://schemas.microsoft.com/office/drawing/2014/chart" uri="{C3380CC4-5D6E-409C-BE32-E72D297353CC}">
              <c16:uniqueId val="{00000006-49A8-454E-9AB6-FD51F849199C}"/>
            </c:ext>
          </c:extLst>
        </c:ser>
        <c:ser>
          <c:idx val="8"/>
          <c:order val="8"/>
          <c:tx>
            <c:strRef>
              <c:f>'Compliance Data'!$AK$2</c:f>
              <c:strCache>
                <c:ptCount val="1"/>
                <c:pt idx="0">
                  <c:v>Residential Reduction</c:v>
                </c:pt>
              </c:strCache>
            </c:strRef>
          </c:tx>
          <c:spPr>
            <a:solidFill>
              <a:schemeClr val="accent2">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Data'!$AK$4:$AK$32</c:f>
              <c:numCache>
                <c:formatCode>0</c:formatCode>
                <c:ptCount val="29"/>
                <c:pt idx="0">
                  <c:v>-58.214662500000003</c:v>
                </c:pt>
                <c:pt idx="1">
                  <c:v>-203.78678593750001</c:v>
                </c:pt>
                <c:pt idx="2">
                  <c:v>-392.7537375</c:v>
                </c:pt>
                <c:pt idx="3">
                  <c:v>-36.218171875000003</c:v>
                </c:pt>
                <c:pt idx="4">
                  <c:v>950.05655312500005</c:v>
                </c:pt>
                <c:pt idx="5">
                  <c:v>1928.8071078125001</c:v>
                </c:pt>
                <c:pt idx="6">
                  <c:v>2902.3763640625002</c:v>
                </c:pt>
                <c:pt idx="7">
                  <c:v>3826.3998500000002</c:v>
                </c:pt>
                <c:pt idx="8">
                  <c:v>4754.3934109375004</c:v>
                </c:pt>
                <c:pt idx="9">
                  <c:v>5670.4052859375006</c:v>
                </c:pt>
                <c:pt idx="10">
                  <c:v>6614.8157812500003</c:v>
                </c:pt>
                <c:pt idx="11">
                  <c:v>7452.2802281250006</c:v>
                </c:pt>
                <c:pt idx="12">
                  <c:v>8290.8851156250003</c:v>
                </c:pt>
                <c:pt idx="13">
                  <c:v>9111.7673062499998</c:v>
                </c:pt>
                <c:pt idx="14">
                  <c:v>9978.9099304687497</c:v>
                </c:pt>
                <c:pt idx="15">
                  <c:v>10709.7358859375</c:v>
                </c:pt>
                <c:pt idx="16">
                  <c:v>11480.214889062501</c:v>
                </c:pt>
                <c:pt idx="17">
                  <c:v>12230.679894531251</c:v>
                </c:pt>
                <c:pt idx="18">
                  <c:v>13042.31018359375</c:v>
                </c:pt>
                <c:pt idx="19">
                  <c:v>13686.928525000001</c:v>
                </c:pt>
                <c:pt idx="20">
                  <c:v>14401.46468203125</c:v>
                </c:pt>
                <c:pt idx="21">
                  <c:v>15107.5089390625</c:v>
                </c:pt>
                <c:pt idx="22">
                  <c:v>15902.79281640625</c:v>
                </c:pt>
                <c:pt idx="23">
                  <c:v>16495.184858593751</c:v>
                </c:pt>
                <c:pt idx="24">
                  <c:v>17173.425497656252</c:v>
                </c:pt>
                <c:pt idx="25">
                  <c:v>17840.64122265625</c:v>
                </c:pt>
                <c:pt idx="26">
                  <c:v>18618.9616828125</c:v>
                </c:pt>
                <c:pt idx="27">
                  <c:v>19169.34313125</c:v>
                </c:pt>
                <c:pt idx="28">
                  <c:v>19819.654985937501</c:v>
                </c:pt>
              </c:numCache>
            </c:numRef>
          </c:val>
          <c:extLst>
            <c:ext xmlns:c16="http://schemas.microsoft.com/office/drawing/2014/chart" uri="{C3380CC4-5D6E-409C-BE32-E72D297353CC}">
              <c16:uniqueId val="{00000007-49A8-454E-9AB6-FD51F849199C}"/>
            </c:ext>
          </c:extLst>
        </c:ser>
        <c:ser>
          <c:idx val="9"/>
          <c:order val="9"/>
          <c:tx>
            <c:strRef>
              <c:f>'Compliance Data'!$AL$2</c:f>
              <c:strCache>
                <c:ptCount val="1"/>
                <c:pt idx="0">
                  <c:v>Commercial Reduction</c:v>
                </c:pt>
              </c:strCache>
            </c:strRef>
          </c:tx>
          <c:spPr>
            <a:solidFill>
              <a:schemeClr val="accent2">
                <a:lumMod val="60000"/>
                <a:lumOff val="4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Data'!$AL$4:$AL$32</c:f>
              <c:numCache>
                <c:formatCode>0</c:formatCode>
                <c:ptCount val="29"/>
                <c:pt idx="0">
                  <c:v>0</c:v>
                </c:pt>
                <c:pt idx="1">
                  <c:v>0</c:v>
                </c:pt>
                <c:pt idx="2">
                  <c:v>0</c:v>
                </c:pt>
                <c:pt idx="3">
                  <c:v>320.30963437499997</c:v>
                </c:pt>
                <c:pt idx="4">
                  <c:v>1007.997828125</c:v>
                </c:pt>
                <c:pt idx="5">
                  <c:v>1698.7415859375001</c:v>
                </c:pt>
                <c:pt idx="6">
                  <c:v>2374.8472671875002</c:v>
                </c:pt>
                <c:pt idx="7">
                  <c:v>3001.9030195312498</c:v>
                </c:pt>
                <c:pt idx="8">
                  <c:v>3627.88509140625</c:v>
                </c:pt>
                <c:pt idx="9">
                  <c:v>4249.4198679687497</c:v>
                </c:pt>
                <c:pt idx="10">
                  <c:v>4887.7591328125</c:v>
                </c:pt>
                <c:pt idx="11">
                  <c:v>5458.4989390624996</c:v>
                </c:pt>
                <c:pt idx="12">
                  <c:v>6039.7461031250004</c:v>
                </c:pt>
                <c:pt idx="13">
                  <c:v>6614.4385976562498</c:v>
                </c:pt>
                <c:pt idx="14">
                  <c:v>7222.5907429687504</c:v>
                </c:pt>
                <c:pt idx="15">
                  <c:v>7741.3821289062498</c:v>
                </c:pt>
                <c:pt idx="16">
                  <c:v>8280.8878695312505</c:v>
                </c:pt>
                <c:pt idx="17">
                  <c:v>8803.1896640625</c:v>
                </c:pt>
                <c:pt idx="18">
                  <c:v>9366.4861132812493</c:v>
                </c:pt>
                <c:pt idx="19">
                  <c:v>9827.2233429687494</c:v>
                </c:pt>
                <c:pt idx="20">
                  <c:v>10335.898123437501</c:v>
                </c:pt>
                <c:pt idx="21">
                  <c:v>10843.086297656249</c:v>
                </c:pt>
                <c:pt idx="22">
                  <c:v>11413.145107031251</c:v>
                </c:pt>
                <c:pt idx="23">
                  <c:v>11857.857831249999</c:v>
                </c:pt>
                <c:pt idx="24">
                  <c:v>12361.0332984375</c:v>
                </c:pt>
                <c:pt idx="25">
                  <c:v>12861.794131250001</c:v>
                </c:pt>
                <c:pt idx="26">
                  <c:v>13433.80324921875</c:v>
                </c:pt>
                <c:pt idx="27">
                  <c:v>13855.570307812501</c:v>
                </c:pt>
                <c:pt idx="28">
                  <c:v>14346.737046875</c:v>
                </c:pt>
              </c:numCache>
            </c:numRef>
          </c:val>
          <c:extLst>
            <c:ext xmlns:c16="http://schemas.microsoft.com/office/drawing/2014/chart" uri="{C3380CC4-5D6E-409C-BE32-E72D297353CC}">
              <c16:uniqueId val="{00000008-49A8-454E-9AB6-FD51F849199C}"/>
            </c:ext>
          </c:extLst>
        </c:ser>
        <c:ser>
          <c:idx val="10"/>
          <c:order val="10"/>
          <c:tx>
            <c:strRef>
              <c:f>'Compliance Data'!$AM$2</c:f>
              <c:strCache>
                <c:ptCount val="1"/>
                <c:pt idx="0">
                  <c:v>Ind-Com Sales Reduction</c:v>
                </c:pt>
              </c:strCache>
            </c:strRef>
          </c:tx>
          <c:spPr>
            <a:solidFill>
              <a:schemeClr val="accent2">
                <a:lumMod val="20000"/>
                <a:lumOff val="8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Data'!$AM$4:$AM$32</c:f>
              <c:numCache>
                <c:formatCode>0.0</c:formatCode>
                <c:ptCount val="29"/>
                <c:pt idx="0">
                  <c:v>0</c:v>
                </c:pt>
                <c:pt idx="1">
                  <c:v>343.81080937500002</c:v>
                </c:pt>
                <c:pt idx="2">
                  <c:v>687.12979843749997</c:v>
                </c:pt>
                <c:pt idx="3">
                  <c:v>1014.8105828125</c:v>
                </c:pt>
                <c:pt idx="4">
                  <c:v>1343.1092828124999</c:v>
                </c:pt>
                <c:pt idx="5">
                  <c:v>1668.00635625</c:v>
                </c:pt>
                <c:pt idx="6">
                  <c:v>2005.8102093750001</c:v>
                </c:pt>
                <c:pt idx="7">
                  <c:v>2313.4986656249998</c:v>
                </c:pt>
                <c:pt idx="8">
                  <c:v>2639.5976703125002</c:v>
                </c:pt>
                <c:pt idx="9">
                  <c:v>2968.38565625</c:v>
                </c:pt>
                <c:pt idx="10">
                  <c:v>3326.6507437499999</c:v>
                </c:pt>
                <c:pt idx="11">
                  <c:v>3638.4859765625001</c:v>
                </c:pt>
                <c:pt idx="12">
                  <c:v>3979.610878125</c:v>
                </c:pt>
                <c:pt idx="13">
                  <c:v>4324.5376609374998</c:v>
                </c:pt>
                <c:pt idx="14">
                  <c:v>4710.3065500000002</c:v>
                </c:pt>
                <c:pt idx="15">
                  <c:v>5027.9886593749998</c:v>
                </c:pt>
                <c:pt idx="16">
                  <c:v>5384.0905578125003</c:v>
                </c:pt>
                <c:pt idx="17">
                  <c:v>5742.984565625</c:v>
                </c:pt>
                <c:pt idx="18">
                  <c:v>6151.9192546875001</c:v>
                </c:pt>
                <c:pt idx="19">
                  <c:v>6471.3753671875002</c:v>
                </c:pt>
                <c:pt idx="20">
                  <c:v>6842.3318312499996</c:v>
                </c:pt>
                <c:pt idx="21">
                  <c:v>7217.6087296875003</c:v>
                </c:pt>
                <c:pt idx="22">
                  <c:v>7654.2968828125004</c:v>
                </c:pt>
                <c:pt idx="23">
                  <c:v>7978.4611453124999</c:v>
                </c:pt>
                <c:pt idx="24">
                  <c:v>8364.1048874999997</c:v>
                </c:pt>
                <c:pt idx="25">
                  <c:v>8753.2621101562509</c:v>
                </c:pt>
                <c:pt idx="26">
                  <c:v>9215.7871718749993</c:v>
                </c:pt>
                <c:pt idx="27">
                  <c:v>9542.2153617187505</c:v>
                </c:pt>
                <c:pt idx="28" formatCode="0">
                  <c:v>9942.0560921875003</c:v>
                </c:pt>
              </c:numCache>
            </c:numRef>
          </c:val>
          <c:extLst>
            <c:ext xmlns:c16="http://schemas.microsoft.com/office/drawing/2014/chart" uri="{C3380CC4-5D6E-409C-BE32-E72D297353CC}">
              <c16:uniqueId val="{00000009-49A8-454E-9AB6-FD51F849199C}"/>
            </c:ext>
          </c:extLst>
        </c:ser>
        <c:ser>
          <c:idx val="11"/>
          <c:order val="11"/>
          <c:tx>
            <c:strRef>
              <c:f>'Compliance Data'!$AN$2</c:f>
              <c:strCache>
                <c:ptCount val="1"/>
                <c:pt idx="0">
                  <c:v>Transport Reduction</c:v>
                </c:pt>
              </c:strCache>
            </c:strRef>
          </c:tx>
          <c:spPr>
            <a:solidFill>
              <a:schemeClr val="accent2">
                <a:lumMod val="5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Data'!$AN$4:$AN$32</c:f>
              <c:numCache>
                <c:formatCode>0</c:formatCode>
                <c:ptCount val="29"/>
                <c:pt idx="0">
                  <c:v>0</c:v>
                </c:pt>
                <c:pt idx="1">
                  <c:v>772.05213749999996</c:v>
                </c:pt>
                <c:pt idx="2">
                  <c:v>1542.00335625</c:v>
                </c:pt>
                <c:pt idx="3">
                  <c:v>2427.5038875</c:v>
                </c:pt>
                <c:pt idx="4">
                  <c:v>3293.0011562499999</c:v>
                </c:pt>
                <c:pt idx="5">
                  <c:v>4135.591375</c:v>
                </c:pt>
                <c:pt idx="6">
                  <c:v>4993.6419562499996</c:v>
                </c:pt>
                <c:pt idx="7">
                  <c:v>5780.2292187499997</c:v>
                </c:pt>
                <c:pt idx="8">
                  <c:v>6592.2957312500002</c:v>
                </c:pt>
                <c:pt idx="9">
                  <c:v>7392.6167875000001</c:v>
                </c:pt>
                <c:pt idx="10">
                  <c:v>8225.0278249999992</c:v>
                </c:pt>
                <c:pt idx="11">
                  <c:v>8935.5099375000009</c:v>
                </c:pt>
                <c:pt idx="12">
                  <c:v>9675.0120437500009</c:v>
                </c:pt>
                <c:pt idx="13">
                  <c:v>10392.71380625</c:v>
                </c:pt>
                <c:pt idx="14">
                  <c:v>11148.822893750001</c:v>
                </c:pt>
                <c:pt idx="15">
                  <c:v>11742.477440625</c:v>
                </c:pt>
                <c:pt idx="16">
                  <c:v>12387.421478124999</c:v>
                </c:pt>
                <c:pt idx="17">
                  <c:v>13019.573946875</c:v>
                </c:pt>
                <c:pt idx="18">
                  <c:v>13718.9389625</c:v>
                </c:pt>
                <c:pt idx="19">
                  <c:v>14234.28435625</c:v>
                </c:pt>
                <c:pt idx="20">
                  <c:v>14826.621628125</c:v>
                </c:pt>
                <c:pt idx="21">
                  <c:v>15412.21583125</c:v>
                </c:pt>
                <c:pt idx="22">
                  <c:v>16084.766799999999</c:v>
                </c:pt>
                <c:pt idx="23">
                  <c:v>16530.051715624999</c:v>
                </c:pt>
                <c:pt idx="24">
                  <c:v>17070.965274999999</c:v>
                </c:pt>
                <c:pt idx="25">
                  <c:v>17607.531212499998</c:v>
                </c:pt>
                <c:pt idx="26">
                  <c:v>18248.396828125002</c:v>
                </c:pt>
                <c:pt idx="27">
                  <c:v>18651.944234375002</c:v>
                </c:pt>
                <c:pt idx="28">
                  <c:v>19164.775693750002</c:v>
                </c:pt>
              </c:numCache>
            </c:numRef>
          </c:val>
          <c:extLst>
            <c:ext xmlns:c16="http://schemas.microsoft.com/office/drawing/2014/chart" uri="{C3380CC4-5D6E-409C-BE32-E72D297353CC}">
              <c16:uniqueId val="{0000000A-49A8-454E-9AB6-FD51F849199C}"/>
            </c:ext>
          </c:extLst>
        </c:ser>
        <c:dLbls>
          <c:showLegendKey val="0"/>
          <c:showVal val="0"/>
          <c:showCatName val="0"/>
          <c:showSerName val="0"/>
          <c:showPercent val="0"/>
          <c:showBubbleSize val="0"/>
        </c:dLbls>
        <c:axId val="1449665456"/>
        <c:axId val="1449672112"/>
      </c:areaChart>
      <c:lineChart>
        <c:grouping val="standard"/>
        <c:varyColors val="0"/>
        <c:ser>
          <c:idx val="0"/>
          <c:order val="0"/>
          <c:tx>
            <c:strRef>
              <c:f>'Compliance Data'!$AP$2</c:f>
              <c:strCache>
                <c:ptCount val="1"/>
                <c:pt idx="0">
                  <c:v>Demand</c:v>
                </c:pt>
              </c:strCache>
            </c:strRef>
          </c:tx>
          <c:spPr>
            <a:ln w="88900" cap="sq">
              <a:solidFill>
                <a:schemeClr val="accent2"/>
              </a:solidFill>
              <a:prstDash val="sysDot"/>
              <a:bevel/>
            </a:ln>
            <a:effectLst/>
          </c:spPr>
          <c:marker>
            <c:symbol val="none"/>
          </c:marke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Data'!$AP$4:$AP$32</c:f>
              <c:numCache>
                <c:formatCode>#,##0</c:formatCode>
                <c:ptCount val="29"/>
                <c:pt idx="0">
                  <c:v>108191.91800327999</c:v>
                </c:pt>
                <c:pt idx="1">
                  <c:v>107908.03500336001</c:v>
                </c:pt>
                <c:pt idx="2">
                  <c:v>107620.62300816001</c:v>
                </c:pt>
                <c:pt idx="3">
                  <c:v>105051.28400183999</c:v>
                </c:pt>
                <c:pt idx="4">
                  <c:v>102288.81500112001</c:v>
                </c:pt>
                <c:pt idx="5">
                  <c:v>99556.317002639989</c:v>
                </c:pt>
                <c:pt idx="6">
                  <c:v>97468.399999679998</c:v>
                </c:pt>
                <c:pt idx="7">
                  <c:v>94202.552993279998</c:v>
                </c:pt>
                <c:pt idx="8">
                  <c:v>91610.213007120008</c:v>
                </c:pt>
                <c:pt idx="9">
                  <c:v>89035.672009679998</c:v>
                </c:pt>
                <c:pt idx="10">
                  <c:v>87069.771000720008</c:v>
                </c:pt>
                <c:pt idx="11">
                  <c:v>84032.132005680003</c:v>
                </c:pt>
                <c:pt idx="12">
                  <c:v>81570.430996559997</c:v>
                </c:pt>
                <c:pt idx="13">
                  <c:v>79156.486007280007</c:v>
                </c:pt>
                <c:pt idx="14">
                  <c:v>77268.7370028</c:v>
                </c:pt>
                <c:pt idx="15">
                  <c:v>74433.410997600004</c:v>
                </c:pt>
                <c:pt idx="16">
                  <c:v>72112.564988879996</c:v>
                </c:pt>
                <c:pt idx="17">
                  <c:v>69810.782008320006</c:v>
                </c:pt>
                <c:pt idx="18">
                  <c:v>67961.401000080004</c:v>
                </c:pt>
                <c:pt idx="19">
                  <c:v>65276.495006160003</c:v>
                </c:pt>
                <c:pt idx="20">
                  <c:v>63033.874002960001</c:v>
                </c:pt>
                <c:pt idx="21">
                  <c:v>60797.664992880003</c:v>
                </c:pt>
                <c:pt idx="22">
                  <c:v>58960.895998560001</c:v>
                </c:pt>
                <c:pt idx="23">
                  <c:v>56405.7779916</c:v>
                </c:pt>
                <c:pt idx="24">
                  <c:v>54236.426999520001</c:v>
                </c:pt>
                <c:pt idx="25">
                  <c:v>52076.488006079999</c:v>
                </c:pt>
                <c:pt idx="26">
                  <c:v>50254.043997360001</c:v>
                </c:pt>
                <c:pt idx="27">
                  <c:v>47800.218995520001</c:v>
                </c:pt>
                <c:pt idx="28">
                  <c:v>45677.965012560002</c:v>
                </c:pt>
              </c:numCache>
            </c:numRef>
          </c:val>
          <c:smooth val="0"/>
          <c:extLst>
            <c:ext xmlns:c16="http://schemas.microsoft.com/office/drawing/2014/chart" uri="{C3380CC4-5D6E-409C-BE32-E72D297353CC}">
              <c16:uniqueId val="{0000000B-49A8-454E-9AB6-FD51F849199C}"/>
            </c:ext>
          </c:extLst>
        </c:ser>
        <c:dLbls>
          <c:showLegendKey val="0"/>
          <c:showVal val="0"/>
          <c:showCatName val="0"/>
          <c:showSerName val="0"/>
          <c:showPercent val="0"/>
          <c:showBubbleSize val="0"/>
        </c:dLbls>
        <c:marker val="1"/>
        <c:smooth val="0"/>
        <c:axId val="1423163552"/>
        <c:axId val="1423164384"/>
      </c:lineChart>
      <c:catAx>
        <c:axId val="1423163552"/>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423164384"/>
        <c:crosses val="autoZero"/>
        <c:auto val="1"/>
        <c:lblAlgn val="ctr"/>
        <c:lblOffset val="100"/>
        <c:noMultiLvlLbl val="0"/>
      </c:catAx>
      <c:valAx>
        <c:axId val="1423164384"/>
        <c:scaling>
          <c:orientation val="minMax"/>
          <c:max val="12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BBtu / year</a:t>
                </a:r>
              </a:p>
            </c:rich>
          </c:tx>
          <c:layout>
            <c:manualLayout>
              <c:xMode val="edge"/>
              <c:yMode val="edge"/>
              <c:x val="1.650714965919614E-3"/>
              <c:y val="0.2975809315338582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23163552"/>
        <c:crosses val="autoZero"/>
        <c:crossBetween val="midCat"/>
      </c:valAx>
      <c:valAx>
        <c:axId val="1449672112"/>
        <c:scaling>
          <c:orientation val="minMax"/>
        </c:scaling>
        <c:delete val="1"/>
        <c:axPos val="r"/>
        <c:numFmt formatCode="_(* #,##0_);_(* \(#,##0\);_(* &quot;-&quot;??_);_(@_)" sourceLinked="1"/>
        <c:majorTickMark val="out"/>
        <c:minorTickMark val="none"/>
        <c:tickLblPos val="nextTo"/>
        <c:crossAx val="1449665456"/>
        <c:crosses val="max"/>
        <c:crossBetween val="between"/>
      </c:valAx>
      <c:catAx>
        <c:axId val="1449665456"/>
        <c:scaling>
          <c:orientation val="minMax"/>
        </c:scaling>
        <c:delete val="1"/>
        <c:axPos val="b"/>
        <c:numFmt formatCode="General" sourceLinked="1"/>
        <c:majorTickMark val="out"/>
        <c:minorTickMark val="none"/>
        <c:tickLblPos val="nextTo"/>
        <c:crossAx val="1449672112"/>
        <c:crosses val="autoZero"/>
        <c:auto val="1"/>
        <c:lblAlgn val="ctr"/>
        <c:lblOffset val="100"/>
        <c:noMultiLvlLbl val="0"/>
      </c:catAx>
      <c:spPr>
        <a:noFill/>
        <a:ln>
          <a:solidFill>
            <a:schemeClr val="bg2"/>
          </a:solidFill>
        </a:ln>
        <a:effectLst/>
      </c:spPr>
    </c:plotArea>
    <c:legend>
      <c:legendPos val="r"/>
      <c:layout>
        <c:manualLayout>
          <c:xMode val="edge"/>
          <c:yMode val="edge"/>
          <c:x val="0.73473119920065366"/>
          <c:y val="4.9207874659936986E-2"/>
          <c:w val="0.2552678533049374"/>
          <c:h val="0.87887303609279899"/>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Washington</a:t>
            </a:r>
            <a:r>
              <a:rPr lang="en-US" b="1" baseline="0">
                <a:solidFill>
                  <a:schemeClr val="bg1"/>
                </a:solidFill>
              </a:rPr>
              <a:t> Compliance Resources</a:t>
            </a:r>
            <a:endParaRPr lang="en-US" b="1">
              <a:solidFill>
                <a:schemeClr val="bg1"/>
              </a:solidFill>
            </a:endParaRPr>
          </a:p>
        </c:rich>
      </c:tx>
      <c:layout>
        <c:manualLayout>
          <c:xMode val="edge"/>
          <c:yMode val="edge"/>
          <c:x val="9.2846083877591648E-2"/>
          <c:y val="0"/>
        </c:manualLayout>
      </c:layout>
      <c:overlay val="0"/>
      <c:spPr>
        <a:solidFill>
          <a:srgbClr val="002060"/>
        </a:solidFill>
        <a:ln w="38100">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9.9360392450943635E-2"/>
          <c:y val="0.1042581656459609"/>
          <c:w val="0.62711051743532054"/>
          <c:h val="0.73846629013516341"/>
        </c:manualLayout>
      </c:layout>
      <c:areaChart>
        <c:grouping val="stacked"/>
        <c:varyColors val="0"/>
        <c:ser>
          <c:idx val="1"/>
          <c:order val="1"/>
          <c:tx>
            <c:strRef>
              <c:f>'Compliance Data'!$DD$2</c:f>
              <c:strCache>
                <c:ptCount val="1"/>
                <c:pt idx="0">
                  <c:v>Assigned Allowances</c:v>
                </c:pt>
              </c:strCache>
            </c:strRef>
          </c:tx>
          <c:spPr>
            <a:solidFill>
              <a:srgbClr val="E7E6FA"/>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Data'!$DD$4:$DD$32</c:f>
              <c:numCache>
                <c:formatCode>_(* #,##0_);_(* \(#,##0\);_(* "-"??_);_(@_)</c:formatCode>
                <c:ptCount val="29"/>
                <c:pt idx="0">
                  <c:v>10076.09367312</c:v>
                </c:pt>
                <c:pt idx="1">
                  <c:v>8685.8618846399986</c:v>
                </c:pt>
                <c:pt idx="2">
                  <c:v>8076.1397558399985</c:v>
                </c:pt>
                <c:pt idx="3">
                  <c:v>7509.6191013600019</c:v>
                </c:pt>
                <c:pt idx="4">
                  <c:v>6982.916790960001</c:v>
                </c:pt>
                <c:pt idx="5">
                  <c:v>6493.1357784000011</c:v>
                </c:pt>
                <c:pt idx="6">
                  <c:v>6037.5309669600001</c:v>
                </c:pt>
                <c:pt idx="7">
                  <c:v>5614.10932392</c:v>
                </c:pt>
                <c:pt idx="8">
                  <c:v>5220.2290439999988</c:v>
                </c:pt>
                <c:pt idx="9">
                  <c:v>5126.44839744</c:v>
                </c:pt>
                <c:pt idx="10">
                  <c:v>5034.2244751199996</c:v>
                </c:pt>
                <c:pt idx="11">
                  <c:v>4943.9164041599988</c:v>
                </c:pt>
                <c:pt idx="12">
                  <c:v>4855.1120200799987</c:v>
                </c:pt>
                <c:pt idx="13">
                  <c:v>4767.9094984799995</c:v>
                </c:pt>
                <c:pt idx="14">
                  <c:v>4682.1715044000002</c:v>
                </c:pt>
                <c:pt idx="15">
                  <c:v>4598.1895547999993</c:v>
                </c:pt>
                <c:pt idx="16">
                  <c:v>4515.6216571200002</c:v>
                </c:pt>
                <c:pt idx="17">
                  <c:v>4434.5526611999994</c:v>
                </c:pt>
                <c:pt idx="18">
                  <c:v>4354.8438811200003</c:v>
                </c:pt>
                <c:pt idx="19">
                  <c:v>4276.7624042400003</c:v>
                </c:pt>
                <c:pt idx="20">
                  <c:v>4200.0037372799998</c:v>
                </c:pt>
                <c:pt idx="21">
                  <c:v>4090.9158875999992</c:v>
                </c:pt>
                <c:pt idx="22">
                  <c:v>3984.5823667200002</c:v>
                </c:pt>
                <c:pt idx="23">
                  <c:v>3881.1867446399988</c:v>
                </c:pt>
                <c:pt idx="24">
                  <c:v>3780.4083328799993</c:v>
                </c:pt>
                <c:pt idx="25">
                  <c:v>3682.2594283199992</c:v>
                </c:pt>
                <c:pt idx="26">
                  <c:v>3566.9666090399996</c:v>
                </c:pt>
                <c:pt idx="27">
                  <c:v>3335.4515164799991</c:v>
                </c:pt>
                <c:pt idx="28">
                  <c:v>3133.3005170399997</c:v>
                </c:pt>
              </c:numCache>
            </c:numRef>
          </c:val>
          <c:extLst>
            <c:ext xmlns:c16="http://schemas.microsoft.com/office/drawing/2014/chart" uri="{C3380CC4-5D6E-409C-BE32-E72D297353CC}">
              <c16:uniqueId val="{00000000-654A-488A-B924-DF108D81FACC}"/>
            </c:ext>
          </c:extLst>
        </c:ser>
        <c:ser>
          <c:idx val="7"/>
          <c:order val="2"/>
          <c:tx>
            <c:strRef>
              <c:f>'Compliance Data'!$CV$2</c:f>
              <c:strCache>
                <c:ptCount val="1"/>
                <c:pt idx="0">
                  <c:v>Voluntary RNG</c:v>
                </c:pt>
              </c:strCache>
            </c:strRef>
          </c:tx>
          <c:spPr>
            <a:solidFill>
              <a:srgbClr val="7AC142"/>
            </a:solidFill>
            <a:ln w="25400">
              <a:noFill/>
            </a:ln>
            <a:effectLst/>
          </c:spPr>
          <c:val>
            <c:numRef>
              <c:f>'Compliance Data'!$CV$4:$CV$32</c:f>
              <c:numCache>
                <c:formatCode>_(* #,##0_);_(* \(#,##0\);_(* "-"??_);_(@_)</c:formatCode>
                <c:ptCount val="29"/>
                <c:pt idx="0">
                  <c:v>39.0641378412096</c:v>
                </c:pt>
                <c:pt idx="1">
                  <c:v>39.532748229979198</c:v>
                </c:pt>
                <c:pt idx="2">
                  <c:v>39.763808306913596</c:v>
                </c:pt>
                <c:pt idx="3">
                  <c:v>39.061446480000001</c:v>
                </c:pt>
                <c:pt idx="4">
                  <c:v>38.109362754556805</c:v>
                </c:pt>
                <c:pt idx="5">
                  <c:v>37.160329503628802</c:v>
                </c:pt>
                <c:pt idx="6">
                  <c:v>36.440643972398398</c:v>
                </c:pt>
                <c:pt idx="7">
                  <c:v>35.282130690844802</c:v>
                </c:pt>
                <c:pt idx="8">
                  <c:v>34.357107981167999</c:v>
                </c:pt>
                <c:pt idx="9">
                  <c:v>33.437161804838404</c:v>
                </c:pt>
                <c:pt idx="10">
                  <c:v>32.724238673044795</c:v>
                </c:pt>
                <c:pt idx="11">
                  <c:v>31.620905832398396</c:v>
                </c:pt>
                <c:pt idx="12">
                  <c:v>30.727578371011198</c:v>
                </c:pt>
                <c:pt idx="13">
                  <c:v>29.842941257841598</c:v>
                </c:pt>
                <c:pt idx="14">
                  <c:v>29.147016760646402</c:v>
                </c:pt>
                <c:pt idx="15">
                  <c:v>28.101068060385597</c:v>
                </c:pt>
                <c:pt idx="16">
                  <c:v>27.2425772023776</c:v>
                </c:pt>
                <c:pt idx="17">
                  <c:v>26.393449346913599</c:v>
                </c:pt>
                <c:pt idx="18">
                  <c:v>25.706071393127999</c:v>
                </c:pt>
                <c:pt idx="19">
                  <c:v>24.714649295683198</c:v>
                </c:pt>
                <c:pt idx="20">
                  <c:v>23.890688638790401</c:v>
                </c:pt>
                <c:pt idx="21">
                  <c:v>23.074397634859199</c:v>
                </c:pt>
                <c:pt idx="22">
                  <c:v>22.4033833927008</c:v>
                </c:pt>
                <c:pt idx="23">
                  <c:v>21.467863558915198</c:v>
                </c:pt>
                <c:pt idx="24">
                  <c:v>20.678384146089599</c:v>
                </c:pt>
                <c:pt idx="25">
                  <c:v>19.894056800083199</c:v>
                </c:pt>
                <c:pt idx="26">
                  <c:v>19.235531726308796</c:v>
                </c:pt>
                <c:pt idx="27">
                  <c:v>18.344687742158399</c:v>
                </c:pt>
                <c:pt idx="28">
                  <c:v>17.5805569642752</c:v>
                </c:pt>
              </c:numCache>
            </c:numRef>
          </c:val>
          <c:extLst>
            <c:ext xmlns:c16="http://schemas.microsoft.com/office/drawing/2014/chart" uri="{C3380CC4-5D6E-409C-BE32-E72D297353CC}">
              <c16:uniqueId val="{00000001-654A-488A-B924-DF108D81FACC}"/>
            </c:ext>
          </c:extLst>
        </c:ser>
        <c:ser>
          <c:idx val="3"/>
          <c:order val="3"/>
          <c:tx>
            <c:strRef>
              <c:f>'Compliance Data'!$BU$2</c:f>
              <c:strCache>
                <c:ptCount val="1"/>
                <c:pt idx="0">
                  <c:v>RNG Tranche 1</c:v>
                </c:pt>
              </c:strCache>
            </c:strRef>
          </c:tx>
          <c:spPr>
            <a:solidFill>
              <a:srgbClr val="C1D72E"/>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Data'!$BU$4:$BU$32</c:f>
              <c:numCache>
                <c:formatCode>_(* #,##0_);_(* \(#,##0\);_(* "-"??_);_(@_)</c:formatCode>
                <c:ptCount val="29"/>
                <c:pt idx="0">
                  <c:v>258.33432720000002</c:v>
                </c:pt>
                <c:pt idx="1">
                  <c:v>874.69721279999999</c:v>
                </c:pt>
                <c:pt idx="2">
                  <c:v>877.09364352</c:v>
                </c:pt>
                <c:pt idx="3">
                  <c:v>874.69721279999999</c:v>
                </c:pt>
                <c:pt idx="4">
                  <c:v>940.1958204</c:v>
                </c:pt>
                <c:pt idx="5">
                  <c:v>1001.8508028</c:v>
                </c:pt>
                <c:pt idx="6">
                  <c:v>1066.241448</c:v>
                </c:pt>
                <c:pt idx="7">
                  <c:v>1063.3282200000001</c:v>
                </c:pt>
                <c:pt idx="8">
                  <c:v>1063.3282200000001</c:v>
                </c:pt>
                <c:pt idx="9">
                  <c:v>1063.3282200000001</c:v>
                </c:pt>
                <c:pt idx="10">
                  <c:v>1066.241448</c:v>
                </c:pt>
                <c:pt idx="11">
                  <c:v>1063.3282200000001</c:v>
                </c:pt>
                <c:pt idx="12">
                  <c:v>1063.3282200000001</c:v>
                </c:pt>
                <c:pt idx="13">
                  <c:v>1063.3282200000001</c:v>
                </c:pt>
                <c:pt idx="14">
                  <c:v>1066.241448</c:v>
                </c:pt>
                <c:pt idx="15">
                  <c:v>1063.3282200000001</c:v>
                </c:pt>
                <c:pt idx="16">
                  <c:v>1063.3282200000001</c:v>
                </c:pt>
                <c:pt idx="17">
                  <c:v>1063.3282200000001</c:v>
                </c:pt>
                <c:pt idx="18">
                  <c:v>1066.241448</c:v>
                </c:pt>
                <c:pt idx="19">
                  <c:v>1063.3282200000001</c:v>
                </c:pt>
                <c:pt idx="20">
                  <c:v>1063.3282200000001</c:v>
                </c:pt>
                <c:pt idx="21">
                  <c:v>1063.3282200000001</c:v>
                </c:pt>
                <c:pt idx="22">
                  <c:v>1066.241448</c:v>
                </c:pt>
                <c:pt idx="23">
                  <c:v>1063.3282200000001</c:v>
                </c:pt>
                <c:pt idx="24">
                  <c:v>1063.3282200000001</c:v>
                </c:pt>
                <c:pt idx="25">
                  <c:v>1063.3282200000001</c:v>
                </c:pt>
                <c:pt idx="26">
                  <c:v>1066.241448</c:v>
                </c:pt>
                <c:pt idx="27">
                  <c:v>1063.3282200000001</c:v>
                </c:pt>
                <c:pt idx="28">
                  <c:v>1063.3282200000001</c:v>
                </c:pt>
              </c:numCache>
            </c:numRef>
          </c:val>
          <c:extLst>
            <c:ext xmlns:c16="http://schemas.microsoft.com/office/drawing/2014/chart" uri="{C3380CC4-5D6E-409C-BE32-E72D297353CC}">
              <c16:uniqueId val="{00000002-654A-488A-B924-DF108D81FACC}"/>
            </c:ext>
          </c:extLst>
        </c:ser>
        <c:ser>
          <c:idx val="2"/>
          <c:order val="4"/>
          <c:tx>
            <c:strRef>
              <c:f>'Compliance Data'!$BN$2</c:f>
              <c:strCache>
                <c:ptCount val="1"/>
                <c:pt idx="0">
                  <c:v>Purchased Allowances</c:v>
                </c:pt>
              </c:strCache>
            </c:strRef>
          </c:tx>
          <c:spPr>
            <a:solidFill>
              <a:schemeClr val="accent4">
                <a:lumMod val="40000"/>
                <a:lumOff val="60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Data'!$BN$4:$BN$32</c:f>
              <c:numCache>
                <c:formatCode>_(* #,##0_);_(* \(#,##0\);_(* "-"??_);_(@_)</c:formatCode>
                <c:ptCount val="29"/>
                <c:pt idx="0">
                  <c:v>0</c:v>
                </c:pt>
                <c:pt idx="1">
                  <c:v>0</c:v>
                </c:pt>
                <c:pt idx="2">
                  <c:v>0</c:v>
                </c:pt>
                <c:pt idx="3">
                  <c:v>1102.05355872</c:v>
                </c:pt>
                <c:pt idx="4">
                  <c:v>2158.7293872</c:v>
                </c:pt>
                <c:pt idx="5">
                  <c:v>62.134259759999999</c:v>
                </c:pt>
                <c:pt idx="6">
                  <c:v>2536.6095883200001</c:v>
                </c:pt>
                <c:pt idx="7">
                  <c:v>2606.0283194399999</c:v>
                </c:pt>
                <c:pt idx="8">
                  <c:v>2704.8629292000001</c:v>
                </c:pt>
                <c:pt idx="9">
                  <c:v>468.82192343999998</c:v>
                </c:pt>
                <c:pt idx="10">
                  <c:v>2361.6988214399998</c:v>
                </c:pt>
                <c:pt idx="11">
                  <c:v>2128.5148999200001</c:v>
                </c:pt>
                <c:pt idx="12">
                  <c:v>1945.19608296</c:v>
                </c:pt>
                <c:pt idx="13">
                  <c:v>0</c:v>
                </c:pt>
                <c:pt idx="14">
                  <c:v>1581.6762960000001</c:v>
                </c:pt>
                <c:pt idx="15">
                  <c:v>1420.96332192</c:v>
                </c:pt>
                <c:pt idx="16">
                  <c:v>1254.5556048000001</c:v>
                </c:pt>
                <c:pt idx="17">
                  <c:v>0</c:v>
                </c:pt>
                <c:pt idx="18">
                  <c:v>460.38552743999998</c:v>
                </c:pt>
                <c:pt idx="19">
                  <c:v>779.52485999999999</c:v>
                </c:pt>
                <c:pt idx="20">
                  <c:v>624.3545676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654A-488A-B924-DF108D81FACC}"/>
            </c:ext>
          </c:extLst>
        </c:ser>
        <c:ser>
          <c:idx val="8"/>
          <c:order val="5"/>
          <c:tx>
            <c:strRef>
              <c:f>'Compliance Data'!$BR$2</c:f>
              <c:strCache>
                <c:ptCount val="1"/>
                <c:pt idx="0">
                  <c:v>Offsets</c:v>
                </c:pt>
              </c:strCache>
            </c:strRef>
          </c:tx>
          <c:spPr>
            <a:solidFill>
              <a:srgbClr val="9E5ECE"/>
            </a:solidFill>
            <a:ln>
              <a:noFill/>
            </a:ln>
            <a:effectLst/>
          </c:spPr>
          <c:val>
            <c:numRef>
              <c:f>'Compliance Data'!$BR$4:$BR$32</c:f>
              <c:numCache>
                <c:formatCode>_(* #,##0_);_(* \(#,##0\);_(* "-"??_);_(@_)</c:formatCode>
                <c:ptCount val="29"/>
                <c:pt idx="0">
                  <c:v>0</c:v>
                </c:pt>
                <c:pt idx="1">
                  <c:v>897.83990519999998</c:v>
                </c:pt>
                <c:pt idx="2">
                  <c:v>1566.29260776</c:v>
                </c:pt>
                <c:pt idx="3">
                  <c:v>847.34612712000001</c:v>
                </c:pt>
                <c:pt idx="4">
                  <c:v>0</c:v>
                </c:pt>
                <c:pt idx="5">
                  <c:v>2273.65416</c:v>
                </c:pt>
                <c:pt idx="6">
                  <c:v>0</c:v>
                </c:pt>
                <c:pt idx="7">
                  <c:v>0</c:v>
                </c:pt>
                <c:pt idx="8">
                  <c:v>0</c:v>
                </c:pt>
                <c:pt idx="9">
                  <c:v>2039.83944</c:v>
                </c:pt>
                <c:pt idx="10">
                  <c:v>0</c:v>
                </c:pt>
                <c:pt idx="11">
                  <c:v>0</c:v>
                </c:pt>
                <c:pt idx="12">
                  <c:v>0</c:v>
                </c:pt>
                <c:pt idx="13">
                  <c:v>1766.12004744</c:v>
                </c:pt>
                <c:pt idx="14">
                  <c:v>48.699052559999998</c:v>
                </c:pt>
                <c:pt idx="15">
                  <c:v>0</c:v>
                </c:pt>
                <c:pt idx="16">
                  <c:v>0</c:v>
                </c:pt>
                <c:pt idx="17">
                  <c:v>1092.4705387199999</c:v>
                </c:pt>
                <c:pt idx="18">
                  <c:v>506.01928127999997</c:v>
                </c:pt>
                <c:pt idx="19">
                  <c:v>0</c:v>
                </c:pt>
                <c:pt idx="20">
                  <c:v>0</c:v>
                </c:pt>
                <c:pt idx="21">
                  <c:v>517.49241624000001</c:v>
                </c:pt>
                <c:pt idx="22">
                  <c:v>420.44023872000002</c:v>
                </c:pt>
                <c:pt idx="23">
                  <c:v>280.50176040000002</c:v>
                </c:pt>
                <c:pt idx="24">
                  <c:v>172.42318463999999</c:v>
                </c:pt>
                <c:pt idx="25">
                  <c:v>63.07808232</c:v>
                </c:pt>
                <c:pt idx="26">
                  <c:v>0</c:v>
                </c:pt>
                <c:pt idx="27">
                  <c:v>0</c:v>
                </c:pt>
                <c:pt idx="28">
                  <c:v>0</c:v>
                </c:pt>
              </c:numCache>
            </c:numRef>
          </c:val>
          <c:extLst>
            <c:ext xmlns:c16="http://schemas.microsoft.com/office/drawing/2014/chart" uri="{C3380CC4-5D6E-409C-BE32-E72D297353CC}">
              <c16:uniqueId val="{00000004-654A-488A-B924-DF108D81FACC}"/>
            </c:ext>
          </c:extLst>
        </c:ser>
        <c:ser>
          <c:idx val="4"/>
          <c:order val="6"/>
          <c:tx>
            <c:strRef>
              <c:f>'Compliance Data'!$BZ$2</c:f>
              <c:strCache>
                <c:ptCount val="1"/>
                <c:pt idx="0">
                  <c:v>RNG Tranche 2</c:v>
                </c:pt>
              </c:strCache>
            </c:strRef>
          </c:tx>
          <c:spPr>
            <a:solidFill>
              <a:schemeClr val="accent6">
                <a:lumMod val="75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Data'!$BZ$4:$BZ$32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5-654A-488A-B924-DF108D81FACC}"/>
            </c:ext>
          </c:extLst>
        </c:ser>
        <c:ser>
          <c:idx val="5"/>
          <c:order val="7"/>
          <c:tx>
            <c:strRef>
              <c:f>'Compliance Data'!$CE$2</c:f>
              <c:strCache>
                <c:ptCount val="1"/>
                <c:pt idx="0">
                  <c:v>Hydrogen</c:v>
                </c:pt>
              </c:strCache>
            </c:strRef>
          </c:tx>
          <c:spPr>
            <a:solidFill>
              <a:srgbClr val="008AB0"/>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Data'!$CE$4:$CE$32</c:f>
              <c:numCache>
                <c:formatCode>_(* #,##0_);_(* \(#,##0\);_(* "-"??_);_(@_)</c:formatCode>
                <c:ptCount val="29"/>
                <c:pt idx="0">
                  <c:v>0</c:v>
                </c:pt>
                <c:pt idx="1">
                  <c:v>0</c:v>
                </c:pt>
                <c:pt idx="2">
                  <c:v>0</c:v>
                </c:pt>
                <c:pt idx="3">
                  <c:v>0</c:v>
                </c:pt>
                <c:pt idx="4">
                  <c:v>0</c:v>
                </c:pt>
                <c:pt idx="5">
                  <c:v>0</c:v>
                </c:pt>
                <c:pt idx="6">
                  <c:v>0</c:v>
                </c:pt>
                <c:pt idx="7">
                  <c:v>50.431144799999998</c:v>
                </c:pt>
                <c:pt idx="8">
                  <c:v>100.7618124</c:v>
                </c:pt>
                <c:pt idx="9">
                  <c:v>147.3720204</c:v>
                </c:pt>
                <c:pt idx="10">
                  <c:v>195.0412536</c:v>
                </c:pt>
                <c:pt idx="11">
                  <c:v>229.5594792</c:v>
                </c:pt>
                <c:pt idx="12">
                  <c:v>265.352664</c:v>
                </c:pt>
                <c:pt idx="13">
                  <c:v>297.6002388</c:v>
                </c:pt>
                <c:pt idx="14">
                  <c:v>332.06269392000002</c:v>
                </c:pt>
                <c:pt idx="15">
                  <c:v>351.66389279999999</c:v>
                </c:pt>
                <c:pt idx="16">
                  <c:v>373.52552400000002</c:v>
                </c:pt>
                <c:pt idx="17">
                  <c:v>392.04258720000001</c:v>
                </c:pt>
                <c:pt idx="18">
                  <c:v>413.05784976000001</c:v>
                </c:pt>
                <c:pt idx="19">
                  <c:v>418.65152519999998</c:v>
                </c:pt>
                <c:pt idx="20">
                  <c:v>432.60147480000001</c:v>
                </c:pt>
                <c:pt idx="21">
                  <c:v>432.60147480000001</c:v>
                </c:pt>
                <c:pt idx="22">
                  <c:v>455.55694992000002</c:v>
                </c:pt>
                <c:pt idx="23">
                  <c:v>454.3122588</c:v>
                </c:pt>
                <c:pt idx="24">
                  <c:v>454.3122588</c:v>
                </c:pt>
                <c:pt idx="25">
                  <c:v>454.3122588</c:v>
                </c:pt>
                <c:pt idx="26">
                  <c:v>455.55694992000002</c:v>
                </c:pt>
                <c:pt idx="27">
                  <c:v>454.3122588</c:v>
                </c:pt>
                <c:pt idx="28">
                  <c:v>454.3122588</c:v>
                </c:pt>
              </c:numCache>
            </c:numRef>
          </c:val>
          <c:extLst>
            <c:ext xmlns:c16="http://schemas.microsoft.com/office/drawing/2014/chart" uri="{C3380CC4-5D6E-409C-BE32-E72D297353CC}">
              <c16:uniqueId val="{00000006-654A-488A-B924-DF108D81FACC}"/>
            </c:ext>
          </c:extLst>
        </c:ser>
        <c:ser>
          <c:idx val="6"/>
          <c:order val="8"/>
          <c:tx>
            <c:strRef>
              <c:f>'Compliance Data'!$CJ$2</c:f>
              <c:strCache>
                <c:ptCount val="1"/>
                <c:pt idx="0">
                  <c:v>Synthetic Methane</c:v>
                </c:pt>
              </c:strCache>
            </c:strRef>
          </c:tx>
          <c:spPr>
            <a:solidFill>
              <a:srgbClr val="005480"/>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Data'!$CJ$4:$CJ$32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7-654A-488A-B924-DF108D81FACC}"/>
            </c:ext>
          </c:extLst>
        </c:ser>
        <c:ser>
          <c:idx val="9"/>
          <c:order val="9"/>
          <c:tx>
            <c:strRef>
              <c:f>'Compliance Data'!$CW$2</c:f>
              <c:strCache>
                <c:ptCount val="1"/>
                <c:pt idx="0">
                  <c:v>Residential Reduction</c:v>
                </c:pt>
              </c:strCache>
            </c:strRef>
          </c:tx>
          <c:spPr>
            <a:solidFill>
              <a:schemeClr val="accent2">
                <a:lumMod val="75000"/>
              </a:schemeClr>
            </a:solidFill>
            <a:ln>
              <a:noFill/>
            </a:ln>
            <a:effectLst/>
          </c:spPr>
          <c:val>
            <c:numRef>
              <c:f>'Compliance Data'!$CW$4:$CW$32</c:f>
              <c:numCache>
                <c:formatCode>0</c:formatCode>
                <c:ptCount val="29"/>
                <c:pt idx="0">
                  <c:v>0</c:v>
                </c:pt>
                <c:pt idx="1">
                  <c:v>0</c:v>
                </c:pt>
                <c:pt idx="2">
                  <c:v>0</c:v>
                </c:pt>
                <c:pt idx="3">
                  <c:v>87.6319810546875</c:v>
                </c:pt>
                <c:pt idx="4">
                  <c:v>274.05262812500001</c:v>
                </c:pt>
                <c:pt idx="5">
                  <c:v>459.1754533203125</c:v>
                </c:pt>
                <c:pt idx="6">
                  <c:v>646.84530449218755</c:v>
                </c:pt>
                <c:pt idx="7">
                  <c:v>825.53023769531251</c:v>
                </c:pt>
                <c:pt idx="8">
                  <c:v>1006.699846484375</c:v>
                </c:pt>
                <c:pt idx="9">
                  <c:v>1186.5339365234377</c:v>
                </c:pt>
                <c:pt idx="10">
                  <c:v>1373.2356666015626</c:v>
                </c:pt>
                <c:pt idx="11">
                  <c:v>1542.0111197265626</c:v>
                </c:pt>
                <c:pt idx="12">
                  <c:v>1717.9048300781251</c:v>
                </c:pt>
                <c:pt idx="13">
                  <c:v>1892.45301015625</c:v>
                </c:pt>
                <c:pt idx="14">
                  <c:v>2078.5447099609378</c:v>
                </c:pt>
                <c:pt idx="15">
                  <c:v>2237.4695095703128</c:v>
                </c:pt>
                <c:pt idx="16">
                  <c:v>2407.9677246093752</c:v>
                </c:pt>
                <c:pt idx="17">
                  <c:v>2577.1213484375003</c:v>
                </c:pt>
                <c:pt idx="18">
                  <c:v>2761.5152958984377</c:v>
                </c:pt>
                <c:pt idx="19">
                  <c:v>2910.6132261718753</c:v>
                </c:pt>
                <c:pt idx="20">
                  <c:v>3075.6324031250001</c:v>
                </c:pt>
                <c:pt idx="21">
                  <c:v>3239.2845644531253</c:v>
                </c:pt>
                <c:pt idx="22">
                  <c:v>3423.11193046875</c:v>
                </c:pt>
                <c:pt idx="23">
                  <c:v>3562.3538878906252</c:v>
                </c:pt>
                <c:pt idx="24">
                  <c:v>3721.9272306640628</c:v>
                </c:pt>
                <c:pt idx="25">
                  <c:v>3879.9427515625002</c:v>
                </c:pt>
                <c:pt idx="26">
                  <c:v>4062.4254804687503</c:v>
                </c:pt>
                <c:pt idx="27">
                  <c:v>4191.675434570313</c:v>
                </c:pt>
                <c:pt idx="28">
                  <c:v>4345.8040428710938</c:v>
                </c:pt>
              </c:numCache>
            </c:numRef>
          </c:val>
          <c:extLst>
            <c:ext xmlns:c16="http://schemas.microsoft.com/office/drawing/2014/chart" uri="{C3380CC4-5D6E-409C-BE32-E72D297353CC}">
              <c16:uniqueId val="{00000008-654A-488A-B924-DF108D81FACC}"/>
            </c:ext>
          </c:extLst>
        </c:ser>
        <c:ser>
          <c:idx val="10"/>
          <c:order val="10"/>
          <c:tx>
            <c:strRef>
              <c:f>'Compliance Data'!$CX$2</c:f>
              <c:strCache>
                <c:ptCount val="1"/>
                <c:pt idx="0">
                  <c:v>Commercial Reduction</c:v>
                </c:pt>
              </c:strCache>
            </c:strRef>
          </c:tx>
          <c:spPr>
            <a:solidFill>
              <a:schemeClr val="accent2">
                <a:lumMod val="60000"/>
                <a:lumOff val="40000"/>
              </a:schemeClr>
            </a:solidFill>
            <a:ln>
              <a:noFill/>
            </a:ln>
            <a:effectLst/>
          </c:spPr>
          <c:val>
            <c:numRef>
              <c:f>'Compliance Data'!$CX$4:$CX$32</c:f>
              <c:numCache>
                <c:formatCode>0</c:formatCode>
                <c:ptCount val="29"/>
                <c:pt idx="0">
                  <c:v>0</c:v>
                </c:pt>
                <c:pt idx="1">
                  <c:v>0</c:v>
                </c:pt>
                <c:pt idx="2">
                  <c:v>0</c:v>
                </c:pt>
                <c:pt idx="3">
                  <c:v>35.014479882812502</c:v>
                </c:pt>
                <c:pt idx="4">
                  <c:v>106.53343388671875</c:v>
                </c:pt>
                <c:pt idx="5">
                  <c:v>176.50750927734376</c:v>
                </c:pt>
                <c:pt idx="6">
                  <c:v>246.68981894531251</c:v>
                </c:pt>
                <c:pt idx="7">
                  <c:v>314.33415751953123</c:v>
                </c:pt>
                <c:pt idx="8">
                  <c:v>382.86290439453126</c:v>
                </c:pt>
                <c:pt idx="9">
                  <c:v>450.9613408203125</c:v>
                </c:pt>
                <c:pt idx="10">
                  <c:v>520.85684208984378</c:v>
                </c:pt>
                <c:pt idx="11">
                  <c:v>585.436992578125</c:v>
                </c:pt>
                <c:pt idx="12">
                  <c:v>652.03407343749996</c:v>
                </c:pt>
                <c:pt idx="13">
                  <c:v>718.30432480468755</c:v>
                </c:pt>
                <c:pt idx="14">
                  <c:v>787.83793017578125</c:v>
                </c:pt>
                <c:pt idx="15">
                  <c:v>849.17327177734376</c:v>
                </c:pt>
                <c:pt idx="16">
                  <c:v>913.15590625000004</c:v>
                </c:pt>
                <c:pt idx="17">
                  <c:v>976.25556103515623</c:v>
                </c:pt>
                <c:pt idx="18">
                  <c:v>1043.6839137695313</c:v>
                </c:pt>
                <c:pt idx="19">
                  <c:v>1101.2699470703126</c:v>
                </c:pt>
                <c:pt idx="20">
                  <c:v>1163.72666875</c:v>
                </c:pt>
                <c:pt idx="21">
                  <c:v>1226.1646844726563</c:v>
                </c:pt>
                <c:pt idx="22">
                  <c:v>1294.6725038085938</c:v>
                </c:pt>
                <c:pt idx="23">
                  <c:v>1350.7795592773437</c:v>
                </c:pt>
                <c:pt idx="24">
                  <c:v>1412.8841581054687</c:v>
                </c:pt>
                <c:pt idx="25">
                  <c:v>1474.762767578125</c:v>
                </c:pt>
                <c:pt idx="26">
                  <c:v>1543.7933185546874</c:v>
                </c:pt>
                <c:pt idx="27">
                  <c:v>1597.9491051757811</c:v>
                </c:pt>
                <c:pt idx="28">
                  <c:v>1659.3504822265625</c:v>
                </c:pt>
              </c:numCache>
            </c:numRef>
          </c:val>
          <c:extLst>
            <c:ext xmlns:c16="http://schemas.microsoft.com/office/drawing/2014/chart" uri="{C3380CC4-5D6E-409C-BE32-E72D297353CC}">
              <c16:uniqueId val="{00000009-654A-488A-B924-DF108D81FACC}"/>
            </c:ext>
          </c:extLst>
        </c:ser>
        <c:ser>
          <c:idx val="11"/>
          <c:order val="11"/>
          <c:tx>
            <c:strRef>
              <c:f>'Compliance Data'!$CY$2</c:f>
              <c:strCache>
                <c:ptCount val="1"/>
                <c:pt idx="0">
                  <c:v>Ind-Com Sales Reduction</c:v>
                </c:pt>
              </c:strCache>
            </c:strRef>
          </c:tx>
          <c:spPr>
            <a:solidFill>
              <a:schemeClr val="accent2">
                <a:lumMod val="20000"/>
                <a:lumOff val="80000"/>
              </a:schemeClr>
            </a:solidFill>
            <a:ln>
              <a:noFill/>
            </a:ln>
            <a:effectLst/>
          </c:spPr>
          <c:val>
            <c:numRef>
              <c:f>'Compliance Data'!$CY$4:$CY$32</c:f>
              <c:numCache>
                <c:formatCode>0</c:formatCode>
                <c:ptCount val="29"/>
                <c:pt idx="0">
                  <c:v>0</c:v>
                </c:pt>
                <c:pt idx="1">
                  <c:v>20.4033359375</c:v>
                </c:pt>
                <c:pt idx="2">
                  <c:v>40.751785839843748</c:v>
                </c:pt>
                <c:pt idx="3">
                  <c:v>60.153190429687498</c:v>
                </c:pt>
                <c:pt idx="4">
                  <c:v>79.624930371093754</c:v>
                </c:pt>
                <c:pt idx="5">
                  <c:v>98.775823730468744</c:v>
                </c:pt>
                <c:pt idx="6">
                  <c:v>118.6183169921875</c:v>
                </c:pt>
                <c:pt idx="7">
                  <c:v>136.23498085937501</c:v>
                </c:pt>
                <c:pt idx="8">
                  <c:v>154.62241552734375</c:v>
                </c:pt>
                <c:pt idx="9">
                  <c:v>172.69160966796875</c:v>
                </c:pt>
                <c:pt idx="10">
                  <c:v>192.09689775390626</c:v>
                </c:pt>
                <c:pt idx="11">
                  <c:v>208.03687373046876</c:v>
                </c:pt>
                <c:pt idx="12">
                  <c:v>225.32048271484376</c:v>
                </c:pt>
                <c:pt idx="13">
                  <c:v>242.36812890625001</c:v>
                </c:pt>
                <c:pt idx="14">
                  <c:v>261.34770283203125</c:v>
                </c:pt>
                <c:pt idx="15">
                  <c:v>275.79302275390626</c:v>
                </c:pt>
                <c:pt idx="16">
                  <c:v>292.18573359375</c:v>
                </c:pt>
                <c:pt idx="17">
                  <c:v>308.36340703125001</c:v>
                </c:pt>
                <c:pt idx="18">
                  <c:v>327.03387148437503</c:v>
                </c:pt>
                <c:pt idx="19">
                  <c:v>340.09424462890627</c:v>
                </c:pt>
                <c:pt idx="20">
                  <c:v>355.91253017578123</c:v>
                </c:pt>
                <c:pt idx="21">
                  <c:v>371.53309487304688</c:v>
                </c:pt>
                <c:pt idx="22">
                  <c:v>390.18334072265623</c:v>
                </c:pt>
                <c:pt idx="23">
                  <c:v>402.20932270507814</c:v>
                </c:pt>
                <c:pt idx="24">
                  <c:v>417.26412714843752</c:v>
                </c:pt>
                <c:pt idx="25">
                  <c:v>432.14130532226562</c:v>
                </c:pt>
                <c:pt idx="26">
                  <c:v>450.54975014648437</c:v>
                </c:pt>
                <c:pt idx="27">
                  <c:v>461.34518652343752</c:v>
                </c:pt>
                <c:pt idx="28">
                  <c:v>475.6647267578125</c:v>
                </c:pt>
              </c:numCache>
            </c:numRef>
          </c:val>
          <c:extLst>
            <c:ext xmlns:c16="http://schemas.microsoft.com/office/drawing/2014/chart" uri="{C3380CC4-5D6E-409C-BE32-E72D297353CC}">
              <c16:uniqueId val="{0000000A-654A-488A-B924-DF108D81FACC}"/>
            </c:ext>
          </c:extLst>
        </c:ser>
        <c:ser>
          <c:idx val="12"/>
          <c:order val="12"/>
          <c:tx>
            <c:strRef>
              <c:f>'Compliance Data'!$CZ$2</c:f>
              <c:strCache>
                <c:ptCount val="1"/>
                <c:pt idx="0">
                  <c:v>Transport Reduction</c:v>
                </c:pt>
              </c:strCache>
            </c:strRef>
          </c:tx>
          <c:spPr>
            <a:solidFill>
              <a:schemeClr val="accent2">
                <a:lumMod val="50000"/>
              </a:schemeClr>
            </a:solidFill>
            <a:ln>
              <a:noFill/>
            </a:ln>
            <a:effectLst/>
          </c:spPr>
          <c:val>
            <c:numRef>
              <c:f>'Compliance Data'!$CZ$4:$CZ$32</c:f>
              <c:numCache>
                <c:formatCode>0</c:formatCode>
                <c:ptCount val="29"/>
                <c:pt idx="0">
                  <c:v>0</c:v>
                </c:pt>
                <c:pt idx="1">
                  <c:v>37.103385937500001</c:v>
                </c:pt>
                <c:pt idx="2">
                  <c:v>74.045815234374999</c:v>
                </c:pt>
                <c:pt idx="3">
                  <c:v>116.923134375</c:v>
                </c:pt>
                <c:pt idx="4">
                  <c:v>159.64141171874999</c:v>
                </c:pt>
                <c:pt idx="5">
                  <c:v>201.56234531250001</c:v>
                </c:pt>
                <c:pt idx="6">
                  <c:v>244.1860125</c:v>
                </c:pt>
                <c:pt idx="7">
                  <c:v>283.22200195312502</c:v>
                </c:pt>
                <c:pt idx="8">
                  <c:v>323.1495984375</c:v>
                </c:pt>
                <c:pt idx="9">
                  <c:v>362.00041093750002</c:v>
                </c:pt>
                <c:pt idx="10">
                  <c:v>402.40821640625001</c:v>
                </c:pt>
                <c:pt idx="11">
                  <c:v>437.01275332031253</c:v>
                </c:pt>
                <c:pt idx="12">
                  <c:v>473.12196308593752</c:v>
                </c:pt>
                <c:pt idx="13">
                  <c:v>508.17008378906252</c:v>
                </c:pt>
                <c:pt idx="14">
                  <c:v>545.54618417968754</c:v>
                </c:pt>
                <c:pt idx="15">
                  <c:v>575.28667363281249</c:v>
                </c:pt>
                <c:pt idx="16">
                  <c:v>607.43499921875002</c:v>
                </c:pt>
                <c:pt idx="17">
                  <c:v>638.59581953124996</c:v>
                </c:pt>
                <c:pt idx="18">
                  <c:v>672.98747773437503</c:v>
                </c:pt>
                <c:pt idx="19">
                  <c:v>698.22991855468752</c:v>
                </c:pt>
                <c:pt idx="20">
                  <c:v>726.81542695312498</c:v>
                </c:pt>
                <c:pt idx="21">
                  <c:v>754.62291464843747</c:v>
                </c:pt>
                <c:pt idx="22">
                  <c:v>786.57051328124999</c:v>
                </c:pt>
                <c:pt idx="23">
                  <c:v>806.670802734375</c:v>
                </c:pt>
                <c:pt idx="24">
                  <c:v>831.10716708984376</c:v>
                </c:pt>
                <c:pt idx="25">
                  <c:v>855.0201127929688</c:v>
                </c:pt>
                <c:pt idx="26">
                  <c:v>883.86925888671874</c:v>
                </c:pt>
                <c:pt idx="27">
                  <c:v>901.41270585937502</c:v>
                </c:pt>
                <c:pt idx="28">
                  <c:v>923.93359033203126</c:v>
                </c:pt>
              </c:numCache>
            </c:numRef>
          </c:val>
          <c:extLst>
            <c:ext xmlns:c16="http://schemas.microsoft.com/office/drawing/2014/chart" uri="{C3380CC4-5D6E-409C-BE32-E72D297353CC}">
              <c16:uniqueId val="{0000000B-654A-488A-B924-DF108D81FACC}"/>
            </c:ext>
          </c:extLst>
        </c:ser>
        <c:dLbls>
          <c:showLegendKey val="0"/>
          <c:showVal val="0"/>
          <c:showCatName val="0"/>
          <c:showSerName val="0"/>
          <c:showPercent val="0"/>
          <c:showBubbleSize val="0"/>
        </c:dLbls>
        <c:axId val="1449665456"/>
        <c:axId val="1449672112"/>
      </c:areaChart>
      <c:lineChart>
        <c:grouping val="standard"/>
        <c:varyColors val="0"/>
        <c:ser>
          <c:idx val="0"/>
          <c:order val="0"/>
          <c:tx>
            <c:strRef>
              <c:f>'Compliance Data'!$DB$2</c:f>
              <c:strCache>
                <c:ptCount val="1"/>
                <c:pt idx="0">
                  <c:v>Demand</c:v>
                </c:pt>
              </c:strCache>
            </c:strRef>
          </c:tx>
          <c:spPr>
            <a:ln w="88900" cap="sq">
              <a:solidFill>
                <a:schemeClr val="accent2"/>
              </a:solidFill>
              <a:prstDash val="sysDot"/>
              <a:round/>
            </a:ln>
            <a:effectLst/>
          </c:spPr>
          <c:marker>
            <c:symbol val="none"/>
          </c:marke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Data'!$DB$4:$DB$32</c:f>
              <c:numCache>
                <c:formatCode>#,##0</c:formatCode>
                <c:ptCount val="29"/>
                <c:pt idx="0">
                  <c:v>10334.42800032</c:v>
                </c:pt>
                <c:pt idx="1">
                  <c:v>10458.399002639999</c:v>
                </c:pt>
                <c:pt idx="2">
                  <c:v>10519.526007119999</c:v>
                </c:pt>
                <c:pt idx="3">
                  <c:v>10333.716</c:v>
                </c:pt>
                <c:pt idx="4">
                  <c:v>10081.841998560001</c:v>
                </c:pt>
                <c:pt idx="5">
                  <c:v>9830.7750009600004</c:v>
                </c:pt>
                <c:pt idx="6">
                  <c:v>9640.3820032799995</c:v>
                </c:pt>
                <c:pt idx="7">
                  <c:v>9333.89700816</c:v>
                </c:pt>
                <c:pt idx="8">
                  <c:v>9089.1820055999997</c:v>
                </c:pt>
                <c:pt idx="9">
                  <c:v>8845.8100012800005</c:v>
                </c:pt>
                <c:pt idx="10">
                  <c:v>8657.2059981599996</c:v>
                </c:pt>
                <c:pt idx="11">
                  <c:v>8365.3190032799994</c:v>
                </c:pt>
                <c:pt idx="12">
                  <c:v>8128.9889870399993</c:v>
                </c:pt>
                <c:pt idx="13">
                  <c:v>7894.9580047199997</c:v>
                </c:pt>
                <c:pt idx="14">
                  <c:v>7710.8509948800001</c:v>
                </c:pt>
                <c:pt idx="15">
                  <c:v>7434.1449895199994</c:v>
                </c:pt>
                <c:pt idx="16">
                  <c:v>7207.0310059200001</c:v>
                </c:pt>
                <c:pt idx="17">
                  <c:v>6982.3940071199995</c:v>
                </c:pt>
                <c:pt idx="18">
                  <c:v>6800.5479875999999</c:v>
                </c:pt>
                <c:pt idx="19">
                  <c:v>6538.26700944</c:v>
                </c:pt>
                <c:pt idx="20">
                  <c:v>6320.2879996800002</c:v>
                </c:pt>
                <c:pt idx="21">
                  <c:v>6104.3379986399996</c:v>
                </c:pt>
                <c:pt idx="22">
                  <c:v>5926.8210033599998</c:v>
                </c:pt>
                <c:pt idx="23">
                  <c:v>5679.3289838399996</c:v>
                </c:pt>
                <c:pt idx="24">
                  <c:v>5470.4719963199996</c:v>
                </c:pt>
                <c:pt idx="25">
                  <c:v>5262.9779894399999</c:v>
                </c:pt>
                <c:pt idx="26">
                  <c:v>5088.7650069599995</c:v>
                </c:pt>
                <c:pt idx="27">
                  <c:v>4853.0919952799995</c:v>
                </c:pt>
                <c:pt idx="28">
                  <c:v>4650.9409958400001</c:v>
                </c:pt>
              </c:numCache>
            </c:numRef>
          </c:val>
          <c:smooth val="0"/>
          <c:extLst>
            <c:ext xmlns:c16="http://schemas.microsoft.com/office/drawing/2014/chart" uri="{C3380CC4-5D6E-409C-BE32-E72D297353CC}">
              <c16:uniqueId val="{0000000C-654A-488A-B924-DF108D81FACC}"/>
            </c:ext>
          </c:extLst>
        </c:ser>
        <c:dLbls>
          <c:showLegendKey val="0"/>
          <c:showVal val="0"/>
          <c:showCatName val="0"/>
          <c:showSerName val="0"/>
          <c:showPercent val="0"/>
          <c:showBubbleSize val="0"/>
        </c:dLbls>
        <c:marker val="1"/>
        <c:smooth val="0"/>
        <c:axId val="1423163552"/>
        <c:axId val="1423164384"/>
      </c:lineChart>
      <c:catAx>
        <c:axId val="1423163552"/>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423164384"/>
        <c:crosses val="autoZero"/>
        <c:auto val="1"/>
        <c:lblAlgn val="ctr"/>
        <c:lblOffset val="100"/>
        <c:noMultiLvlLbl val="0"/>
      </c:catAx>
      <c:valAx>
        <c:axId val="1423164384"/>
        <c:scaling>
          <c:orientation val="minMax"/>
          <c:max val="16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BBtu</a:t>
                </a:r>
                <a:r>
                  <a:rPr lang="en-US" sz="1100" baseline="0">
                    <a:solidFill>
                      <a:schemeClr val="tx1"/>
                    </a:solidFill>
                  </a:rPr>
                  <a:t> </a:t>
                </a:r>
                <a:r>
                  <a:rPr lang="en-US" sz="1100">
                    <a:solidFill>
                      <a:schemeClr val="tx1"/>
                    </a:solidFill>
                  </a:rPr>
                  <a:t>/ year</a:t>
                </a:r>
              </a:p>
            </c:rich>
          </c:tx>
          <c:layout>
            <c:manualLayout>
              <c:xMode val="edge"/>
              <c:yMode val="edge"/>
              <c:x val="1.4949693788276434E-3"/>
              <c:y val="0.3091469816272965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23163552"/>
        <c:crosses val="autoZero"/>
        <c:crossBetween val="midCat"/>
      </c:valAx>
      <c:valAx>
        <c:axId val="1449672112"/>
        <c:scaling>
          <c:orientation val="minMax"/>
        </c:scaling>
        <c:delete val="1"/>
        <c:axPos val="r"/>
        <c:numFmt formatCode="_(* #,##0_);_(* \(#,##0\);_(* &quot;-&quot;??_);_(@_)" sourceLinked="1"/>
        <c:majorTickMark val="out"/>
        <c:minorTickMark val="none"/>
        <c:tickLblPos val="nextTo"/>
        <c:crossAx val="1449665456"/>
        <c:crosses val="max"/>
        <c:crossBetween val="between"/>
      </c:valAx>
      <c:catAx>
        <c:axId val="1449665456"/>
        <c:scaling>
          <c:orientation val="minMax"/>
        </c:scaling>
        <c:delete val="1"/>
        <c:axPos val="b"/>
        <c:numFmt formatCode="General" sourceLinked="1"/>
        <c:majorTickMark val="out"/>
        <c:minorTickMark val="none"/>
        <c:tickLblPos val="nextTo"/>
        <c:crossAx val="1449672112"/>
        <c:crosses val="autoZero"/>
        <c:auto val="1"/>
        <c:lblAlgn val="ctr"/>
        <c:lblOffset val="100"/>
        <c:noMultiLvlLbl val="0"/>
      </c:catAx>
      <c:spPr>
        <a:noFill/>
        <a:ln>
          <a:solidFill>
            <a:schemeClr val="bg2"/>
          </a:solidFill>
        </a:ln>
        <a:effectLst/>
      </c:spPr>
    </c:plotArea>
    <c:legend>
      <c:legendPos val="r"/>
      <c:legendEntry>
        <c:idx val="6"/>
        <c:delete val="1"/>
      </c:legendEntry>
      <c:layout>
        <c:manualLayout>
          <c:xMode val="edge"/>
          <c:yMode val="edge"/>
          <c:x val="0.72324318835145618"/>
          <c:y val="2.4013196267133274E-2"/>
          <c:w val="0.25889966879140114"/>
          <c:h val="0.91030694079906682"/>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Washington</a:t>
            </a:r>
          </a:p>
        </c:rich>
      </c:tx>
      <c:layout>
        <c:manualLayout>
          <c:xMode val="edge"/>
          <c:yMode val="edge"/>
          <c:x val="9.3331846218168535E-2"/>
          <c:y val="0"/>
        </c:manualLayout>
      </c:layout>
      <c:overlay val="0"/>
      <c:spPr>
        <a:solidFill>
          <a:srgbClr val="002060"/>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477285745961349E-2"/>
          <c:y val="4.1452314002443792E-2"/>
          <c:w val="0.8789159548488451"/>
          <c:h val="0.72925331916703429"/>
        </c:manualLayout>
      </c:layout>
      <c:areaChart>
        <c:grouping val="stacked"/>
        <c:varyColors val="0"/>
        <c:ser>
          <c:idx val="0"/>
          <c:order val="0"/>
          <c:tx>
            <c:strRef>
              <c:f>'Compliance Data'!$AE$2</c:f>
              <c:strCache>
                <c:ptCount val="1"/>
                <c:pt idx="0">
                  <c:v>Biofuel RNG </c:v>
                </c:pt>
              </c:strCache>
            </c:strRef>
          </c:tx>
          <c:spPr>
            <a:solidFill>
              <a:schemeClr val="accent6">
                <a:lumMod val="75000"/>
              </a:schemeClr>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Data'!$CO$4:$CO$32</c15:sqref>
                  </c15:fullRef>
                </c:ext>
              </c:extLst>
              <c:f>'Compliance Data'!$CO$5:$CO$32</c:f>
              <c:numCache>
                <c:formatCode>0%</c:formatCode>
                <c:ptCount val="28"/>
                <c:pt idx="0">
                  <c:v>8.3635861720250046E-2</c:v>
                </c:pt>
                <c:pt idx="1">
                  <c:v>8.3377677181115481E-2</c:v>
                </c:pt>
                <c:pt idx="2">
                  <c:v>8.4644982772896019E-2</c:v>
                </c:pt>
                <c:pt idx="3">
                  <c:v>9.3256353405884465E-2</c:v>
                </c:pt>
                <c:pt idx="4">
                  <c:v>0.10190964625903519</c:v>
                </c:pt>
                <c:pt idx="5">
                  <c:v>0.11060157653889928</c:v>
                </c:pt>
                <c:pt idx="6">
                  <c:v>0.11392114344848712</c:v>
                </c:pt>
                <c:pt idx="7">
                  <c:v>0.11698832957078706</c:v>
                </c:pt>
                <c:pt idx="8">
                  <c:v>0.12020699289789574</c:v>
                </c:pt>
                <c:pt idx="9">
                  <c:v>0.12316230527800986</c:v>
                </c:pt>
                <c:pt idx="10">
                  <c:v>0.1271114968339013</c:v>
                </c:pt>
                <c:pt idx="11">
                  <c:v>0.13080694557407546</c:v>
                </c:pt>
                <c:pt idx="12">
                  <c:v>0.13468446815857532</c:v>
                </c:pt>
                <c:pt idx="13">
                  <c:v>0.13827805111368169</c:v>
                </c:pt>
                <c:pt idx="14">
                  <c:v>0.14303302148384062</c:v>
                </c:pt>
                <c:pt idx="15">
                  <c:v>0.14754039758210571</c:v>
                </c:pt>
                <c:pt idx="16">
                  <c:v>0.15228705497222247</c:v>
                </c:pt>
                <c:pt idx="17">
                  <c:v>0.15678757799285675</c:v>
                </c:pt>
                <c:pt idx="18">
                  <c:v>0.1626315074720501</c:v>
                </c:pt>
                <c:pt idx="19">
                  <c:v>0.16824046943016474</c:v>
                </c:pt>
                <c:pt idx="20">
                  <c:v>0.17419222530549613</c:v>
                </c:pt>
                <c:pt idx="21">
                  <c:v>0.17990107131555558</c:v>
                </c:pt>
                <c:pt idx="22">
                  <c:v>0.18722779099883124</c:v>
                </c:pt>
                <c:pt idx="23">
                  <c:v>0.19437595525857801</c:v>
                </c:pt>
                <c:pt idx="24">
                  <c:v>0.2020392679075487</c:v>
                </c:pt>
                <c:pt idx="25">
                  <c:v>0.20952852932719068</c:v>
                </c:pt>
                <c:pt idx="26">
                  <c:v>0.21910324820427216</c:v>
                </c:pt>
                <c:pt idx="27">
                  <c:v>0.2286264695576844</c:v>
                </c:pt>
              </c:numCache>
            </c:numRef>
          </c:val>
          <c:extLst>
            <c:ext xmlns:c16="http://schemas.microsoft.com/office/drawing/2014/chart" uri="{C3380CC4-5D6E-409C-BE32-E72D297353CC}">
              <c16:uniqueId val="{00000000-3F62-462B-A476-0E51708424C0}"/>
            </c:ext>
          </c:extLst>
        </c:ser>
        <c:ser>
          <c:idx val="1"/>
          <c:order val="1"/>
          <c:tx>
            <c:strRef>
              <c:f>'Compliance Data'!$AF$2</c:f>
              <c:strCache>
                <c:ptCount val="1"/>
                <c:pt idx="0">
                  <c:v>Hydrogen</c:v>
                </c:pt>
              </c:strCache>
            </c:strRef>
          </c:tx>
          <c:spPr>
            <a:solidFill>
              <a:srgbClr val="008AB0"/>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Data'!$CP$4:$CP$32</c15:sqref>
                  </c15:fullRef>
                </c:ext>
              </c:extLst>
              <c:f>'Compliance Data'!$CP$5:$CP$32</c:f>
              <c:numCache>
                <c:formatCode>0%</c:formatCode>
                <c:ptCount val="28"/>
                <c:pt idx="0">
                  <c:v>0</c:v>
                </c:pt>
                <c:pt idx="1">
                  <c:v>0</c:v>
                </c:pt>
                <c:pt idx="2">
                  <c:v>0</c:v>
                </c:pt>
                <c:pt idx="3">
                  <c:v>0</c:v>
                </c:pt>
                <c:pt idx="4">
                  <c:v>0</c:v>
                </c:pt>
                <c:pt idx="5">
                  <c:v>0</c:v>
                </c:pt>
                <c:pt idx="6">
                  <c:v>5.4030106348839542E-3</c:v>
                </c:pt>
                <c:pt idx="7">
                  <c:v>1.1085905457489897E-2</c:v>
                </c:pt>
                <c:pt idx="8">
                  <c:v>1.6660093352522276E-2</c:v>
                </c:pt>
                <c:pt idx="9">
                  <c:v>2.2529353424355851E-2</c:v>
                </c:pt>
                <c:pt idx="10">
                  <c:v>2.7441808149813639E-2</c:v>
                </c:pt>
                <c:pt idx="11">
                  <c:v>3.2642763377223202E-2</c:v>
                </c:pt>
                <c:pt idx="12">
                  <c:v>3.7694974263584397E-2</c:v>
                </c:pt>
                <c:pt idx="13">
                  <c:v>4.3064338053022864E-2</c:v>
                </c:pt>
                <c:pt idx="14">
                  <c:v>4.7303878696977886E-2</c:v>
                </c:pt>
                <c:pt idx="15">
                  <c:v>5.1827933540618688E-2</c:v>
                </c:pt>
                <c:pt idx="16">
                  <c:v>5.6147302314969803E-2</c:v>
                </c:pt>
                <c:pt idx="17">
                  <c:v>6.0738906704748276E-2</c:v>
                </c:pt>
                <c:pt idx="18">
                  <c:v>6.4030961812288748E-2</c:v>
                </c:pt>
                <c:pt idx="19">
                  <c:v>6.8446481366340087E-2</c:v>
                </c:pt>
                <c:pt idx="20">
                  <c:v>7.0867877056673523E-2</c:v>
                </c:pt>
                <c:pt idx="21">
                  <c:v>7.6863625485186451E-2</c:v>
                </c:pt>
                <c:pt idx="22">
                  <c:v>7.9994002828979116E-2</c:v>
                </c:pt>
                <c:pt idx="23">
                  <c:v>8.3048091481981265E-2</c:v>
                </c:pt>
                <c:pt idx="24">
                  <c:v>8.632227984072198E-2</c:v>
                </c:pt>
                <c:pt idx="25">
                  <c:v>8.9522103947996465E-2</c:v>
                </c:pt>
                <c:pt idx="26">
                  <c:v>9.3612950103120471E-2</c:v>
                </c:pt>
                <c:pt idx="27">
                  <c:v>9.7681793685698501E-2</c:v>
                </c:pt>
              </c:numCache>
            </c:numRef>
          </c:val>
          <c:extLst>
            <c:ext xmlns:c16="http://schemas.microsoft.com/office/drawing/2014/chart" uri="{C3380CC4-5D6E-409C-BE32-E72D297353CC}">
              <c16:uniqueId val="{00000001-3F62-462B-A476-0E51708424C0}"/>
            </c:ext>
          </c:extLst>
        </c:ser>
        <c:ser>
          <c:idx val="2"/>
          <c:order val="2"/>
          <c:tx>
            <c:strRef>
              <c:f>'Compliance Data'!$AG$2</c:f>
              <c:strCache>
                <c:ptCount val="1"/>
                <c:pt idx="0">
                  <c:v>Synthetic Methane</c:v>
                </c:pt>
              </c:strCache>
            </c:strRef>
          </c:tx>
          <c:spPr>
            <a:solidFill>
              <a:srgbClr val="005480"/>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Data'!$CQ$4:$CQ$32</c15:sqref>
                  </c15:fullRef>
                </c:ext>
              </c:extLst>
              <c:f>'Compliance Data'!$CQ$5:$CQ$32</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2-3F62-462B-A476-0E51708424C0}"/>
            </c:ext>
          </c:extLst>
        </c:ser>
        <c:dLbls>
          <c:showLegendKey val="0"/>
          <c:showVal val="0"/>
          <c:showCatName val="0"/>
          <c:showSerName val="0"/>
          <c:showPercent val="0"/>
          <c:showBubbleSize val="0"/>
        </c:dLbls>
        <c:axId val="959855104"/>
        <c:axId val="959850112"/>
      </c:areaChart>
      <c:lineChart>
        <c:grouping val="standard"/>
        <c:varyColors val="0"/>
        <c:ser>
          <c:idx val="3"/>
          <c:order val="3"/>
          <c:tx>
            <c:strRef>
              <c:f>'Compliance Data'!$AI$2</c:f>
              <c:strCache>
                <c:ptCount val="1"/>
                <c:pt idx="0">
                  <c:v>SB 98 </c:v>
                </c:pt>
              </c:strCache>
            </c:strRef>
          </c:tx>
          <c:spPr>
            <a:ln w="22225" cap="sq">
              <a:solidFill>
                <a:srgbClr val="1CF8CE"/>
              </a:solidFill>
              <a:prstDash val="sysDot"/>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'Compliance Data'!$CR$4:$CR$32</c15:sqref>
                  </c15:fullRef>
                </c:ext>
              </c:extLst>
              <c:f>'Compliance Data'!$CR$5:$CR$32</c:f>
              <c:numCache>
                <c:formatCode>0.0000%</c:formatCode>
                <c:ptCount val="28"/>
                <c:pt idx="0">
                  <c:v>4.1910587836757433E-2</c:v>
                </c:pt>
                <c:pt idx="1" formatCode="0%">
                  <c:v>6.3225631511898306E-2</c:v>
                </c:pt>
                <c:pt idx="2" formatCode="0%">
                  <c:v>8.4644981537328884E-2</c:v>
                </c:pt>
                <c:pt idx="3" formatCode="0%">
                  <c:v>9.3256356327017328E-2</c:v>
                </c:pt>
                <c:pt idx="4" formatCode="0%">
                  <c:v>0.1019096500577184</c:v>
                </c:pt>
                <c:pt idx="5" formatCode="0%">
                  <c:v>0.11060157261117111</c:v>
                </c:pt>
                <c:pt idx="6" formatCode="0%">
                  <c:v>0.11932415358351554</c:v>
                </c:pt>
                <c:pt idx="7" formatCode="0%">
                  <c:v>0.12807423147020097</c:v>
                </c:pt>
                <c:pt idx="8" formatCode="0%">
                  <c:v>0.13686707718307425</c:v>
                </c:pt>
                <c:pt idx="9" formatCode="0%">
                  <c:v>0.14569165853325805</c:v>
                </c:pt>
                <c:pt idx="10" formatCode="0%">
                  <c:v>0.15455329553843256</c:v>
                </c:pt>
                <c:pt idx="11" formatCode="0%">
                  <c:v>0.1634497023027966</c:v>
                </c:pt>
                <c:pt idx="12" formatCode="0%">
                  <c:v>0.17237943491357005</c:v>
                </c:pt>
                <c:pt idx="13" formatCode="0%">
                  <c:v>0.18134238502926239</c:v>
                </c:pt>
                <c:pt idx="14" formatCode="0%">
                  <c:v>0.19033689044024979</c:v>
                </c:pt>
                <c:pt idx="15" formatCode="0%">
                  <c:v>0.19936832497672613</c:v>
                </c:pt>
                <c:pt idx="16" formatCode="0%">
                  <c:v>0.20843435625052775</c:v>
                </c:pt>
                <c:pt idx="17" formatCode="0%">
                  <c:v>0.21752647766581873</c:v>
                </c:pt>
                <c:pt idx="18" formatCode="0%">
                  <c:v>0.22666246533466841</c:v>
                </c:pt>
                <c:pt idx="19" formatCode="0%">
                  <c:v>0.23584087465803283</c:v>
                </c:pt>
                <c:pt idx="20" formatCode="0%">
                  <c:v>0.24506010000004619</c:v>
                </c:pt>
                <c:pt idx="21" formatCode="0%">
                  <c:v>0.25432168083103557</c:v>
                </c:pt>
                <c:pt idx="22" formatCode="0%">
                  <c:v>0.26356787990328734</c:v>
                </c:pt>
                <c:pt idx="23" formatCode="0%">
                  <c:v>0.27285834774434797</c:v>
                </c:pt>
                <c:pt idx="24" formatCode="0%">
                  <c:v>0.28219922689200372</c:v>
                </c:pt>
                <c:pt idx="25" formatCode="0%">
                  <c:v>0.29160053131933983</c:v>
                </c:pt>
                <c:pt idx="26" formatCode="0%">
                  <c:v>0.30106502838063387</c:v>
                </c:pt>
                <c:pt idx="27" formatCode="0%">
                  <c:v>0.31059722141650137</c:v>
                </c:pt>
              </c:numCache>
            </c:numRef>
          </c:val>
          <c:smooth val="0"/>
          <c:extLst>
            <c:ext xmlns:c16="http://schemas.microsoft.com/office/drawing/2014/chart" uri="{C3380CC4-5D6E-409C-BE32-E72D297353CC}">
              <c16:uniqueId val="{00000003-3F62-462B-A476-0E51708424C0}"/>
            </c:ext>
          </c:extLst>
        </c:ser>
        <c:dLbls>
          <c:showLegendKey val="0"/>
          <c:showVal val="0"/>
          <c:showCatName val="0"/>
          <c:showSerName val="0"/>
          <c:showPercent val="0"/>
          <c:showBubbleSize val="0"/>
        </c:dLbls>
        <c:marker val="1"/>
        <c:smooth val="0"/>
        <c:axId val="959855104"/>
        <c:axId val="959850112"/>
      </c:lineChart>
      <c:catAx>
        <c:axId val="959855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0112"/>
        <c:crosses val="autoZero"/>
        <c:auto val="1"/>
        <c:lblAlgn val="ctr"/>
        <c:lblOffset val="100"/>
        <c:tickLblSkip val="2"/>
        <c:noMultiLvlLbl val="0"/>
      </c:catAx>
      <c:valAx>
        <c:axId val="95985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510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Oregon</a:t>
            </a:r>
          </a:p>
        </c:rich>
      </c:tx>
      <c:layout>
        <c:manualLayout>
          <c:xMode val="edge"/>
          <c:yMode val="edge"/>
          <c:x val="0.10639534557392342"/>
          <c:y val="0"/>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6477285745961349E-2"/>
          <c:y val="4.1452314002443792E-2"/>
          <c:w val="0.8789159548488451"/>
          <c:h val="0.72925331916703429"/>
        </c:manualLayout>
      </c:layout>
      <c:areaChart>
        <c:grouping val="stacked"/>
        <c:varyColors val="0"/>
        <c:ser>
          <c:idx val="0"/>
          <c:order val="0"/>
          <c:tx>
            <c:strRef>
              <c:f>'Compliance Data'!$AE$2</c:f>
              <c:strCache>
                <c:ptCount val="1"/>
                <c:pt idx="0">
                  <c:v>Biofuel RNG </c:v>
                </c:pt>
              </c:strCache>
            </c:strRef>
          </c:tx>
          <c:spPr>
            <a:solidFill>
              <a:schemeClr val="accent6">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Data'!$AE$4:$AE$32</c:f>
              <c:numCache>
                <c:formatCode>0%</c:formatCode>
                <c:ptCount val="29"/>
                <c:pt idx="0">
                  <c:v>2.0022146041761897E-2</c:v>
                </c:pt>
                <c:pt idx="1">
                  <c:v>4.9732769933516975E-2</c:v>
                </c:pt>
                <c:pt idx="2">
                  <c:v>5.1036059460681113E-2</c:v>
                </c:pt>
                <c:pt idx="3">
                  <c:v>6.8531558463139797E-2</c:v>
                </c:pt>
                <c:pt idx="4">
                  <c:v>7.5580548136327017E-2</c:v>
                </c:pt>
                <c:pt idx="5">
                  <c:v>8.2681917461668669E-2</c:v>
                </c:pt>
                <c:pt idx="6">
                  <c:v>9.8289688048551677E-2</c:v>
                </c:pt>
                <c:pt idx="7">
                  <c:v>0.10141936799824881</c:v>
                </c:pt>
                <c:pt idx="8">
                  <c:v>0.10428928254601329</c:v>
                </c:pt>
                <c:pt idx="9">
                  <c:v>0.10730489446253956</c:v>
                </c:pt>
                <c:pt idx="10">
                  <c:v>0.11002829708235685</c:v>
                </c:pt>
                <c:pt idx="11">
                  <c:v>0.11369416865151316</c:v>
                </c:pt>
                <c:pt idx="12">
                  <c:v>0.11712532680871714</c:v>
                </c:pt>
                <c:pt idx="13">
                  <c:v>0.12069716419095869</c:v>
                </c:pt>
                <c:pt idx="14">
                  <c:v>0.12398466704862594</c:v>
                </c:pt>
                <c:pt idx="15">
                  <c:v>0.12835584531666905</c:v>
                </c:pt>
                <c:pt idx="16">
                  <c:v>0.13248680573036409</c:v>
                </c:pt>
                <c:pt idx="17">
                  <c:v>0.13685512629354823</c:v>
                </c:pt>
                <c:pt idx="18">
                  <c:v>0.14096440758407441</c:v>
                </c:pt>
                <c:pt idx="19">
                  <c:v>0.14636146422228113</c:v>
                </c:pt>
                <c:pt idx="20">
                  <c:v>0.15156871665465707</c:v>
                </c:pt>
                <c:pt idx="21">
                  <c:v>0.15714359078623927</c:v>
                </c:pt>
                <c:pt idx="22">
                  <c:v>0.16248292140597687</c:v>
                </c:pt>
                <c:pt idx="23">
                  <c:v>0.16937916164941089</c:v>
                </c:pt>
                <c:pt idx="24">
                  <c:v>0.17615399680522009</c:v>
                </c:pt>
                <c:pt idx="25">
                  <c:v>0.18346020928455395</c:v>
                </c:pt>
                <c:pt idx="26">
                  <c:v>0.19063418321246495</c:v>
                </c:pt>
                <c:pt idx="27">
                  <c:v>0.19987279533793412</c:v>
                </c:pt>
                <c:pt idx="28">
                  <c:v>0.20915912926009206</c:v>
                </c:pt>
              </c:numCache>
            </c:numRef>
          </c:val>
          <c:extLst>
            <c:ext xmlns:c16="http://schemas.microsoft.com/office/drawing/2014/chart" uri="{C3380CC4-5D6E-409C-BE32-E72D297353CC}">
              <c16:uniqueId val="{00000000-6A9B-4F92-97CB-1DC665620207}"/>
            </c:ext>
          </c:extLst>
        </c:ser>
        <c:ser>
          <c:idx val="1"/>
          <c:order val="1"/>
          <c:tx>
            <c:strRef>
              <c:f>'Compliance Data'!$AF$2</c:f>
              <c:strCache>
                <c:ptCount val="1"/>
                <c:pt idx="0">
                  <c:v>Hydrogen</c:v>
                </c:pt>
              </c:strCache>
            </c:strRef>
          </c:tx>
          <c:spPr>
            <a:solidFill>
              <a:srgbClr val="008AB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Data'!$AF$4:$AF$32</c:f>
              <c:numCache>
                <c:formatCode>0%</c:formatCode>
                <c:ptCount val="29"/>
                <c:pt idx="0">
                  <c:v>0</c:v>
                </c:pt>
                <c:pt idx="1">
                  <c:v>0</c:v>
                </c:pt>
                <c:pt idx="2">
                  <c:v>0</c:v>
                </c:pt>
                <c:pt idx="3">
                  <c:v>0</c:v>
                </c:pt>
                <c:pt idx="4">
                  <c:v>0</c:v>
                </c:pt>
                <c:pt idx="5">
                  <c:v>0</c:v>
                </c:pt>
                <c:pt idx="6">
                  <c:v>0</c:v>
                </c:pt>
                <c:pt idx="7">
                  <c:v>0</c:v>
                </c:pt>
                <c:pt idx="8">
                  <c:v>0</c:v>
                </c:pt>
                <c:pt idx="9">
                  <c:v>4.318941090916825E-3</c:v>
                </c:pt>
                <c:pt idx="10">
                  <c:v>8.9907306267467575E-3</c:v>
                </c:pt>
                <c:pt idx="11">
                  <c:v>1.2783215700482183E-2</c:v>
                </c:pt>
                <c:pt idx="12">
                  <c:v>1.6846740908576945E-2</c:v>
                </c:pt>
                <c:pt idx="13">
                  <c:v>2.0827096380306456E-2</c:v>
                </c:pt>
                <c:pt idx="14">
                  <c:v>5.2127412314944957E-2</c:v>
                </c:pt>
                <c:pt idx="15">
                  <c:v>5.3965205788157639E-2</c:v>
                </c:pt>
                <c:pt idx="16">
                  <c:v>0.10502114588168977</c:v>
                </c:pt>
                <c:pt idx="17">
                  <c:v>0.10848387583879827</c:v>
                </c:pt>
                <c:pt idx="18">
                  <c:v>0.13479154393990814</c:v>
                </c:pt>
                <c:pt idx="19">
                  <c:v>0.13995226223371665</c:v>
                </c:pt>
                <c:pt idx="20">
                  <c:v>0.14493148789127261</c:v>
                </c:pt>
                <c:pt idx="21">
                  <c:v>0.15026223700975797</c:v>
                </c:pt>
                <c:pt idx="22">
                  <c:v>0.15536775712064704</c:v>
                </c:pt>
                <c:pt idx="23">
                  <c:v>0.16196200942677327</c:v>
                </c:pt>
                <c:pt idx="24">
                  <c:v>0.16844017300182498</c:v>
                </c:pt>
                <c:pt idx="25">
                  <c:v>0.17542644476588759</c:v>
                </c:pt>
                <c:pt idx="26">
                  <c:v>0.18228626873493478</c:v>
                </c:pt>
                <c:pt idx="27">
                  <c:v>0.19112031992272291</c:v>
                </c:pt>
                <c:pt idx="28">
                  <c:v>0.20000000315880972</c:v>
                </c:pt>
              </c:numCache>
            </c:numRef>
          </c:val>
          <c:extLst>
            <c:ext xmlns:c16="http://schemas.microsoft.com/office/drawing/2014/chart" uri="{C3380CC4-5D6E-409C-BE32-E72D297353CC}">
              <c16:uniqueId val="{00000001-6A9B-4F92-97CB-1DC665620207}"/>
            </c:ext>
          </c:extLst>
        </c:ser>
        <c:ser>
          <c:idx val="2"/>
          <c:order val="2"/>
          <c:tx>
            <c:strRef>
              <c:f>'Compliance Data'!$AG$2</c:f>
              <c:strCache>
                <c:ptCount val="1"/>
                <c:pt idx="0">
                  <c:v>Synthetic Methane</c:v>
                </c:pt>
              </c:strCache>
            </c:strRef>
          </c:tx>
          <c:spPr>
            <a:solidFill>
              <a:srgbClr val="00548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Data'!$AG$4:$AG$32</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2.8385276700673753E-2</c:v>
                </c:pt>
                <c:pt idx="20">
                  <c:v>3.0374573435072248E-2</c:v>
                </c:pt>
                <c:pt idx="21">
                  <c:v>3.1491785663548454E-2</c:v>
                </c:pt>
                <c:pt idx="22">
                  <c:v>0.11797115160274835</c:v>
                </c:pt>
                <c:pt idx="23">
                  <c:v>0.12297818493405085</c:v>
                </c:pt>
                <c:pt idx="24">
                  <c:v>0.1278970717827963</c:v>
                </c:pt>
                <c:pt idx="25">
                  <c:v>0.1332017665321466</c:v>
                </c:pt>
                <c:pt idx="26">
                  <c:v>0.28822080348003243</c:v>
                </c:pt>
                <c:pt idx="27">
                  <c:v>0.31499482076036467</c:v>
                </c:pt>
                <c:pt idx="28">
                  <c:v>0.3483182047717126</c:v>
                </c:pt>
              </c:numCache>
            </c:numRef>
          </c:val>
          <c:extLst>
            <c:ext xmlns:c16="http://schemas.microsoft.com/office/drawing/2014/chart" uri="{C3380CC4-5D6E-409C-BE32-E72D297353CC}">
              <c16:uniqueId val="{00000002-6A9B-4F92-97CB-1DC665620207}"/>
            </c:ext>
          </c:extLst>
        </c:ser>
        <c:dLbls>
          <c:showLegendKey val="0"/>
          <c:showVal val="0"/>
          <c:showCatName val="0"/>
          <c:showSerName val="0"/>
          <c:showPercent val="0"/>
          <c:showBubbleSize val="0"/>
        </c:dLbls>
        <c:axId val="959855104"/>
        <c:axId val="959850112"/>
      </c:areaChart>
      <c:lineChart>
        <c:grouping val="standard"/>
        <c:varyColors val="0"/>
        <c:ser>
          <c:idx val="3"/>
          <c:order val="3"/>
          <c:tx>
            <c:strRef>
              <c:f>'Compliance Data'!$AI$2</c:f>
              <c:strCache>
                <c:ptCount val="1"/>
                <c:pt idx="0">
                  <c:v>SB 98 </c:v>
                </c:pt>
              </c:strCache>
            </c:strRef>
          </c:tx>
          <c:spPr>
            <a:ln w="22225" cap="sq">
              <a:solidFill>
                <a:srgbClr val="1CF8CE"/>
              </a:solidFill>
              <a:prstDash val="sysDot"/>
              <a:round/>
            </a:ln>
            <a:effectLst/>
          </c:spPr>
          <c:marker>
            <c:symbol val="none"/>
          </c:marker>
          <c:val>
            <c:numRef>
              <c:f>'Compliance Data'!$AI$4:$AI$32</c:f>
              <c:numCache>
                <c:formatCode>0%</c:formatCode>
                <c:ptCount val="29"/>
                <c:pt idx="0">
                  <c:v>2.0022146107911015E-2</c:v>
                </c:pt>
                <c:pt idx="1">
                  <c:v>3.3688462123685287E-2</c:v>
                </c:pt>
                <c:pt idx="2">
                  <c:v>5.1036058158607255E-2</c:v>
                </c:pt>
                <c:pt idx="3">
                  <c:v>6.8531557403999951E-2</c:v>
                </c:pt>
                <c:pt idx="4">
                  <c:v>7.5580546416913225E-2</c:v>
                </c:pt>
                <c:pt idx="5">
                  <c:v>8.268191600387266E-2</c:v>
                </c:pt>
                <c:pt idx="6">
                  <c:v>8.9824981839709522E-2</c:v>
                </c:pt>
                <c:pt idx="7">
                  <c:v>9.7031787882734505E-2</c:v>
                </c:pt>
                <c:pt idx="8">
                  <c:v>0.10428928048960501</c:v>
                </c:pt>
                <c:pt idx="9">
                  <c:v>0.11162383363541167</c:v>
                </c:pt>
                <c:pt idx="10">
                  <c:v>0.11901902532428511</c:v>
                </c:pt>
                <c:pt idx="11">
                  <c:v>0.12647738223971763</c:v>
                </c:pt>
                <c:pt idx="12">
                  <c:v>0.13397206556722085</c:v>
                </c:pt>
                <c:pt idx="13">
                  <c:v>0.14152425865627366</c:v>
                </c:pt>
                <c:pt idx="14">
                  <c:v>0.14909343308708331</c:v>
                </c:pt>
                <c:pt idx="15">
                  <c:v>0.15671282269044623</c:v>
                </c:pt>
                <c:pt idx="16">
                  <c:v>0.16436746969172664</c:v>
                </c:pt>
                <c:pt idx="17">
                  <c:v>0.17207614030621698</c:v>
                </c:pt>
                <c:pt idx="18">
                  <c:v>0.17981184643450204</c:v>
                </c:pt>
                <c:pt idx="19">
                  <c:v>0.18762920065750779</c:v>
                </c:pt>
                <c:pt idx="20">
                  <c:v>0.19550166216230522</c:v>
                </c:pt>
                <c:pt idx="21">
                  <c:v>0.2034448573222101</c:v>
                </c:pt>
                <c:pt idx="22">
                  <c:v>0.2114426236086995</c:v>
                </c:pt>
                <c:pt idx="23">
                  <c:v>0.2194757388415704</c:v>
                </c:pt>
                <c:pt idx="24">
                  <c:v>0.22758860406963832</c:v>
                </c:pt>
                <c:pt idx="25">
                  <c:v>0.23580336058913798</c:v>
                </c:pt>
                <c:pt idx="26">
                  <c:v>0.24409390576894488</c:v>
                </c:pt>
                <c:pt idx="27">
                  <c:v>0.25252429745418759</c:v>
                </c:pt>
                <c:pt idx="28">
                  <c:v>0.26105135257337303</c:v>
                </c:pt>
              </c:numCache>
            </c:numRef>
          </c:val>
          <c:smooth val="0"/>
          <c:extLst>
            <c:ext xmlns:c16="http://schemas.microsoft.com/office/drawing/2014/chart" uri="{C3380CC4-5D6E-409C-BE32-E72D297353CC}">
              <c16:uniqueId val="{00000003-6A9B-4F92-97CB-1DC665620207}"/>
            </c:ext>
          </c:extLst>
        </c:ser>
        <c:dLbls>
          <c:showLegendKey val="0"/>
          <c:showVal val="0"/>
          <c:showCatName val="0"/>
          <c:showSerName val="0"/>
          <c:showPercent val="0"/>
          <c:showBubbleSize val="0"/>
        </c:dLbls>
        <c:marker val="1"/>
        <c:smooth val="0"/>
        <c:axId val="959855104"/>
        <c:axId val="959850112"/>
      </c:lineChart>
      <c:catAx>
        <c:axId val="959855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0112"/>
        <c:crosses val="autoZero"/>
        <c:auto val="1"/>
        <c:lblAlgn val="ctr"/>
        <c:lblOffset val="100"/>
        <c:tickLblSkip val="2"/>
        <c:noMultiLvlLbl val="0"/>
      </c:catAx>
      <c:valAx>
        <c:axId val="95985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510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100" b="0" i="0" u="none" strike="noStrike" kern="1200" spc="0" baseline="0">
                <a:solidFill>
                  <a:schemeClr val="bg1"/>
                </a:solidFill>
                <a:latin typeface="+mn-lt"/>
                <a:ea typeface="+mn-ea"/>
                <a:cs typeface="+mn-cs"/>
              </a:defRPr>
            </a:pPr>
            <a:r>
              <a:rPr lang="en-US" sz="1100" b="1">
                <a:solidFill>
                  <a:schemeClr val="bg1"/>
                </a:solidFill>
                <a:effectLst/>
              </a:rPr>
              <a:t>Oregon </a:t>
            </a:r>
            <a:endParaRPr lang="en-US" sz="1100">
              <a:solidFill>
                <a:schemeClr val="bg1"/>
              </a:solidFill>
              <a:effectLst/>
            </a:endParaRPr>
          </a:p>
        </c:rich>
      </c:tx>
      <c:layout>
        <c:manualLayout>
          <c:xMode val="edge"/>
          <c:yMode val="edge"/>
          <c:x val="0.14585096062301112"/>
          <c:y val="6.9444558362683232E-3"/>
        </c:manualLayout>
      </c:layout>
      <c:overlay val="0"/>
      <c:spPr>
        <a:solidFill>
          <a:srgbClr val="002060"/>
        </a:solidFill>
        <a:ln>
          <a:noFill/>
        </a:ln>
        <a:effectLst/>
      </c:spPr>
      <c:txPr>
        <a:bodyPr rot="0" spcFirstLastPara="1" vertOverflow="ellipsis" vert="horz" wrap="square" anchor="t" anchorCtr="0"/>
        <a:lstStyle/>
        <a:p>
          <a:pPr>
            <a:defRPr sz="11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3491597920869994"/>
          <c:y val="5.0949878577058093E-2"/>
          <c:w val="0.81045069242967271"/>
          <c:h val="0.68912505307790639"/>
        </c:manualLayout>
      </c:layout>
      <c:areaChart>
        <c:grouping val="stacked"/>
        <c:varyColors val="0"/>
        <c:ser>
          <c:idx val="0"/>
          <c:order val="0"/>
          <c:tx>
            <c:strRef>
              <c:f>'Compliance Data'!$AU$2</c:f>
              <c:strCache>
                <c:ptCount val="1"/>
                <c:pt idx="0">
                  <c:v>Renewable Supply Costs</c:v>
                </c:pt>
              </c:strCache>
            </c:strRef>
          </c:tx>
          <c:spPr>
            <a:solidFill>
              <a:srgbClr val="19A4C5"/>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Data'!$AV$4:$AV$32</c:f>
              <c:numCache>
                <c:formatCode>_("$"* #,##0.00_);_("$"* \(#,##0.00\);_("$"* "-"??_);_(@_)</c:formatCode>
                <c:ptCount val="29"/>
                <c:pt idx="0">
                  <c:v>0.15299520883001791</c:v>
                </c:pt>
                <c:pt idx="1">
                  <c:v>0.37464318962765647</c:v>
                </c:pt>
                <c:pt idx="2">
                  <c:v>0.37564371298098082</c:v>
                </c:pt>
                <c:pt idx="3">
                  <c:v>0.50766696477119411</c:v>
                </c:pt>
                <c:pt idx="4">
                  <c:v>0.58005503956121429</c:v>
                </c:pt>
                <c:pt idx="5">
                  <c:v>0.65340329928838392</c:v>
                </c:pt>
                <c:pt idx="6">
                  <c:v>0.82206434375604898</c:v>
                </c:pt>
                <c:pt idx="7">
                  <c:v>0.8505639575225189</c:v>
                </c:pt>
                <c:pt idx="8">
                  <c:v>0.87463279095816138</c:v>
                </c:pt>
                <c:pt idx="9">
                  <c:v>0.9372348624417659</c:v>
                </c:pt>
                <c:pt idx="10">
                  <c:v>0.99627591469718246</c:v>
                </c:pt>
                <c:pt idx="11">
                  <c:v>1.0598281439438133</c:v>
                </c:pt>
                <c:pt idx="12">
                  <c:v>1.1197670496050334</c:v>
                </c:pt>
                <c:pt idx="13">
                  <c:v>1.1792492172143065</c:v>
                </c:pt>
                <c:pt idx="14">
                  <c:v>1.4218998623438892</c:v>
                </c:pt>
                <c:pt idx="15">
                  <c:v>1.4760630345331085</c:v>
                </c:pt>
                <c:pt idx="16">
                  <c:v>1.8350185245724782</c:v>
                </c:pt>
                <c:pt idx="17">
                  <c:v>1.8955222789691821</c:v>
                </c:pt>
                <c:pt idx="18">
                  <c:v>2.073903229878661</c:v>
                </c:pt>
                <c:pt idx="19">
                  <c:v>2.4529931445386941</c:v>
                </c:pt>
                <c:pt idx="20">
                  <c:v>2.5499491786316506</c:v>
                </c:pt>
                <c:pt idx="21">
                  <c:v>2.6437392827280823</c:v>
                </c:pt>
                <c:pt idx="22">
                  <c:v>3.4837643135359877</c:v>
                </c:pt>
                <c:pt idx="23">
                  <c:v>3.6415749004380258</c:v>
                </c:pt>
                <c:pt idx="24">
                  <c:v>3.7872307734377122</c:v>
                </c:pt>
                <c:pt idx="25">
                  <c:v>3.9443110170929487</c:v>
                </c:pt>
                <c:pt idx="26">
                  <c:v>5.109655831019551</c:v>
                </c:pt>
                <c:pt idx="27">
                  <c:v>5.4530996200947248</c:v>
                </c:pt>
                <c:pt idx="28">
                  <c:v>5.8154476822263153</c:v>
                </c:pt>
              </c:numCache>
            </c:numRef>
          </c:val>
          <c:extLst>
            <c:ext xmlns:c16="http://schemas.microsoft.com/office/drawing/2014/chart" uri="{C3380CC4-5D6E-409C-BE32-E72D297353CC}">
              <c16:uniqueId val="{00000000-AF61-43FD-B046-79D39F56F2FD}"/>
            </c:ext>
          </c:extLst>
        </c:ser>
        <c:ser>
          <c:idx val="2"/>
          <c:order val="1"/>
          <c:tx>
            <c:strRef>
              <c:f>'Compliance Data'!$AY$2</c:f>
              <c:strCache>
                <c:ptCount val="1"/>
                <c:pt idx="0">
                  <c:v>Incremental Load Reductions Investments</c:v>
                </c:pt>
              </c:strCache>
            </c:strRef>
          </c:tx>
          <c:spPr>
            <a:solidFill>
              <a:schemeClr val="accent2">
                <a:lumMod val="75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Data'!$AZ$4:$AZ$32</c:f>
              <c:numCache>
                <c:formatCode>_("$"* #,##0.00_);_("$"* \(#,##0.00\);_("$"*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AF61-43FD-B046-79D39F56F2FD}"/>
            </c:ext>
          </c:extLst>
        </c:ser>
        <c:ser>
          <c:idx val="1"/>
          <c:order val="2"/>
          <c:tx>
            <c:strRef>
              <c:f>'Compliance Data'!$AW$2</c:f>
              <c:strCache>
                <c:ptCount val="1"/>
                <c:pt idx="0">
                  <c:v>Community Climate Investments</c:v>
                </c:pt>
              </c:strCache>
            </c:strRef>
          </c:tx>
          <c:spPr>
            <a:solidFill>
              <a:schemeClr val="accent4"/>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Data'!$AX$4:$AX$32</c:f>
              <c:numCache>
                <c:formatCode>_("$"* #,##0.00_);_("$"* \(#,##0.00\);_("$"* "-"??_);_(@_)</c:formatCode>
                <c:ptCount val="29"/>
                <c:pt idx="0">
                  <c:v>0</c:v>
                </c:pt>
                <c:pt idx="1">
                  <c:v>0</c:v>
                </c:pt>
                <c:pt idx="2">
                  <c:v>0</c:v>
                </c:pt>
                <c:pt idx="3">
                  <c:v>0</c:v>
                </c:pt>
                <c:pt idx="4">
                  <c:v>1.1964340874445364E-2</c:v>
                </c:pt>
                <c:pt idx="5">
                  <c:v>7.6266537623302447E-2</c:v>
                </c:pt>
                <c:pt idx="6">
                  <c:v>0.13184415989266138</c:v>
                </c:pt>
                <c:pt idx="7">
                  <c:v>0.20579001021681123</c:v>
                </c:pt>
                <c:pt idx="8">
                  <c:v>0.32778006860172698</c:v>
                </c:pt>
                <c:pt idx="9">
                  <c:v>0.43323162668606879</c:v>
                </c:pt>
                <c:pt idx="10">
                  <c:v>0.58379212544786618</c:v>
                </c:pt>
                <c:pt idx="11">
                  <c:v>0.6843969912727691</c:v>
                </c:pt>
                <c:pt idx="12">
                  <c:v>0.83059932582297824</c:v>
                </c:pt>
                <c:pt idx="13">
                  <c:v>0.99331929291610355</c:v>
                </c:pt>
                <c:pt idx="14">
                  <c:v>0.91563302182933459</c:v>
                </c:pt>
                <c:pt idx="15">
                  <c:v>0.97375993373299496</c:v>
                </c:pt>
                <c:pt idx="16">
                  <c:v>0.74838035895531241</c:v>
                </c:pt>
                <c:pt idx="17">
                  <c:v>0.84333056919060134</c:v>
                </c:pt>
                <c:pt idx="18">
                  <c:v>0.82534410715900852</c:v>
                </c:pt>
                <c:pt idx="19">
                  <c:v>0.70996013425438753</c:v>
                </c:pt>
                <c:pt idx="20">
                  <c:v>0.81337061393716947</c:v>
                </c:pt>
                <c:pt idx="21">
                  <c:v>0.93316297980726026</c:v>
                </c:pt>
                <c:pt idx="22">
                  <c:v>0.50707229968521716</c:v>
                </c:pt>
                <c:pt idx="23">
                  <c:v>0.59453678611679472</c:v>
                </c:pt>
                <c:pt idx="24">
                  <c:v>0.7272280580150341</c:v>
                </c:pt>
                <c:pt idx="25">
                  <c:v>0.87374188733126457</c:v>
                </c:pt>
                <c:pt idx="26">
                  <c:v>0</c:v>
                </c:pt>
                <c:pt idx="27">
                  <c:v>0</c:v>
                </c:pt>
                <c:pt idx="28">
                  <c:v>0</c:v>
                </c:pt>
              </c:numCache>
            </c:numRef>
          </c:val>
          <c:extLst>
            <c:ext xmlns:c16="http://schemas.microsoft.com/office/drawing/2014/chart" uri="{C3380CC4-5D6E-409C-BE32-E72D297353CC}">
              <c16:uniqueId val="{00000002-AF61-43FD-B046-79D39F56F2FD}"/>
            </c:ext>
          </c:extLst>
        </c:ser>
        <c:dLbls>
          <c:showLegendKey val="0"/>
          <c:showVal val="0"/>
          <c:showCatName val="0"/>
          <c:showSerName val="0"/>
          <c:showPercent val="0"/>
          <c:showBubbleSize val="0"/>
        </c:dLbls>
        <c:axId val="878730176"/>
        <c:axId val="878732256"/>
      </c:areaChart>
      <c:catAx>
        <c:axId val="87873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2256"/>
        <c:crosses val="autoZero"/>
        <c:auto val="1"/>
        <c:lblAlgn val="ctr"/>
        <c:lblOffset val="100"/>
        <c:tickLblSkip val="2"/>
        <c:tickMarkSkip val="1"/>
        <c:noMultiLvlLbl val="0"/>
      </c:catAx>
      <c:valAx>
        <c:axId val="87873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0"/>
                  <a:t>$/MMBtu</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0176"/>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solidFill>
                <a:latin typeface="+mn-lt"/>
                <a:ea typeface="+mn-ea"/>
                <a:cs typeface="+mn-cs"/>
              </a:defRPr>
            </a:pPr>
            <a:r>
              <a:rPr lang="en-US" sz="1100" b="1">
                <a:solidFill>
                  <a:schemeClr val="bg1"/>
                </a:solidFill>
              </a:rPr>
              <a:t>Washington</a:t>
            </a:r>
          </a:p>
        </c:rich>
      </c:tx>
      <c:layout>
        <c:manualLayout>
          <c:xMode val="edge"/>
          <c:yMode val="edge"/>
          <c:x val="9.7309971607037929E-2"/>
          <c:y val="6.9444444444444441E-3"/>
        </c:manualLayout>
      </c:layout>
      <c:overlay val="0"/>
      <c:spPr>
        <a:solidFill>
          <a:srgbClr val="002060"/>
        </a:solidFill>
        <a:ln>
          <a:noFill/>
        </a:ln>
        <a:effectLst/>
      </c:spPr>
      <c:txPr>
        <a:bodyPr rot="0" spcFirstLastPara="1" vertOverflow="ellipsis" vert="horz" wrap="square" anchor="ctr" anchorCtr="1"/>
        <a:lstStyle/>
        <a:p>
          <a:pPr>
            <a:defRPr sz="12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3251559165987685E-2"/>
          <c:y val="4.7318173278756918E-2"/>
          <c:w val="0.8621151897893452"/>
          <c:h val="0.69337883495297847"/>
        </c:manualLayout>
      </c:layout>
      <c:areaChart>
        <c:grouping val="stacked"/>
        <c:varyColors val="0"/>
        <c:ser>
          <c:idx val="0"/>
          <c:order val="0"/>
          <c:tx>
            <c:strRef>
              <c:f>'Compliance Data'!$AU$2</c:f>
              <c:strCache>
                <c:ptCount val="1"/>
                <c:pt idx="0">
                  <c:v>Renewable Supply Costs</c:v>
                </c:pt>
              </c:strCache>
            </c:strRef>
          </c:tx>
          <c:spPr>
            <a:solidFill>
              <a:srgbClr val="19A4C5"/>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Data'!$DF$4:$DF$32</c15:sqref>
                  </c15:fullRef>
                </c:ext>
              </c:extLst>
              <c:f>'Compliance Data'!$DF$5:$DF$32</c:f>
              <c:numCache>
                <c:formatCode>"$"#,##0.00</c:formatCode>
                <c:ptCount val="28"/>
                <c:pt idx="0">
                  <c:v>0.82196856166918109</c:v>
                </c:pt>
                <c:pt idx="1">
                  <c:v>0.81719225559630659</c:v>
                </c:pt>
                <c:pt idx="2">
                  <c:v>0.83188614681905315</c:v>
                </c:pt>
                <c:pt idx="3">
                  <c:v>0.92656246246856944</c:v>
                </c:pt>
                <c:pt idx="4">
                  <c:v>1.0218729313163408</c:v>
                </c:pt>
                <c:pt idx="5">
                  <c:v>1.1147476178025588</c:v>
                </c:pt>
                <c:pt idx="6">
                  <c:v>1.2076937254592224</c:v>
                </c:pt>
                <c:pt idx="7">
                  <c:v>1.2899742301710744</c:v>
                </c:pt>
                <c:pt idx="8">
                  <c:v>1.3709853756429067</c:v>
                </c:pt>
                <c:pt idx="9">
                  <c:v>1.4461849911791798</c:v>
                </c:pt>
                <c:pt idx="10">
                  <c:v>1.5296803918828212</c:v>
                </c:pt>
                <c:pt idx="11">
                  <c:v>1.607620390390702</c:v>
                </c:pt>
                <c:pt idx="12">
                  <c:v>1.6851253315738437</c:v>
                </c:pt>
                <c:pt idx="13">
                  <c:v>1.7557219481676736</c:v>
                </c:pt>
                <c:pt idx="14">
                  <c:v>1.8393672102986869</c:v>
                </c:pt>
                <c:pt idx="15">
                  <c:v>1.9164866531046918</c:v>
                </c:pt>
                <c:pt idx="16">
                  <c:v>1.9939520644202582</c:v>
                </c:pt>
                <c:pt idx="17">
                  <c:v>2.0634006796058211</c:v>
                </c:pt>
                <c:pt idx="18">
                  <c:v>2.1514385929942996</c:v>
                </c:pt>
                <c:pt idx="19">
                  <c:v>2.2361783174225951</c:v>
                </c:pt>
                <c:pt idx="20">
                  <c:v>2.3152864385785046</c:v>
                </c:pt>
                <c:pt idx="21">
                  <c:v>2.3992629344759893</c:v>
                </c:pt>
                <c:pt idx="22">
                  <c:v>2.5038172631127953</c:v>
                </c:pt>
                <c:pt idx="23">
                  <c:v>2.5994104278755601</c:v>
                </c:pt>
                <c:pt idx="24">
                  <c:v>2.7018927271152244</c:v>
                </c:pt>
                <c:pt idx="25">
                  <c:v>2.7943915533899628</c:v>
                </c:pt>
                <c:pt idx="26">
                  <c:v>2.9300911597112673</c:v>
                </c:pt>
                <c:pt idx="27">
                  <c:v>3.0574462168740513</c:v>
                </c:pt>
              </c:numCache>
            </c:numRef>
          </c:val>
          <c:extLst>
            <c:ext xmlns:c16="http://schemas.microsoft.com/office/drawing/2014/chart" uri="{C3380CC4-5D6E-409C-BE32-E72D297353CC}">
              <c16:uniqueId val="{00000000-EE78-4198-ACE3-C9F98C588EE6}"/>
            </c:ext>
          </c:extLst>
        </c:ser>
        <c:ser>
          <c:idx val="2"/>
          <c:order val="1"/>
          <c:tx>
            <c:strRef>
              <c:f>'Compliance Data'!$AY$2</c:f>
              <c:strCache>
                <c:ptCount val="1"/>
                <c:pt idx="0">
                  <c:v>Incremental Load Reductions Investments</c:v>
                </c:pt>
              </c:strCache>
            </c:strRef>
          </c:tx>
          <c:spPr>
            <a:solidFill>
              <a:schemeClr val="accent2">
                <a:lumMod val="75000"/>
              </a:schemeClr>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Data'!$DJ$4:$DJ$32</c15:sqref>
                  </c15:fullRef>
                </c:ext>
              </c:extLst>
              <c:f>'Compliance Data'!$DJ$5:$DJ$32</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EE78-4198-ACE3-C9F98C588EE6}"/>
            </c:ext>
          </c:extLst>
        </c:ser>
        <c:ser>
          <c:idx val="1"/>
          <c:order val="2"/>
          <c:tx>
            <c:v>Allowances and Offsets</c:v>
          </c:tx>
          <c:spPr>
            <a:solidFill>
              <a:schemeClr val="accent4">
                <a:lumMod val="40000"/>
                <a:lumOff val="60000"/>
              </a:schemeClr>
            </a:solidFill>
            <a:ln w="9525">
              <a:solidFill>
                <a:srgbClr val="9E5ECE"/>
              </a:solid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Data'!$DH$4:$DH$32</c15:sqref>
                  </c15:fullRef>
                </c:ext>
              </c:extLst>
              <c:f>'Compliance Data'!$DH$5:$DH$32</c:f>
              <c:numCache>
                <c:formatCode>"$"#,##0.00</c:formatCode>
                <c:ptCount val="28"/>
                <c:pt idx="0">
                  <c:v>5.4084677791812731E-2</c:v>
                </c:pt>
                <c:pt idx="1">
                  <c:v>0.10199227946101519</c:v>
                </c:pt>
                <c:pt idx="2">
                  <c:v>0.27519434248244229</c:v>
                </c:pt>
                <c:pt idx="3">
                  <c:v>0.47191533255540907</c:v>
                </c:pt>
                <c:pt idx="4">
                  <c:v>0.2153185138707934</c:v>
                </c:pt>
                <c:pt idx="5">
                  <c:v>0.69556801946249369</c:v>
                </c:pt>
                <c:pt idx="6">
                  <c:v>0.80791281800825365</c:v>
                </c:pt>
                <c:pt idx="7">
                  <c:v>0.94247496177308598</c:v>
                </c:pt>
                <c:pt idx="8">
                  <c:v>0.4451558190112061</c:v>
                </c:pt>
                <c:pt idx="9">
                  <c:v>1.0370997628353016</c:v>
                </c:pt>
                <c:pt idx="10">
                  <c:v>1.0599662824471341</c:v>
                </c:pt>
                <c:pt idx="11">
                  <c:v>1.0924737277720655</c:v>
                </c:pt>
                <c:pt idx="12">
                  <c:v>0.34271188156548521</c:v>
                </c:pt>
                <c:pt idx="13">
                  <c:v>1.0663447841654958</c:v>
                </c:pt>
                <c:pt idx="14">
                  <c:v>1.0123426866644154</c:v>
                </c:pt>
                <c:pt idx="15">
                  <c:v>0.94858203403684072</c:v>
                </c:pt>
                <c:pt idx="16">
                  <c:v>0.33466952451254295</c:v>
                </c:pt>
                <c:pt idx="17">
                  <c:v>0.56434843975652638</c:v>
                </c:pt>
                <c:pt idx="18">
                  <c:v>0.70761594370966263</c:v>
                </c:pt>
                <c:pt idx="19">
                  <c:v>0.60311295187483971</c:v>
                </c:pt>
                <c:pt idx="20">
                  <c:v>0.24821983892246777</c:v>
                </c:pt>
                <c:pt idx="21">
                  <c:v>0.22565560839615662</c:v>
                </c:pt>
                <c:pt idx="22">
                  <c:v>0.16856789084929877</c:v>
                </c:pt>
                <c:pt idx="23">
                  <c:v>0.11472874598605053</c:v>
                </c:pt>
                <c:pt idx="24">
                  <c:v>4.6874294448601639E-2</c:v>
                </c:pt>
                <c:pt idx="25">
                  <c:v>0</c:v>
                </c:pt>
                <c:pt idx="26">
                  <c:v>0</c:v>
                </c:pt>
                <c:pt idx="27">
                  <c:v>0</c:v>
                </c:pt>
              </c:numCache>
            </c:numRef>
          </c:val>
          <c:extLst>
            <c:ext xmlns:c16="http://schemas.microsoft.com/office/drawing/2014/chart" uri="{C3380CC4-5D6E-409C-BE32-E72D297353CC}">
              <c16:uniqueId val="{00000002-EE78-4198-ACE3-C9F98C588EE6}"/>
            </c:ext>
          </c:extLst>
        </c:ser>
        <c:dLbls>
          <c:showLegendKey val="0"/>
          <c:showVal val="0"/>
          <c:showCatName val="0"/>
          <c:showSerName val="0"/>
          <c:showPercent val="0"/>
          <c:showBubbleSize val="0"/>
        </c:dLbls>
        <c:axId val="878730176"/>
        <c:axId val="878732256"/>
      </c:areaChart>
      <c:catAx>
        <c:axId val="87873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2256"/>
        <c:crosses val="autoZero"/>
        <c:auto val="1"/>
        <c:lblAlgn val="ctr"/>
        <c:lblOffset val="100"/>
        <c:tickLblSkip val="2"/>
        <c:noMultiLvlLbl val="0"/>
      </c:catAx>
      <c:valAx>
        <c:axId val="8787322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0176"/>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Oregon</a:t>
            </a:r>
          </a:p>
        </c:rich>
      </c:tx>
      <c:layout>
        <c:manualLayout>
          <c:xMode val="edge"/>
          <c:yMode val="edge"/>
          <c:x val="0.15150984466860151"/>
          <c:y val="8.2703164815740241E-4"/>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5270747406574178"/>
          <c:y val="0.11068156588022651"/>
          <c:w val="0.79950599925009358"/>
          <c:h val="0.74918193258282861"/>
        </c:manualLayout>
      </c:layout>
      <c:scatterChart>
        <c:scatterStyle val="lineMarker"/>
        <c:varyColors val="0"/>
        <c:ser>
          <c:idx val="0"/>
          <c:order val="0"/>
          <c:tx>
            <c:strRef>
              <c:f>'Oregon Bill Impacts'!$BV$1</c:f>
              <c:strCache>
                <c:ptCount val="1"/>
                <c:pt idx="0">
                  <c:v>Actual History</c:v>
                </c:pt>
              </c:strCache>
            </c:strRef>
          </c:tx>
          <c:spPr>
            <a:ln w="38100" cap="rnd">
              <a:solidFill>
                <a:schemeClr val="tx1"/>
              </a:solidFill>
              <a:round/>
            </a:ln>
            <a:effectLst/>
          </c:spPr>
          <c:marker>
            <c:symbol val="none"/>
          </c:marker>
          <c:xVal>
            <c:numRef>
              <c:f>'Oregon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'Oregon Bill Impacts'!$BV$2:$BV$19</c:f>
              <c:numCache>
                <c:formatCode>"$"#,##0</c:formatCode>
                <c:ptCount val="18"/>
                <c:pt idx="0">
                  <c:v>1095.9646682932164</c:v>
                </c:pt>
                <c:pt idx="1">
                  <c:v>1225.972447958844</c:v>
                </c:pt>
                <c:pt idx="2">
                  <c:v>1263.2042329852618</c:v>
                </c:pt>
                <c:pt idx="3">
                  <c:v>1179.3627164317263</c:v>
                </c:pt>
                <c:pt idx="4">
                  <c:v>1325.0184080159611</c:v>
                </c:pt>
                <c:pt idx="5">
                  <c:v>947.34100129494436</c:v>
                </c:pt>
                <c:pt idx="6">
                  <c:v>1014.0143943885107</c:v>
                </c:pt>
                <c:pt idx="7">
                  <c:v>912.74275686951137</c:v>
                </c:pt>
                <c:pt idx="8">
                  <c:v>877.12734228683905</c:v>
                </c:pt>
                <c:pt idx="9">
                  <c:v>797.05228157849047</c:v>
                </c:pt>
                <c:pt idx="10">
                  <c:v>739.02947764403564</c:v>
                </c:pt>
                <c:pt idx="11">
                  <c:v>721.27643905182106</c:v>
                </c:pt>
                <c:pt idx="12">
                  <c:v>808.39890220156258</c:v>
                </c:pt>
                <c:pt idx="13">
                  <c:v>656.59939316963823</c:v>
                </c:pt>
                <c:pt idx="14">
                  <c:v>680.3485859851761</c:v>
                </c:pt>
                <c:pt idx="15">
                  <c:v>665.9295822951367</c:v>
                </c:pt>
                <c:pt idx="16">
                  <c:v>664</c:v>
                </c:pt>
                <c:pt idx="17">
                  <c:v>841.11827103329449</c:v>
                </c:pt>
              </c:numCache>
            </c:numRef>
          </c:yVal>
          <c:smooth val="0"/>
          <c:extLst>
            <c:ext xmlns:c16="http://schemas.microsoft.com/office/drawing/2014/chart" uri="{C3380CC4-5D6E-409C-BE32-E72D297353CC}">
              <c16:uniqueId val="{00000000-71C4-4F7B-826B-988CC9263E50}"/>
            </c:ext>
          </c:extLst>
        </c:ser>
        <c:ser>
          <c:idx val="1"/>
          <c:order val="1"/>
          <c:tx>
            <c:v>No Decarbonization Reference</c:v>
          </c:tx>
          <c:spPr>
            <a:ln w="38100" cap="rnd">
              <a:solidFill>
                <a:schemeClr val="tx1"/>
              </a:solidFill>
              <a:prstDash val="dash"/>
              <a:round/>
            </a:ln>
            <a:effectLst/>
          </c:spPr>
          <c:marker>
            <c:symbol val="none"/>
          </c:marker>
          <c:xVal>
            <c:numRef>
              <c:f>'Oregon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Impacts'!$AX$2:$AX$30</c:f>
              <c:numCache>
                <c:formatCode>"$"#,##0</c:formatCode>
                <c:ptCount val="29"/>
                <c:pt idx="0">
                  <c:v>841.11827103329449</c:v>
                </c:pt>
                <c:pt idx="1">
                  <c:v>811.83806892980283</c:v>
                </c:pt>
                <c:pt idx="2">
                  <c:v>759.77468733650142</c:v>
                </c:pt>
                <c:pt idx="3">
                  <c:v>755.41226208471096</c:v>
                </c:pt>
                <c:pt idx="4">
                  <c:v>785.90330068939556</c:v>
                </c:pt>
                <c:pt idx="5">
                  <c:v>796.48140073635921</c:v>
                </c:pt>
                <c:pt idx="6">
                  <c:v>785.55318394160724</c:v>
                </c:pt>
                <c:pt idx="7">
                  <c:v>758.25526531232276</c:v>
                </c:pt>
                <c:pt idx="8">
                  <c:v>738.67748188348639</c:v>
                </c:pt>
                <c:pt idx="9">
                  <c:v>736.04488383577632</c:v>
                </c:pt>
                <c:pt idx="10">
                  <c:v>736.78829207315937</c:v>
                </c:pt>
                <c:pt idx="11">
                  <c:v>733.17191911495206</c:v>
                </c:pt>
                <c:pt idx="12">
                  <c:v>731.60166077657107</c:v>
                </c:pt>
                <c:pt idx="13">
                  <c:v>728.71171311716239</c:v>
                </c:pt>
                <c:pt idx="14">
                  <c:v>729.8555365095591</c:v>
                </c:pt>
                <c:pt idx="15">
                  <c:v>726.52297787516557</c:v>
                </c:pt>
                <c:pt idx="16">
                  <c:v>724.33412253646088</c:v>
                </c:pt>
                <c:pt idx="17">
                  <c:v>725.28054570601068</c:v>
                </c:pt>
                <c:pt idx="18">
                  <c:v>734.24406682394522</c:v>
                </c:pt>
                <c:pt idx="19">
                  <c:v>734.15991442943539</c:v>
                </c:pt>
                <c:pt idx="20">
                  <c:v>731.77805089199364</c:v>
                </c:pt>
                <c:pt idx="21">
                  <c:v>726.68834764336248</c:v>
                </c:pt>
                <c:pt idx="22">
                  <c:v>735.19580921280908</c:v>
                </c:pt>
                <c:pt idx="23">
                  <c:v>735.52678011417481</c:v>
                </c:pt>
                <c:pt idx="24">
                  <c:v>734.33958559566668</c:v>
                </c:pt>
                <c:pt idx="25">
                  <c:v>735.68796287735188</c:v>
                </c:pt>
                <c:pt idx="26">
                  <c:v>743.66837517391002</c:v>
                </c:pt>
                <c:pt idx="27">
                  <c:v>746.1059147193298</c:v>
                </c:pt>
                <c:pt idx="28">
                  <c:v>754.14904840776921</c:v>
                </c:pt>
              </c:numCache>
            </c:numRef>
          </c:yVal>
          <c:smooth val="0"/>
          <c:extLst>
            <c:ext xmlns:c16="http://schemas.microsoft.com/office/drawing/2014/chart" uri="{C3380CC4-5D6E-409C-BE32-E72D297353CC}">
              <c16:uniqueId val="{00000001-71C4-4F7B-826B-988CC9263E50}"/>
            </c:ext>
          </c:extLst>
        </c:ser>
        <c:ser>
          <c:idx val="2"/>
          <c:order val="2"/>
          <c:tx>
            <c:strRef>
              <c:f>'Oregon Bill Impacts'!$BZ$1</c:f>
              <c:strCache>
                <c:ptCount val="1"/>
                <c:pt idx="0">
                  <c:v>With Decarbonization</c:v>
                </c:pt>
              </c:strCache>
            </c:strRef>
          </c:tx>
          <c:spPr>
            <a:ln w="38100" cap="rnd">
              <a:solidFill>
                <a:srgbClr val="00B050"/>
              </a:solidFill>
              <a:prstDash val="sysDash"/>
              <a:round/>
            </a:ln>
            <a:effectLst/>
          </c:spPr>
          <c:marker>
            <c:symbol val="none"/>
          </c:marker>
          <c:xVal>
            <c:numRef>
              <c:f>'Oregon Bill Impacts'!$CC$2:$CC$30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Impacts'!$BZ$2:$BZ$30</c:f>
              <c:numCache>
                <c:formatCode>"$"#,##0</c:formatCode>
                <c:ptCount val="29"/>
                <c:pt idx="0">
                  <c:v>847.53911256862887</c:v>
                </c:pt>
                <c:pt idx="1">
                  <c:v>853.8643306779901</c:v>
                </c:pt>
                <c:pt idx="2">
                  <c:v>817.59591740918495</c:v>
                </c:pt>
                <c:pt idx="3">
                  <c:v>836.08564293360621</c:v>
                </c:pt>
                <c:pt idx="4">
                  <c:v>893.85625018228518</c:v>
                </c:pt>
                <c:pt idx="5">
                  <c:v>936.56973524192961</c:v>
                </c:pt>
                <c:pt idx="6">
                  <c:v>966.07371775718809</c:v>
                </c:pt>
                <c:pt idx="7">
                  <c:v>973.35671707762504</c:v>
                </c:pt>
                <c:pt idx="8">
                  <c:v>992.93484098239969</c:v>
                </c:pt>
                <c:pt idx="9">
                  <c:v>1033.6849464021911</c:v>
                </c:pt>
                <c:pt idx="10">
                  <c:v>1082.8349108722705</c:v>
                </c:pt>
                <c:pt idx="11">
                  <c:v>1126.1630402471699</c:v>
                </c:pt>
                <c:pt idx="12">
                  <c:v>1177.2243689478046</c:v>
                </c:pt>
                <c:pt idx="13">
                  <c:v>1231.5165222784244</c:v>
                </c:pt>
                <c:pt idx="14">
                  <c:v>1291.2241741836299</c:v>
                </c:pt>
                <c:pt idx="15">
                  <c:v>1345.7558646571649</c:v>
                </c:pt>
                <c:pt idx="16">
                  <c:v>1410.9509282853639</c:v>
                </c:pt>
                <c:pt idx="17">
                  <c:v>1485.2664720147172</c:v>
                </c:pt>
                <c:pt idx="18">
                  <c:v>1576.411525954594</c:v>
                </c:pt>
                <c:pt idx="19">
                  <c:v>1671.9812701783781</c:v>
                </c:pt>
                <c:pt idx="20">
                  <c:v>1772.1606438526946</c:v>
                </c:pt>
                <c:pt idx="21">
                  <c:v>1883.0541387986921</c:v>
                </c:pt>
                <c:pt idx="22">
                  <c:v>2039.6309446431424</c:v>
                </c:pt>
                <c:pt idx="23">
                  <c:v>2195.8667121352732</c:v>
                </c:pt>
                <c:pt idx="24">
                  <c:v>2379.4415382089146</c:v>
                </c:pt>
                <c:pt idx="25">
                  <c:v>2602.2427130647438</c:v>
                </c:pt>
                <c:pt idx="26">
                  <c:v>2887.8605565068478</c:v>
                </c:pt>
                <c:pt idx="27">
                  <c:v>3229.8135541532915</c:v>
                </c:pt>
                <c:pt idx="28">
                  <c:v>3687.2345527255284</c:v>
                </c:pt>
              </c:numCache>
            </c:numRef>
          </c:yVal>
          <c:smooth val="0"/>
          <c:extLst>
            <c:ext xmlns:c16="http://schemas.microsoft.com/office/drawing/2014/chart" uri="{C3380CC4-5D6E-409C-BE32-E72D297353CC}">
              <c16:uniqueId val="{00000002-71C4-4F7B-826B-988CC9263E50}"/>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majorUnit val="5"/>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Washington</a:t>
            </a:r>
            <a:r>
              <a:rPr lang="en-US" sz="1200" b="1">
                <a:solidFill>
                  <a:schemeClr val="bg1"/>
                </a:solidFill>
              </a:rPr>
              <a:t> </a:t>
            </a:r>
          </a:p>
        </c:rich>
      </c:tx>
      <c:layout>
        <c:manualLayout>
          <c:xMode val="edge"/>
          <c:yMode val="edge"/>
          <c:x val="0.15801378454314166"/>
          <c:y val="4.2314589735490918E-2"/>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5965754280714911"/>
          <c:y val="0.11829319814110689"/>
          <c:w val="0.79255593050868645"/>
          <c:h val="0.72874507874015748"/>
        </c:manualLayout>
      </c:layout>
      <c:scatterChart>
        <c:scatterStyle val="lineMarker"/>
        <c:varyColors val="0"/>
        <c:ser>
          <c:idx val="0"/>
          <c:order val="0"/>
          <c:tx>
            <c:strRef>
              <c:f>'Washington Bill Impacts'!$BV$1</c:f>
              <c:strCache>
                <c:ptCount val="1"/>
                <c:pt idx="0">
                  <c:v>Actual History</c:v>
                </c:pt>
              </c:strCache>
            </c:strRef>
          </c:tx>
          <c:spPr>
            <a:ln w="38100" cap="rnd">
              <a:solidFill>
                <a:schemeClr val="tx1"/>
              </a:solidFill>
              <a:round/>
            </a:ln>
            <a:effectLst/>
          </c:spPr>
          <c:marker>
            <c:symbol val="none"/>
          </c:marker>
          <c:xVal>
            <c:numRef>
              <c:f>'Washington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'Washington Bill Impacts'!$BV$2:$BV$19</c:f>
              <c:numCache>
                <c:formatCode>"$"#,##0</c:formatCode>
                <c:ptCount val="18"/>
                <c:pt idx="0">
                  <c:v>1078.9909517546125</c:v>
                </c:pt>
                <c:pt idx="1">
                  <c:v>1173.520907567455</c:v>
                </c:pt>
                <c:pt idx="2">
                  <c:v>1204.1400860756708</c:v>
                </c:pt>
                <c:pt idx="3">
                  <c:v>1104.4038310483381</c:v>
                </c:pt>
                <c:pt idx="4">
                  <c:v>1341.5283869983891</c:v>
                </c:pt>
                <c:pt idx="5">
                  <c:v>1199.1738883264741</c:v>
                </c:pt>
                <c:pt idx="6">
                  <c:v>1018.0996837387607</c:v>
                </c:pt>
                <c:pt idx="7">
                  <c:v>894.70350278877538</c:v>
                </c:pt>
                <c:pt idx="8">
                  <c:v>845.56474154617013</c:v>
                </c:pt>
                <c:pt idx="9">
                  <c:v>767.46085137821638</c:v>
                </c:pt>
                <c:pt idx="10">
                  <c:v>739.29717233644146</c:v>
                </c:pt>
                <c:pt idx="11">
                  <c:v>664.32735262355322</c:v>
                </c:pt>
                <c:pt idx="12">
                  <c:v>753.66987775764551</c:v>
                </c:pt>
                <c:pt idx="13">
                  <c:v>632.92428662675661</c:v>
                </c:pt>
                <c:pt idx="14">
                  <c:v>636.06250066157088</c:v>
                </c:pt>
                <c:pt idx="15">
                  <c:v>643.68279815281073</c:v>
                </c:pt>
                <c:pt idx="16">
                  <c:v>667</c:v>
                </c:pt>
                <c:pt idx="17">
                  <c:v>848.86456590037983</c:v>
                </c:pt>
              </c:numCache>
            </c:numRef>
          </c:yVal>
          <c:smooth val="0"/>
          <c:extLst>
            <c:ext xmlns:c16="http://schemas.microsoft.com/office/drawing/2014/chart" uri="{C3380CC4-5D6E-409C-BE32-E72D297353CC}">
              <c16:uniqueId val="{00000000-CF0B-4307-BAD8-CB95BD209926}"/>
            </c:ext>
          </c:extLst>
        </c:ser>
        <c:ser>
          <c:idx val="1"/>
          <c:order val="1"/>
          <c:tx>
            <c:v>No Decarbonization Reference</c:v>
          </c:tx>
          <c:spPr>
            <a:ln w="38100" cap="rnd">
              <a:solidFill>
                <a:schemeClr val="tx1"/>
              </a:solidFill>
              <a:prstDash val="dash"/>
              <a:round/>
            </a:ln>
            <a:effectLst/>
          </c:spPr>
          <c:marker>
            <c:symbol val="none"/>
          </c:marker>
          <c:xVal>
            <c:numRef>
              <c:f>'Washington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Impacts'!$AX$2:$AX$30</c:f>
              <c:numCache>
                <c:formatCode>"$"#,##0</c:formatCode>
                <c:ptCount val="29"/>
                <c:pt idx="0">
                  <c:v>848.86456590037983</c:v>
                </c:pt>
                <c:pt idx="1">
                  <c:v>821.12639078450138</c:v>
                </c:pt>
                <c:pt idx="2">
                  <c:v>767.61342474246817</c:v>
                </c:pt>
                <c:pt idx="3">
                  <c:v>764.06285989233652</c:v>
                </c:pt>
                <c:pt idx="4">
                  <c:v>796.78752528317762</c:v>
                </c:pt>
                <c:pt idx="5">
                  <c:v>809.07284644193453</c:v>
                </c:pt>
                <c:pt idx="6">
                  <c:v>798.89054466948346</c:v>
                </c:pt>
                <c:pt idx="7">
                  <c:v>771.2936296079713</c:v>
                </c:pt>
                <c:pt idx="8">
                  <c:v>751.63896175453533</c:v>
                </c:pt>
                <c:pt idx="9">
                  <c:v>749.90316562052499</c:v>
                </c:pt>
                <c:pt idx="10">
                  <c:v>751.66916041257241</c:v>
                </c:pt>
                <c:pt idx="11">
                  <c:v>748.81267092268206</c:v>
                </c:pt>
                <c:pt idx="12">
                  <c:v>748.11825170575014</c:v>
                </c:pt>
                <c:pt idx="13">
                  <c:v>745.81151794082587</c:v>
                </c:pt>
                <c:pt idx="14">
                  <c:v>747.93767446745346</c:v>
                </c:pt>
                <c:pt idx="15">
                  <c:v>745.15927748222396</c:v>
                </c:pt>
                <c:pt idx="16">
                  <c:v>743.58231149464643</c:v>
                </c:pt>
                <c:pt idx="17">
                  <c:v>745.43368215656244</c:v>
                </c:pt>
                <c:pt idx="18">
                  <c:v>756.14863153907152</c:v>
                </c:pt>
                <c:pt idx="19">
                  <c:v>756.90214956230147</c:v>
                </c:pt>
                <c:pt idx="20">
                  <c:v>755.15443781342412</c:v>
                </c:pt>
                <c:pt idx="21">
                  <c:v>750.41924994521219</c:v>
                </c:pt>
                <c:pt idx="22">
                  <c:v>760.82630549446208</c:v>
                </c:pt>
                <c:pt idx="23">
                  <c:v>762.07529842309214</c:v>
                </c:pt>
                <c:pt idx="24">
                  <c:v>761.66633805589811</c:v>
                </c:pt>
                <c:pt idx="25">
                  <c:v>764.09932618637401</c:v>
                </c:pt>
                <c:pt idx="26">
                  <c:v>774.02492504683187</c:v>
                </c:pt>
                <c:pt idx="27">
                  <c:v>777.57246818408498</c:v>
                </c:pt>
                <c:pt idx="28">
                  <c:v>787.60693686547972</c:v>
                </c:pt>
              </c:numCache>
            </c:numRef>
          </c:yVal>
          <c:smooth val="0"/>
          <c:extLst>
            <c:ext xmlns:c16="http://schemas.microsoft.com/office/drawing/2014/chart" uri="{C3380CC4-5D6E-409C-BE32-E72D297353CC}">
              <c16:uniqueId val="{00000001-CF0B-4307-BAD8-CB95BD209926}"/>
            </c:ext>
          </c:extLst>
        </c:ser>
        <c:ser>
          <c:idx val="2"/>
          <c:order val="2"/>
          <c:tx>
            <c:strRef>
              <c:f>'Washington Bill Impacts'!$BZ$1</c:f>
              <c:strCache>
                <c:ptCount val="1"/>
                <c:pt idx="0">
                  <c:v>With Decarbonization</c:v>
                </c:pt>
              </c:strCache>
            </c:strRef>
          </c:tx>
          <c:spPr>
            <a:ln w="38100" cap="rnd">
              <a:solidFill>
                <a:srgbClr val="00B050"/>
              </a:solidFill>
              <a:prstDash val="sysDash"/>
              <a:round/>
            </a:ln>
            <a:effectLst/>
          </c:spPr>
          <c:marker>
            <c:symbol val="none"/>
          </c:marker>
          <c:xVal>
            <c:numRef>
              <c:f>'Washington Bill Impacts'!$BY$2:$BY$30</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Impacts'!$BZ$2:$BZ$30</c:f>
              <c:numCache>
                <c:formatCode>"$"#,##0</c:formatCode>
                <c:ptCount val="29"/>
                <c:pt idx="0">
                  <c:v>860.29008449591413</c:v>
                </c:pt>
                <c:pt idx="1">
                  <c:v>896.37441727332623</c:v>
                </c:pt>
                <c:pt idx="2">
                  <c:v>860.49599157324656</c:v>
                </c:pt>
                <c:pt idx="3">
                  <c:v>892.37184066711143</c:v>
                </c:pt>
                <c:pt idx="4">
                  <c:v>966.49514747273793</c:v>
                </c:pt>
                <c:pt idx="5">
                  <c:v>990.28826851458791</c:v>
                </c:pt>
                <c:pt idx="6">
                  <c:v>1043.9007462385744</c:v>
                </c:pt>
                <c:pt idx="7">
                  <c:v>1056.3314698245367</c:v>
                </c:pt>
                <c:pt idx="8">
                  <c:v>1079.8503519753658</c:v>
                </c:pt>
                <c:pt idx="9">
                  <c:v>1082.2469190361755</c:v>
                </c:pt>
                <c:pt idx="10">
                  <c:v>1162.8483459205449</c:v>
                </c:pt>
                <c:pt idx="11">
                  <c:v>1202.2930320703224</c:v>
                </c:pt>
                <c:pt idx="12">
                  <c:v>1247.7783723455934</c:v>
                </c:pt>
                <c:pt idx="13">
                  <c:v>1244.1902281344192</c:v>
                </c:pt>
                <c:pt idx="14">
                  <c:v>1346.0644477902545</c:v>
                </c:pt>
                <c:pt idx="15">
                  <c:v>1395.2400449710942</c:v>
                </c:pt>
                <c:pt idx="16">
                  <c:v>1453.2161874957642</c:v>
                </c:pt>
                <c:pt idx="17">
                  <c:v>1483.7782251335393</c:v>
                </c:pt>
                <c:pt idx="18">
                  <c:v>1585.2076003637851</c:v>
                </c:pt>
                <c:pt idx="19">
                  <c:v>1679.995043895517</c:v>
                </c:pt>
                <c:pt idx="20">
                  <c:v>1767.0543939565337</c:v>
                </c:pt>
                <c:pt idx="21">
                  <c:v>1847.8394211261109</c:v>
                </c:pt>
                <c:pt idx="22">
                  <c:v>1984.4989743660462</c:v>
                </c:pt>
                <c:pt idx="23">
                  <c:v>2130.3769082638823</c:v>
                </c:pt>
                <c:pt idx="24">
                  <c:v>2300.7904749476866</c:v>
                </c:pt>
                <c:pt idx="25">
                  <c:v>2508.7373722620473</c:v>
                </c:pt>
                <c:pt idx="26">
                  <c:v>2781.1053107298576</c:v>
                </c:pt>
                <c:pt idx="27">
                  <c:v>3113.2058891284287</c:v>
                </c:pt>
                <c:pt idx="28">
                  <c:v>3559.3083864174523</c:v>
                </c:pt>
              </c:numCache>
            </c:numRef>
          </c:yVal>
          <c:smooth val="0"/>
          <c:extLst>
            <c:ext xmlns:c16="http://schemas.microsoft.com/office/drawing/2014/chart" uri="{C3380CC4-5D6E-409C-BE32-E72D297353CC}">
              <c16:uniqueId val="{00000002-CF0B-4307-BAD8-CB95BD209926}"/>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majorUnit val="5"/>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Oregon </a:t>
            </a:r>
          </a:p>
        </c:rich>
      </c:tx>
      <c:layout>
        <c:manualLayout>
          <c:xMode val="edge"/>
          <c:yMode val="edge"/>
          <c:x val="0.12523436014864864"/>
          <c:y val="1.2218791515014538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4415048118985124"/>
          <c:y val="0.10655205360977045"/>
          <c:w val="0.82529396325459314"/>
          <c:h val="0.74777045982296997"/>
        </c:manualLayout>
      </c:layout>
      <c:scatterChart>
        <c:scatterStyle val="lineMarker"/>
        <c:varyColors val="0"/>
        <c:ser>
          <c:idx val="0"/>
          <c:order val="0"/>
          <c:tx>
            <c:strRef>
              <c:f>'Oregon Bill Impacts'!$BV$1</c:f>
              <c:strCache>
                <c:ptCount val="1"/>
                <c:pt idx="0">
                  <c:v>Actual History</c:v>
                </c:pt>
              </c:strCache>
            </c:strRef>
          </c:tx>
          <c:spPr>
            <a:ln w="38100" cap="rnd">
              <a:solidFill>
                <a:sysClr val="windowText" lastClr="000000"/>
              </a:solidFill>
              <a:round/>
            </a:ln>
            <a:effectLst/>
          </c:spPr>
          <c:marker>
            <c:symbol val="none"/>
          </c:marker>
          <c:xVal>
            <c:numRef>
              <c:f>'Oregon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'Oregon Bill Impacts'!$BW$2:$BW$19</c:f>
              <c:numCache>
                <c:formatCode>0</c:formatCode>
                <c:ptCount val="18"/>
                <c:pt idx="0">
                  <c:v>655.72140379465486</c:v>
                </c:pt>
                <c:pt idx="1">
                  <c:v>657.36709039684763</c:v>
                </c:pt>
                <c:pt idx="2">
                  <c:v>673.38108752498158</c:v>
                </c:pt>
                <c:pt idx="3">
                  <c:v>698.51266385950805</c:v>
                </c:pt>
                <c:pt idx="4">
                  <c:v>690.13327180944827</c:v>
                </c:pt>
                <c:pt idx="5">
                  <c:v>611.31088588053024</c:v>
                </c:pt>
                <c:pt idx="6">
                  <c:v>683.97477850892312</c:v>
                </c:pt>
                <c:pt idx="7">
                  <c:v>631.76594941012047</c:v>
                </c:pt>
                <c:pt idx="8">
                  <c:v>661.15795537305758</c:v>
                </c:pt>
                <c:pt idx="9">
                  <c:v>593.78490645660429</c:v>
                </c:pt>
                <c:pt idx="10">
                  <c:v>538.65107323769143</c:v>
                </c:pt>
                <c:pt idx="11">
                  <c:v>573.92952289021355</c:v>
                </c:pt>
                <c:pt idx="12">
                  <c:v>691.68919255620392</c:v>
                </c:pt>
                <c:pt idx="13">
                  <c:v>602.10823903367248</c:v>
                </c:pt>
                <c:pt idx="14">
                  <c:v>657.51837076888887</c:v>
                </c:pt>
                <c:pt idx="15">
                  <c:v>615</c:v>
                </c:pt>
                <c:pt idx="16">
                  <c:v>604</c:v>
                </c:pt>
                <c:pt idx="17">
                  <c:v>627.75040502933007</c:v>
                </c:pt>
              </c:numCache>
            </c:numRef>
          </c:yVal>
          <c:smooth val="0"/>
          <c:extLst>
            <c:ext xmlns:c16="http://schemas.microsoft.com/office/drawing/2014/chart" uri="{C3380CC4-5D6E-409C-BE32-E72D297353CC}">
              <c16:uniqueId val="{00000000-E47B-4A8E-8E08-CDEF3B0F9140}"/>
            </c:ext>
          </c:extLst>
        </c:ser>
        <c:ser>
          <c:idx val="1"/>
          <c:order val="1"/>
          <c:tx>
            <c:v>No Decarbonization Reference</c:v>
          </c:tx>
          <c:spPr>
            <a:ln w="38100" cap="rnd">
              <a:solidFill>
                <a:sysClr val="windowText" lastClr="000000"/>
              </a:solidFill>
              <a:prstDash val="dash"/>
              <a:round/>
            </a:ln>
            <a:effectLst/>
          </c:spPr>
          <c:marker>
            <c:symbol val="none"/>
          </c:marker>
          <c:xVal>
            <c:numRef>
              <c:f>'Oregon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Impacts'!$AL$2:$AL$30</c:f>
              <c:numCache>
                <c:formatCode>0</c:formatCode>
                <c:ptCount val="29"/>
                <c:pt idx="0">
                  <c:v>627.75040502933007</c:v>
                </c:pt>
                <c:pt idx="1">
                  <c:v>620.83832892042471</c:v>
                </c:pt>
                <c:pt idx="2">
                  <c:v>617.41733792979107</c:v>
                </c:pt>
                <c:pt idx="3">
                  <c:v>605.72331551469085</c:v>
                </c:pt>
                <c:pt idx="4">
                  <c:v>598.29456339879073</c:v>
                </c:pt>
                <c:pt idx="5">
                  <c:v>590.66751811017059</c:v>
                </c:pt>
                <c:pt idx="6">
                  <c:v>586.65034767556403</c:v>
                </c:pt>
                <c:pt idx="7">
                  <c:v>575.6523551320995</c:v>
                </c:pt>
                <c:pt idx="8">
                  <c:v>568.41993937912912</c:v>
                </c:pt>
                <c:pt idx="9">
                  <c:v>561.34726871971623</c:v>
                </c:pt>
                <c:pt idx="10">
                  <c:v>558.03645536109809</c:v>
                </c:pt>
                <c:pt idx="11">
                  <c:v>548.00000016814613</c:v>
                </c:pt>
                <c:pt idx="12">
                  <c:v>541.60506561517002</c:v>
                </c:pt>
                <c:pt idx="13">
                  <c:v>535.77528889476298</c:v>
                </c:pt>
                <c:pt idx="14">
                  <c:v>533.21252076764483</c:v>
                </c:pt>
                <c:pt idx="15">
                  <c:v>524.26832926594852</c:v>
                </c:pt>
                <c:pt idx="16">
                  <c:v>518.80922764480044</c:v>
                </c:pt>
                <c:pt idx="17">
                  <c:v>513.47743823737699</c:v>
                </c:pt>
                <c:pt idx="18">
                  <c:v>511.26570300774637</c:v>
                </c:pt>
                <c:pt idx="19">
                  <c:v>502.98213655839754</c:v>
                </c:pt>
                <c:pt idx="20">
                  <c:v>497.87630810630833</c:v>
                </c:pt>
                <c:pt idx="21">
                  <c:v>492.78627518434189</c:v>
                </c:pt>
                <c:pt idx="22">
                  <c:v>490.86520526035451</c:v>
                </c:pt>
                <c:pt idx="23">
                  <c:v>483.01803819994808</c:v>
                </c:pt>
                <c:pt idx="24">
                  <c:v>478.26222383922493</c:v>
                </c:pt>
                <c:pt idx="25">
                  <c:v>473.58443998825737</c:v>
                </c:pt>
                <c:pt idx="26">
                  <c:v>471.99427289129466</c:v>
                </c:pt>
                <c:pt idx="27">
                  <c:v>464.76560082130271</c:v>
                </c:pt>
                <c:pt idx="28">
                  <c:v>460.45141296098137</c:v>
                </c:pt>
              </c:numCache>
            </c:numRef>
          </c:yVal>
          <c:smooth val="0"/>
          <c:extLst>
            <c:ext xmlns:c16="http://schemas.microsoft.com/office/drawing/2014/chart" uri="{C3380CC4-5D6E-409C-BE32-E72D297353CC}">
              <c16:uniqueId val="{00000001-E47B-4A8E-8E08-CDEF3B0F9140}"/>
            </c:ext>
          </c:extLst>
        </c:ser>
        <c:ser>
          <c:idx val="2"/>
          <c:order val="2"/>
          <c:tx>
            <c:strRef>
              <c:f>'Oregon Bill Impacts'!$BZ$1</c:f>
              <c:strCache>
                <c:ptCount val="1"/>
                <c:pt idx="0">
                  <c:v>With Decarbonization</c:v>
                </c:pt>
              </c:strCache>
            </c:strRef>
          </c:tx>
          <c:spPr>
            <a:ln w="38100" cap="rnd">
              <a:solidFill>
                <a:srgbClr val="00B050"/>
              </a:solidFill>
              <a:prstDash val="sysDash"/>
              <a:round/>
            </a:ln>
            <a:effectLst/>
          </c:spPr>
          <c:marker>
            <c:symbol val="none"/>
          </c:marker>
          <c:xVal>
            <c:numRef>
              <c:f>'Oregon Bill Impacts'!$CC$2:$CC$30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Impacts'!$CA$2:$CA$30</c:f>
              <c:numCache>
                <c:formatCode>0</c:formatCode>
                <c:ptCount val="29"/>
                <c:pt idx="0">
                  <c:v>628.68262085003812</c:v>
                </c:pt>
                <c:pt idx="1">
                  <c:v>624.05615895693927</c:v>
                </c:pt>
                <c:pt idx="2">
                  <c:v>623.53216559772852</c:v>
                </c:pt>
                <c:pt idx="3">
                  <c:v>606.27857774745985</c:v>
                </c:pt>
                <c:pt idx="4">
                  <c:v>604.13911905317877</c:v>
                </c:pt>
                <c:pt idx="5">
                  <c:v>601.96869159850178</c:v>
                </c:pt>
                <c:pt idx="6">
                  <c:v>603.39054786028885</c:v>
                </c:pt>
                <c:pt idx="7">
                  <c:v>597.44922620297552</c:v>
                </c:pt>
                <c:pt idx="8">
                  <c:v>595.21206285821143</c:v>
                </c:pt>
                <c:pt idx="9">
                  <c:v>592.90325037858167</c:v>
                </c:pt>
                <c:pt idx="10">
                  <c:v>594.38786575752135</c:v>
                </c:pt>
                <c:pt idx="11">
                  <c:v>588.48286530930022</c:v>
                </c:pt>
                <c:pt idx="12">
                  <c:v>586.05192086459067</c:v>
                </c:pt>
                <c:pt idx="13">
                  <c:v>583.80202566803655</c:v>
                </c:pt>
                <c:pt idx="14">
                  <c:v>585.01418874111653</c:v>
                </c:pt>
                <c:pt idx="15">
                  <c:v>579.04056451674967</c:v>
                </c:pt>
                <c:pt idx="16">
                  <c:v>576.66807225117191</c:v>
                </c:pt>
                <c:pt idx="17">
                  <c:v>574.26055833220698</c:v>
                </c:pt>
                <c:pt idx="18">
                  <c:v>575.33525643722169</c:v>
                </c:pt>
                <c:pt idx="19">
                  <c:v>569.41913242716043</c:v>
                </c:pt>
                <c:pt idx="20">
                  <c:v>566.92729554456378</c:v>
                </c:pt>
                <c:pt idx="21">
                  <c:v>564.29185520104215</c:v>
                </c:pt>
                <c:pt idx="22">
                  <c:v>565.21886096603191</c:v>
                </c:pt>
                <c:pt idx="23">
                  <c:v>559.13692398868875</c:v>
                </c:pt>
                <c:pt idx="24">
                  <c:v>556.51844418860799</c:v>
                </c:pt>
                <c:pt idx="25">
                  <c:v>553.88033853294166</c:v>
                </c:pt>
                <c:pt idx="26">
                  <c:v>554.67410690387578</c:v>
                </c:pt>
                <c:pt idx="27">
                  <c:v>548.51363492244479</c:v>
                </c:pt>
                <c:pt idx="28">
                  <c:v>545.71023407646078</c:v>
                </c:pt>
              </c:numCache>
            </c:numRef>
          </c:yVal>
          <c:smooth val="0"/>
          <c:extLst>
            <c:ext xmlns:c16="http://schemas.microsoft.com/office/drawing/2014/chart" uri="{C3380CC4-5D6E-409C-BE32-E72D297353CC}">
              <c16:uniqueId val="{00000002-E47B-4A8E-8E08-CDEF3B0F9140}"/>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Annual Average Usage (therms)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Heating</a:t>
            </a:r>
            <a:r>
              <a:rPr lang="en-US" sz="1100" b="1" baseline="0">
                <a:solidFill>
                  <a:schemeClr val="bg1"/>
                </a:solidFill>
              </a:rPr>
              <a:t> Equipment Penetration</a:t>
            </a:r>
            <a:endParaRPr lang="en-US" sz="1100" b="1">
              <a:solidFill>
                <a:schemeClr val="bg1"/>
              </a:solidFill>
            </a:endParaRPr>
          </a:p>
        </c:rich>
      </c:tx>
      <c:layout>
        <c:manualLayout>
          <c:xMode val="edge"/>
          <c:yMode val="edge"/>
          <c:x val="0.2227292010135288"/>
          <c:y val="6.0560986139759874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3487140031791797"/>
          <c:y val="0.15774585343767497"/>
          <c:w val="0.83285160437691763"/>
          <c:h val="0.71266805191017779"/>
        </c:manualLayout>
      </c:layout>
      <c:areaChart>
        <c:grouping val="stacked"/>
        <c:varyColors val="0"/>
        <c:ser>
          <c:idx val="1"/>
          <c:order val="0"/>
          <c:tx>
            <c:strRef>
              <c:f>'Heating Equipment Penetration'!$C$1</c:f>
              <c:strCache>
                <c:ptCount val="1"/>
                <c:pt idx="0">
                  <c:v>Gas Heat Pump</c:v>
                </c:pt>
              </c:strCache>
            </c:strRef>
          </c:tx>
          <c:spPr>
            <a:solidFill>
              <a:schemeClr val="accent5">
                <a:lumMod val="5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Penetration'!$C$32:$C$60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A9DB-4444-99A7-B3E29FCECB36}"/>
            </c:ext>
          </c:extLst>
        </c:ser>
        <c:ser>
          <c:idx val="2"/>
          <c:order val="1"/>
          <c:tx>
            <c:strRef>
              <c:f>'Heating Equipment Penetration'!$D$1</c:f>
              <c:strCache>
                <c:ptCount val="1"/>
                <c:pt idx="0">
                  <c:v>Dual-Fuel System</c:v>
                </c:pt>
              </c:strCache>
            </c:strRef>
          </c:tx>
          <c:spPr>
            <a:solidFill>
              <a:schemeClr val="accent5">
                <a:lumMod val="60000"/>
                <a:lumOff val="4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Penetration'!$D$32:$D$60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A9DB-4444-99A7-B3E29FCECB36}"/>
            </c:ext>
          </c:extLst>
        </c:ser>
        <c:ser>
          <c:idx val="3"/>
          <c:order val="2"/>
          <c:tx>
            <c:strRef>
              <c:f>'Heating Equipment Penetration'!$E$1</c:f>
              <c:strCache>
                <c:ptCount val="1"/>
                <c:pt idx="0">
                  <c:v>Furnace/Boiler</c:v>
                </c:pt>
              </c:strCache>
            </c:strRef>
          </c:tx>
          <c:spPr>
            <a:solidFill>
              <a:schemeClr val="accent4">
                <a:lumMod val="60000"/>
                <a:lumOff val="4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Penetration'!$E$32:$E$60</c:f>
              <c:numCache>
                <c:formatCode>0%</c:formatCode>
                <c:ptCount val="2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2-A9DB-4444-99A7-B3E29FCECB36}"/>
            </c:ext>
          </c:extLst>
        </c:ser>
        <c:dLbls>
          <c:showLegendKey val="0"/>
          <c:showVal val="0"/>
          <c:showCatName val="0"/>
          <c:showSerName val="0"/>
          <c:showPercent val="0"/>
          <c:showBubbleSize val="0"/>
        </c:dLbls>
        <c:axId val="1022638608"/>
        <c:axId val="1022617392"/>
      </c:area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Washington</a:t>
            </a:r>
            <a:r>
              <a:rPr lang="en-US" sz="1200" b="1">
                <a:solidFill>
                  <a:schemeClr val="bg1"/>
                </a:solidFill>
              </a:rPr>
              <a:t> </a:t>
            </a:r>
          </a:p>
        </c:rich>
      </c:tx>
      <c:layout>
        <c:manualLayout>
          <c:xMode val="edge"/>
          <c:yMode val="edge"/>
          <c:x val="0.16095869258993262"/>
          <c:y val="5.1320539416108008E-3"/>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6225916952610592"/>
          <c:y val="0.11829319814110689"/>
          <c:w val="0.79341874942038393"/>
          <c:h val="0.73602935049785445"/>
        </c:manualLayout>
      </c:layout>
      <c:scatterChart>
        <c:scatterStyle val="lineMarker"/>
        <c:varyColors val="0"/>
        <c:ser>
          <c:idx val="0"/>
          <c:order val="0"/>
          <c:tx>
            <c:strRef>
              <c:f>'Washington Bill Impacts'!$BW$1</c:f>
              <c:strCache>
                <c:ptCount val="1"/>
                <c:pt idx="0">
                  <c:v>Actual History</c:v>
                </c:pt>
              </c:strCache>
            </c:strRef>
          </c:tx>
          <c:spPr>
            <a:ln w="38100" cap="rnd">
              <a:solidFill>
                <a:sysClr val="windowText" lastClr="000000"/>
              </a:solidFill>
              <a:round/>
            </a:ln>
            <a:effectLst/>
          </c:spPr>
          <c:marker>
            <c:symbol val="none"/>
          </c:marker>
          <c:xVal>
            <c:numRef>
              <c:f>'Washington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'Washington Bill Impacts'!$BW$2:$BW$19</c:f>
              <c:numCache>
                <c:formatCode>0</c:formatCode>
                <c:ptCount val="18"/>
                <c:pt idx="0">
                  <c:v>672.77955848157671</c:v>
                </c:pt>
                <c:pt idx="1">
                  <c:v>674.46805652238345</c:v>
                </c:pt>
                <c:pt idx="2">
                  <c:v>690.89864709795836</c:v>
                </c:pt>
                <c:pt idx="3">
                  <c:v>716.68400461784745</c:v>
                </c:pt>
                <c:pt idx="4">
                  <c:v>708.08662827606702</c:v>
                </c:pt>
                <c:pt idx="5">
                  <c:v>627.21373058378913</c:v>
                </c:pt>
                <c:pt idx="6">
                  <c:v>701.76792588254784</c:v>
                </c:pt>
                <c:pt idx="7">
                  <c:v>648.20091893925724</c:v>
                </c:pt>
                <c:pt idx="8">
                  <c:v>678.3575383209012</c:v>
                </c:pt>
                <c:pt idx="9">
                  <c:v>609.23182450210425</c:v>
                </c:pt>
                <c:pt idx="10">
                  <c:v>552.66372140868577</c:v>
                </c:pt>
                <c:pt idx="11">
                  <c:v>588.85991638384792</c:v>
                </c:pt>
                <c:pt idx="12">
                  <c:v>709.68302526261766</c:v>
                </c:pt>
                <c:pt idx="13">
                  <c:v>617.77168302111772</c:v>
                </c:pt>
                <c:pt idx="14">
                  <c:v>674.62327235233784</c:v>
                </c:pt>
                <c:pt idx="15">
                  <c:v>630.99881454493777</c:v>
                </c:pt>
                <c:pt idx="16">
                  <c:v>619.71265688641051</c:v>
                </c:pt>
                <c:pt idx="17" formatCode="0%">
                  <c:v>644.08091285140131</c:v>
                </c:pt>
              </c:numCache>
            </c:numRef>
          </c:yVal>
          <c:smooth val="0"/>
          <c:extLst>
            <c:ext xmlns:c16="http://schemas.microsoft.com/office/drawing/2014/chart" uri="{C3380CC4-5D6E-409C-BE32-E72D297353CC}">
              <c16:uniqueId val="{00000000-4916-415F-85C5-AA6CC7C625A2}"/>
            </c:ext>
          </c:extLst>
        </c:ser>
        <c:ser>
          <c:idx val="1"/>
          <c:order val="1"/>
          <c:tx>
            <c:v>No Decarbonization Reference</c:v>
          </c:tx>
          <c:spPr>
            <a:ln w="38100" cap="rnd">
              <a:solidFill>
                <a:schemeClr val="tx1"/>
              </a:solidFill>
              <a:prstDash val="dash"/>
              <a:round/>
            </a:ln>
            <a:effectLst/>
          </c:spPr>
          <c:marker>
            <c:symbol val="none"/>
          </c:marker>
          <c:xVal>
            <c:numRef>
              <c:f>'Washington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Impacts'!$AL$2:$AL$30</c:f>
              <c:numCache>
                <c:formatCode>0</c:formatCode>
                <c:ptCount val="29"/>
                <c:pt idx="0">
                  <c:v>644.08091285140131</c:v>
                </c:pt>
                <c:pt idx="1">
                  <c:v>642.19991215964126</c:v>
                </c:pt>
                <c:pt idx="2">
                  <c:v>639.49990777442179</c:v>
                </c:pt>
                <c:pt idx="3">
                  <c:v>629.97234224028603</c:v>
                </c:pt>
                <c:pt idx="4">
                  <c:v>624.56757548125665</c:v>
                </c:pt>
                <c:pt idx="5">
                  <c:v>619.30390697160863</c:v>
                </c:pt>
                <c:pt idx="6">
                  <c:v>617.93906893540156</c:v>
                </c:pt>
                <c:pt idx="7">
                  <c:v>609.1514074074239</c:v>
                </c:pt>
                <c:pt idx="8">
                  <c:v>604.22716201786534</c:v>
                </c:pt>
                <c:pt idx="9">
                  <c:v>599.40560806000929</c:v>
                </c:pt>
                <c:pt idx="10">
                  <c:v>598.26362289556607</c:v>
                </c:pt>
                <c:pt idx="11">
                  <c:v>589.99599552762629</c:v>
                </c:pt>
                <c:pt idx="12">
                  <c:v>585.49739296039286</c:v>
                </c:pt>
                <c:pt idx="13">
                  <c:v>581.08604455507077</c:v>
                </c:pt>
                <c:pt idx="14">
                  <c:v>580.33196418837156</c:v>
                </c:pt>
                <c:pt idx="15">
                  <c:v>572.50079285558479</c:v>
                </c:pt>
                <c:pt idx="16">
                  <c:v>568.32850337632294</c:v>
                </c:pt>
                <c:pt idx="17">
                  <c:v>564.23139719140011</c:v>
                </c:pt>
                <c:pt idx="18">
                  <c:v>563.56504079938838</c:v>
                </c:pt>
                <c:pt idx="19">
                  <c:v>556.10479799669201</c:v>
                </c:pt>
                <c:pt idx="20">
                  <c:v>552.20369299528136</c:v>
                </c:pt>
                <c:pt idx="21">
                  <c:v>548.36175776758159</c:v>
                </c:pt>
                <c:pt idx="22">
                  <c:v>547.99762562253022</c:v>
                </c:pt>
                <c:pt idx="23">
                  <c:v>540.82755170778319</c:v>
                </c:pt>
                <c:pt idx="24">
                  <c:v>537.1555393070804</c:v>
                </c:pt>
                <c:pt idx="25">
                  <c:v>533.50636235825777</c:v>
                </c:pt>
                <c:pt idx="26">
                  <c:v>533.2761721718017</c:v>
                </c:pt>
                <c:pt idx="27">
                  <c:v>526.33618465370159</c:v>
                </c:pt>
                <c:pt idx="28">
                  <c:v>522.86082006626702</c:v>
                </c:pt>
              </c:numCache>
            </c:numRef>
          </c:yVal>
          <c:smooth val="0"/>
          <c:extLst>
            <c:ext xmlns:c16="http://schemas.microsoft.com/office/drawing/2014/chart" uri="{C3380CC4-5D6E-409C-BE32-E72D297353CC}">
              <c16:uniqueId val="{00000001-4916-415F-85C5-AA6CC7C625A2}"/>
            </c:ext>
          </c:extLst>
        </c:ser>
        <c:ser>
          <c:idx val="2"/>
          <c:order val="2"/>
          <c:tx>
            <c:strRef>
              <c:f>'Washington Bill Impacts'!$CA$1</c:f>
              <c:strCache>
                <c:ptCount val="1"/>
                <c:pt idx="0">
                  <c:v>With Decarbonization</c:v>
                </c:pt>
              </c:strCache>
            </c:strRef>
          </c:tx>
          <c:spPr>
            <a:ln w="38100" cap="rnd">
              <a:solidFill>
                <a:srgbClr val="00B050"/>
              </a:solidFill>
              <a:prstDash val="sysDash"/>
              <a:round/>
            </a:ln>
            <a:effectLst/>
          </c:spPr>
          <c:marker>
            <c:symbol val="none"/>
          </c:marker>
          <c:xVal>
            <c:numRef>
              <c:f>'Washington Bill Impacts'!$BY$2:$BY$30</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Impacts'!$CA$2:$CA$30</c:f>
              <c:numCache>
                <c:formatCode>0</c:formatCode>
                <c:ptCount val="29"/>
                <c:pt idx="0">
                  <c:v>644.08091285140131</c:v>
                </c:pt>
                <c:pt idx="1">
                  <c:v>642.19991215964126</c:v>
                </c:pt>
                <c:pt idx="2">
                  <c:v>639.49990777442179</c:v>
                </c:pt>
                <c:pt idx="3">
                  <c:v>644.33117611636965</c:v>
                </c:pt>
                <c:pt idx="4">
                  <c:v>642.04315401542249</c:v>
                </c:pt>
                <c:pt idx="5">
                  <c:v>639.75351509304153</c:v>
                </c:pt>
                <c:pt idx="6">
                  <c:v>641.3820969129946</c:v>
                </c:pt>
                <c:pt idx="7">
                  <c:v>635.14406315354984</c:v>
                </c:pt>
                <c:pt idx="8">
                  <c:v>632.80010404837776</c:v>
                </c:pt>
                <c:pt idx="9">
                  <c:v>630.43976858785459</c:v>
                </c:pt>
                <c:pt idx="10">
                  <c:v>631.84896375127505</c:v>
                </c:pt>
                <c:pt idx="11">
                  <c:v>625.61505650806487</c:v>
                </c:pt>
                <c:pt idx="12">
                  <c:v>623.24965228553856</c:v>
                </c:pt>
                <c:pt idx="13">
                  <c:v>620.86989197630169</c:v>
                </c:pt>
                <c:pt idx="14">
                  <c:v>622.29545088794305</c:v>
                </c:pt>
                <c:pt idx="15">
                  <c:v>616.05745950097776</c:v>
                </c:pt>
                <c:pt idx="16">
                  <c:v>613.63262931975692</c:v>
                </c:pt>
                <c:pt idx="17">
                  <c:v>611.19332187531438</c:v>
                </c:pt>
                <c:pt idx="18">
                  <c:v>612.36890463073803</c:v>
                </c:pt>
                <c:pt idx="19">
                  <c:v>606.11365440889574</c:v>
                </c:pt>
                <c:pt idx="20">
                  <c:v>603.61370026145346</c:v>
                </c:pt>
                <c:pt idx="21">
                  <c:v>601.08987830534477</c:v>
                </c:pt>
                <c:pt idx="22">
                  <c:v>602.26989595556472</c:v>
                </c:pt>
                <c:pt idx="23">
                  <c:v>595.94354319434592</c:v>
                </c:pt>
                <c:pt idx="24">
                  <c:v>593.3448200155857</c:v>
                </c:pt>
                <c:pt idx="25">
                  <c:v>590.68262018890516</c:v>
                </c:pt>
                <c:pt idx="26">
                  <c:v>591.69124435685239</c:v>
                </c:pt>
                <c:pt idx="27">
                  <c:v>585.23817147226623</c:v>
                </c:pt>
                <c:pt idx="28">
                  <c:v>582.50108824342874</c:v>
                </c:pt>
              </c:numCache>
            </c:numRef>
          </c:yVal>
          <c:smooth val="0"/>
          <c:extLst>
            <c:ext xmlns:c16="http://schemas.microsoft.com/office/drawing/2014/chart" uri="{C3380CC4-5D6E-409C-BE32-E72D297353CC}">
              <c16:uniqueId val="{00000002-4916-415F-85C5-AA6CC7C625A2}"/>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Annual Average Usage (therms)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majorUnit val="1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r>
              <a:rPr lang="en-US" b="1">
                <a:solidFill>
                  <a:schemeClr val="bg1"/>
                </a:solidFill>
                <a:latin typeface="+mn-lt"/>
                <a:ea typeface="+mn-ea"/>
                <a:cs typeface="+mn-cs"/>
              </a:rPr>
              <a:t>Oregon</a:t>
            </a:r>
            <a:r>
              <a:rPr lang="en-US" b="1" baseline="0">
                <a:solidFill>
                  <a:schemeClr val="bg1"/>
                </a:solidFill>
                <a:latin typeface="+mn-lt"/>
                <a:ea typeface="+mn-ea"/>
                <a:cs typeface="+mn-cs"/>
              </a:rPr>
              <a:t> Compliance Resources</a:t>
            </a:r>
            <a:endParaRPr lang="en-US" b="1">
              <a:solidFill>
                <a:schemeClr val="bg1"/>
              </a:solidFill>
            </a:endParaRPr>
          </a:p>
        </c:rich>
      </c:tx>
      <c:layout>
        <c:manualLayout>
          <c:xMode val="edge"/>
          <c:yMode val="edge"/>
          <c:x val="0.10010419543548671"/>
          <c:y val="1.6196253392267606E-5"/>
        </c:manualLayout>
      </c:layout>
      <c:overlay val="0"/>
      <c:spPr>
        <a:solidFill>
          <a:srgbClr val="002060"/>
        </a:solidFill>
        <a:ln w="38100" cap="flat" cmpd="sng" algn="ctr">
          <a:noFill/>
          <a:prstDash val="solid"/>
          <a:miter lim="800000"/>
        </a:ln>
        <a:effectLst/>
      </c:spPr>
      <c:txPr>
        <a:bodyPr rot="0" spcFirstLastPara="1" vertOverflow="ellipsis" vert="horz" wrap="square" anchor="ctr" anchorCtr="1"/>
        <a:lstStyle/>
        <a:p>
          <a:pPr>
            <a:defRPr sz="14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1036201929960912"/>
          <c:y val="9.961813189013792E-2"/>
          <c:w val="0.61476470746392031"/>
          <c:h val="0.75643245503185585"/>
        </c:manualLayout>
      </c:layout>
      <c:areaChart>
        <c:grouping val="stacked"/>
        <c:varyColors val="0"/>
        <c:ser>
          <c:idx val="1"/>
          <c:order val="1"/>
          <c:tx>
            <c:strRef>
              <c:f>'Compliance Data'!$AT$2</c:f>
              <c:strCache>
                <c:ptCount val="1"/>
                <c:pt idx="0">
                  <c:v>Non-Compliance Gas</c:v>
                </c:pt>
              </c:strCache>
            </c:strRef>
          </c:tx>
          <c:spPr>
            <a:solidFill>
              <a:srgbClr val="DBDADF"/>
            </a:solidFill>
            <a:ln w="381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Data'!$AT$4:$AT$32</c:f>
              <c:numCache>
                <c:formatCode>_(* #,##0_);_(* \(#,##0\);_(* "-"??_);_(@_)</c:formatCode>
                <c:ptCount val="29"/>
                <c:pt idx="0">
                  <c:v>106025.68362047999</c:v>
                </c:pt>
                <c:pt idx="1">
                  <c:v>102541.46952456002</c:v>
                </c:pt>
                <c:pt idx="2">
                  <c:v>102128.09049312001</c:v>
                </c:pt>
                <c:pt idx="3">
                  <c:v>97851.955790639986</c:v>
                </c:pt>
                <c:pt idx="4">
                  <c:v>94351.931571120003</c:v>
                </c:pt>
                <c:pt idx="5">
                  <c:v>90059.046261359996</c:v>
                </c:pt>
                <c:pt idx="6">
                  <c:v>85764.781925520016</c:v>
                </c:pt>
                <c:pt idx="7">
                  <c:v>81473.051711520005</c:v>
                </c:pt>
                <c:pt idx="8">
                  <c:v>77179.879921440021</c:v>
                </c:pt>
                <c:pt idx="9">
                  <c:v>72886.669588560006</c:v>
                </c:pt>
                <c:pt idx="10">
                  <c:v>68592.123896160017</c:v>
                </c:pt>
                <c:pt idx="11">
                  <c:v>64299.91656096001</c:v>
                </c:pt>
                <c:pt idx="12">
                  <c:v>60006.444716879989</c:v>
                </c:pt>
                <c:pt idx="13">
                  <c:v>55712.886577440004</c:v>
                </c:pt>
                <c:pt idx="14">
                  <c:v>52736.479312080002</c:v>
                </c:pt>
                <c:pt idx="15">
                  <c:v>49762.12436400001</c:v>
                </c:pt>
                <c:pt idx="16">
                  <c:v>46786.655140319999</c:v>
                </c:pt>
                <c:pt idx="17">
                  <c:v>43811.127568320007</c:v>
                </c:pt>
                <c:pt idx="18">
                  <c:v>40834.637244720005</c:v>
                </c:pt>
                <c:pt idx="19">
                  <c:v>37859.956569120011</c:v>
                </c:pt>
                <c:pt idx="20">
                  <c:v>34884.317917679997</c:v>
                </c:pt>
                <c:pt idx="21">
                  <c:v>31908.665389200007</c:v>
                </c:pt>
                <c:pt idx="22">
                  <c:v>28932.147759599993</c:v>
                </c:pt>
                <c:pt idx="23">
                  <c:v>25957.185931680004</c:v>
                </c:pt>
                <c:pt idx="24">
                  <c:v>22981.388619600009</c:v>
                </c:pt>
                <c:pt idx="25">
                  <c:v>20005.570921200007</c:v>
                </c:pt>
                <c:pt idx="26">
                  <c:v>17029.022258640001</c:v>
                </c:pt>
                <c:pt idx="27">
                  <c:v>14053.841045520006</c:v>
                </c:pt>
                <c:pt idx="28">
                  <c:v>11077.941706560006</c:v>
                </c:pt>
              </c:numCache>
            </c:numRef>
          </c:val>
          <c:extLst>
            <c:ext xmlns:c16="http://schemas.microsoft.com/office/drawing/2014/chart" uri="{C3380CC4-5D6E-409C-BE32-E72D297353CC}">
              <c16:uniqueId val="{00000000-BB39-410E-A17C-88FAD9B1D54E}"/>
            </c:ext>
          </c:extLst>
        </c:ser>
        <c:ser>
          <c:idx val="7"/>
          <c:order val="2"/>
          <c:tx>
            <c:strRef>
              <c:f>'Compliance Data'!$AR$2</c:f>
              <c:strCache>
                <c:ptCount val="1"/>
                <c:pt idx="0">
                  <c:v>Exisitng RNG Contracts</c:v>
                </c:pt>
              </c:strCache>
            </c:strRef>
          </c:tx>
          <c:spPr>
            <a:solidFill>
              <a:srgbClr val="7AC142"/>
            </a:solidFill>
            <a:ln>
              <a:noFill/>
            </a:ln>
            <a:effectLst/>
          </c:spPr>
          <c:val>
            <c:numRef>
              <c:f>'Compliance Data'!$AR$4:$AR$32</c:f>
              <c:numCache>
                <c:formatCode>_(* #,##0_);_(* \(#,##0\);_(* "-"??_);_(@_)</c:formatCode>
                <c:ptCount val="29"/>
                <c:pt idx="0">
                  <c:v>364.26997080000001</c:v>
                </c:pt>
                <c:pt idx="1">
                  <c:v>1200.1199999999999</c:v>
                </c:pt>
                <c:pt idx="2">
                  <c:v>1314.6721171200002</c:v>
                </c:pt>
                <c:pt idx="3">
                  <c:v>1838.5050875999998</c:v>
                </c:pt>
                <c:pt idx="4">
                  <c:v>1842.5201459999998</c:v>
                </c:pt>
                <c:pt idx="5">
                  <c:v>1842.5201459999998</c:v>
                </c:pt>
                <c:pt idx="6">
                  <c:v>1847.5681464000002</c:v>
                </c:pt>
                <c:pt idx="7">
                  <c:v>1842.5201459999998</c:v>
                </c:pt>
                <c:pt idx="8">
                  <c:v>1842.5201459999998</c:v>
                </c:pt>
                <c:pt idx="9">
                  <c:v>1842.5201459999998</c:v>
                </c:pt>
                <c:pt idx="10">
                  <c:v>1847.5681464000002</c:v>
                </c:pt>
                <c:pt idx="11">
                  <c:v>1842.5201459999998</c:v>
                </c:pt>
                <c:pt idx="12">
                  <c:v>1842.5201459999998</c:v>
                </c:pt>
                <c:pt idx="13">
                  <c:v>1842.5201459999998</c:v>
                </c:pt>
                <c:pt idx="14">
                  <c:v>1847.5681464000002</c:v>
                </c:pt>
                <c:pt idx="15">
                  <c:v>1842.5201459999998</c:v>
                </c:pt>
                <c:pt idx="16">
                  <c:v>1842.5201459999998</c:v>
                </c:pt>
                <c:pt idx="17">
                  <c:v>1842.5201459999998</c:v>
                </c:pt>
                <c:pt idx="18">
                  <c:v>1847.5681464000002</c:v>
                </c:pt>
                <c:pt idx="19">
                  <c:v>1842.5201459999998</c:v>
                </c:pt>
                <c:pt idx="20">
                  <c:v>1842.5201459999998</c:v>
                </c:pt>
                <c:pt idx="21">
                  <c:v>1842.5201459999998</c:v>
                </c:pt>
                <c:pt idx="22">
                  <c:v>1847.5681464000002</c:v>
                </c:pt>
                <c:pt idx="23">
                  <c:v>1842.5201459999998</c:v>
                </c:pt>
                <c:pt idx="24">
                  <c:v>1842.5201459999998</c:v>
                </c:pt>
                <c:pt idx="25">
                  <c:v>1842.5201459999998</c:v>
                </c:pt>
                <c:pt idx="26">
                  <c:v>1847.5681464000002</c:v>
                </c:pt>
                <c:pt idx="27">
                  <c:v>1842.5201459999998</c:v>
                </c:pt>
                <c:pt idx="28">
                  <c:v>1842.5201459999998</c:v>
                </c:pt>
              </c:numCache>
            </c:numRef>
          </c:val>
          <c:extLst>
            <c:ext xmlns:c16="http://schemas.microsoft.com/office/drawing/2014/chart" uri="{C3380CC4-5D6E-409C-BE32-E72D297353CC}">
              <c16:uniqueId val="{00000001-BB39-410E-A17C-88FAD9B1D54E}"/>
            </c:ext>
          </c:extLst>
        </c:ser>
        <c:ser>
          <c:idx val="3"/>
          <c:order val="3"/>
          <c:tx>
            <c:strRef>
              <c:f>'Compliance Data'!$K$2</c:f>
              <c:strCache>
                <c:ptCount val="1"/>
                <c:pt idx="0">
                  <c:v>RNG Tranche 1</c:v>
                </c:pt>
              </c:strCache>
            </c:strRef>
          </c:tx>
          <c:spPr>
            <a:solidFill>
              <a:srgbClr val="C1D72E"/>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Data'!$K$4:$K$32</c:f>
              <c:numCache>
                <c:formatCode>_(* #,##0_);_(* \(#,##0\);_(* "-"??_);_(@_)</c:formatCode>
                <c:ptCount val="29"/>
                <c:pt idx="0">
                  <c:v>1801.964412</c:v>
                </c:pt>
                <c:pt idx="1">
                  <c:v>4166.4454788000003</c:v>
                </c:pt>
                <c:pt idx="2">
                  <c:v>4177.8603979199997</c:v>
                </c:pt>
                <c:pt idx="3">
                  <c:v>5360.8231236000001</c:v>
                </c:pt>
                <c:pt idx="4">
                  <c:v>5888.5245599999998</c:v>
                </c:pt>
                <c:pt idx="5">
                  <c:v>6388.9870392000003</c:v>
                </c:pt>
                <c:pt idx="6">
                  <c:v>7732.57048416</c:v>
                </c:pt>
                <c:pt idx="7">
                  <c:v>7711.4432423999997</c:v>
                </c:pt>
                <c:pt idx="8">
                  <c:v>7711.4432423999997</c:v>
                </c:pt>
                <c:pt idx="9">
                  <c:v>7711.4432423999997</c:v>
                </c:pt>
                <c:pt idx="10">
                  <c:v>7732.57048416</c:v>
                </c:pt>
                <c:pt idx="11">
                  <c:v>7711.4432423999997</c:v>
                </c:pt>
                <c:pt idx="12">
                  <c:v>7711.4432423999997</c:v>
                </c:pt>
                <c:pt idx="13">
                  <c:v>7711.4432423999997</c:v>
                </c:pt>
                <c:pt idx="14">
                  <c:v>7732.57048416</c:v>
                </c:pt>
                <c:pt idx="15">
                  <c:v>7711.4432423999997</c:v>
                </c:pt>
                <c:pt idx="16">
                  <c:v>7711.4432423999997</c:v>
                </c:pt>
                <c:pt idx="17">
                  <c:v>7711.4432423999997</c:v>
                </c:pt>
                <c:pt idx="18">
                  <c:v>7732.57048416</c:v>
                </c:pt>
                <c:pt idx="19">
                  <c:v>7711.4432423999997</c:v>
                </c:pt>
                <c:pt idx="20">
                  <c:v>7711.4432423999997</c:v>
                </c:pt>
                <c:pt idx="21">
                  <c:v>7711.4432423999997</c:v>
                </c:pt>
                <c:pt idx="22">
                  <c:v>7732.57048416</c:v>
                </c:pt>
                <c:pt idx="23">
                  <c:v>7711.4432423999997</c:v>
                </c:pt>
                <c:pt idx="24">
                  <c:v>7711.4432423999997</c:v>
                </c:pt>
                <c:pt idx="25">
                  <c:v>7711.4432423999997</c:v>
                </c:pt>
                <c:pt idx="26">
                  <c:v>7732.57048416</c:v>
                </c:pt>
                <c:pt idx="27">
                  <c:v>7711.4432423999997</c:v>
                </c:pt>
                <c:pt idx="28">
                  <c:v>7711.4432423999997</c:v>
                </c:pt>
              </c:numCache>
            </c:numRef>
          </c:val>
          <c:extLst>
            <c:ext xmlns:c16="http://schemas.microsoft.com/office/drawing/2014/chart" uri="{C3380CC4-5D6E-409C-BE32-E72D297353CC}">
              <c16:uniqueId val="{00000002-BB39-410E-A17C-88FAD9B1D54E}"/>
            </c:ext>
          </c:extLst>
        </c:ser>
        <c:ser>
          <c:idx val="2"/>
          <c:order val="4"/>
          <c:tx>
            <c:strRef>
              <c:f>'Compliance Data'!$H$2</c:f>
              <c:strCache>
                <c:ptCount val="1"/>
                <c:pt idx="0">
                  <c:v>CCI Purchases</c:v>
                </c:pt>
              </c:strCache>
            </c:strRef>
          </c:tx>
          <c:spPr>
            <a:solidFill>
              <a:schemeClr val="accent4"/>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Data'!$H$4:$H$32</c:f>
              <c:numCache>
                <c:formatCode>_(* #,##0_);_(* \(#,##0\);_(* "-"??_);_(@_)</c:formatCode>
                <c:ptCount val="29"/>
                <c:pt idx="0">
                  <c:v>0</c:v>
                </c:pt>
                <c:pt idx="1">
                  <c:v>0</c:v>
                </c:pt>
                <c:pt idx="2">
                  <c:v>0</c:v>
                </c:pt>
                <c:pt idx="3">
                  <c:v>0</c:v>
                </c:pt>
                <c:pt idx="4">
                  <c:v>205.83872400000001</c:v>
                </c:pt>
                <c:pt idx="5">
                  <c:v>1265.7635560799999</c:v>
                </c:pt>
                <c:pt idx="6">
                  <c:v>2123.4794436000002</c:v>
                </c:pt>
                <c:pt idx="7">
                  <c:v>3175.53789336</c:v>
                </c:pt>
                <c:pt idx="8">
                  <c:v>4876.3696972799999</c:v>
                </c:pt>
                <c:pt idx="9">
                  <c:v>6210.4992103200002</c:v>
                </c:pt>
                <c:pt idx="10">
                  <c:v>8114.6876172000002</c:v>
                </c:pt>
                <c:pt idx="11">
                  <c:v>9104.0511871199997</c:v>
                </c:pt>
                <c:pt idx="12">
                  <c:v>10635.82697448</c:v>
                </c:pt>
                <c:pt idx="13">
                  <c:v>12241.036278240001</c:v>
                </c:pt>
                <c:pt idx="14">
                  <c:v>10924.299747360001</c:v>
                </c:pt>
                <c:pt idx="15">
                  <c:v>11100.5089032</c:v>
                </c:pt>
                <c:pt idx="16">
                  <c:v>8198.6022525600001</c:v>
                </c:pt>
                <c:pt idx="17">
                  <c:v>8872.3468439999997</c:v>
                </c:pt>
                <c:pt idx="18">
                  <c:v>8386.00295568</c:v>
                </c:pt>
                <c:pt idx="19">
                  <c:v>6874.0905290399996</c:v>
                </c:pt>
                <c:pt idx="20">
                  <c:v>7545.3725152799998</c:v>
                </c:pt>
                <c:pt idx="21">
                  <c:v>8284.8160336799992</c:v>
                </c:pt>
                <c:pt idx="22">
                  <c:v>4332.3026387999998</c:v>
                </c:pt>
                <c:pt idx="23">
                  <c:v>4822.3553275200002</c:v>
                </c:pt>
                <c:pt idx="24">
                  <c:v>5628.8016475200002</c:v>
                </c:pt>
                <c:pt idx="25">
                  <c:v>6444.6803524799998</c:v>
                </c:pt>
                <c:pt idx="26">
                  <c:v>0</c:v>
                </c:pt>
                <c:pt idx="27">
                  <c:v>0</c:v>
                </c:pt>
                <c:pt idx="28">
                  <c:v>0</c:v>
                </c:pt>
              </c:numCache>
            </c:numRef>
          </c:val>
          <c:extLst>
            <c:ext xmlns:c16="http://schemas.microsoft.com/office/drawing/2014/chart" uri="{C3380CC4-5D6E-409C-BE32-E72D297353CC}">
              <c16:uniqueId val="{00000003-BB39-410E-A17C-88FAD9B1D54E}"/>
            </c:ext>
          </c:extLst>
        </c:ser>
        <c:ser>
          <c:idx val="4"/>
          <c:order val="5"/>
          <c:tx>
            <c:strRef>
              <c:f>'Compliance Data'!$P$2</c:f>
              <c:strCache>
                <c:ptCount val="1"/>
                <c:pt idx="0">
                  <c:v>RNG Tranche 2</c:v>
                </c:pt>
              </c:strCache>
            </c:strRef>
          </c:tx>
          <c:spPr>
            <a:solidFill>
              <a:schemeClr val="accent6">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Data'!$P$4:$P$32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4-BB39-410E-A17C-88FAD9B1D54E}"/>
            </c:ext>
          </c:extLst>
        </c:ser>
        <c:ser>
          <c:idx val="5"/>
          <c:order val="6"/>
          <c:tx>
            <c:strRef>
              <c:f>'Compliance Data'!$U$2</c:f>
              <c:strCache>
                <c:ptCount val="1"/>
                <c:pt idx="0">
                  <c:v>Hydrogen</c:v>
                </c:pt>
              </c:strCache>
            </c:strRef>
          </c:tx>
          <c:spPr>
            <a:solidFill>
              <a:srgbClr val="008AB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Data'!$U$4:$U$32</c:f>
              <c:numCache>
                <c:formatCode>_(* #,##0_);_(* \(#,##0\);_(* "-"??_);_(@_)</c:formatCode>
                <c:ptCount val="29"/>
                <c:pt idx="0">
                  <c:v>0</c:v>
                </c:pt>
                <c:pt idx="1">
                  <c:v>0</c:v>
                </c:pt>
                <c:pt idx="2">
                  <c:v>0</c:v>
                </c:pt>
                <c:pt idx="3">
                  <c:v>0</c:v>
                </c:pt>
                <c:pt idx="4">
                  <c:v>0</c:v>
                </c:pt>
                <c:pt idx="5">
                  <c:v>0</c:v>
                </c:pt>
                <c:pt idx="6">
                  <c:v>0</c:v>
                </c:pt>
                <c:pt idx="7">
                  <c:v>0</c:v>
                </c:pt>
                <c:pt idx="8">
                  <c:v>0</c:v>
                </c:pt>
                <c:pt idx="9">
                  <c:v>384.53982239999999</c:v>
                </c:pt>
                <c:pt idx="10">
                  <c:v>782.8208568</c:v>
                </c:pt>
                <c:pt idx="11">
                  <c:v>1074.2008691999999</c:v>
                </c:pt>
                <c:pt idx="12">
                  <c:v>1374.1959168000001</c:v>
                </c:pt>
                <c:pt idx="13">
                  <c:v>1648.5997632000001</c:v>
                </c:pt>
                <c:pt idx="14">
                  <c:v>4027.8193127999998</c:v>
                </c:pt>
                <c:pt idx="15">
                  <c:v>4016.8143420000001</c:v>
                </c:pt>
                <c:pt idx="16">
                  <c:v>7573.3442076000001</c:v>
                </c:pt>
                <c:pt idx="17">
                  <c:v>7573.3442076000001</c:v>
                </c:pt>
                <c:pt idx="18">
                  <c:v>9160.6221691200008</c:v>
                </c:pt>
                <c:pt idx="19">
                  <c:v>9135.5931467999999</c:v>
                </c:pt>
                <c:pt idx="20">
                  <c:v>9135.5931467999999</c:v>
                </c:pt>
                <c:pt idx="21">
                  <c:v>9135.5931467999999</c:v>
                </c:pt>
                <c:pt idx="22">
                  <c:v>9160.6221691200008</c:v>
                </c:pt>
                <c:pt idx="23">
                  <c:v>9135.5931467999999</c:v>
                </c:pt>
                <c:pt idx="24">
                  <c:v>9135.5931467999999</c:v>
                </c:pt>
                <c:pt idx="25">
                  <c:v>9135.5931467999999</c:v>
                </c:pt>
                <c:pt idx="26">
                  <c:v>9160.6221691200008</c:v>
                </c:pt>
                <c:pt idx="27">
                  <c:v>9135.5931467999999</c:v>
                </c:pt>
                <c:pt idx="28">
                  <c:v>9135.5931467999999</c:v>
                </c:pt>
              </c:numCache>
            </c:numRef>
          </c:val>
          <c:extLst>
            <c:ext xmlns:c16="http://schemas.microsoft.com/office/drawing/2014/chart" uri="{C3380CC4-5D6E-409C-BE32-E72D297353CC}">
              <c16:uniqueId val="{00000005-BB39-410E-A17C-88FAD9B1D54E}"/>
            </c:ext>
          </c:extLst>
        </c:ser>
        <c:ser>
          <c:idx val="6"/>
          <c:order val="7"/>
          <c:tx>
            <c:strRef>
              <c:f>'Compliance Data'!$Z$2</c:f>
              <c:strCache>
                <c:ptCount val="1"/>
                <c:pt idx="0">
                  <c:v>Synthetic Methane</c:v>
                </c:pt>
              </c:strCache>
            </c:strRef>
          </c:tx>
          <c:spPr>
            <a:solidFill>
              <a:srgbClr val="00548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Data'!$Z$4:$Z$32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1852.8913728</c:v>
                </c:pt>
                <c:pt idx="20">
                  <c:v>1914.6270348</c:v>
                </c:pt>
                <c:pt idx="21">
                  <c:v>1914.6270348</c:v>
                </c:pt>
                <c:pt idx="22">
                  <c:v>6955.6848004800004</c:v>
                </c:pt>
                <c:pt idx="23">
                  <c:v>6936.6801972000003</c:v>
                </c:pt>
                <c:pt idx="24">
                  <c:v>6936.6801972000003</c:v>
                </c:pt>
                <c:pt idx="25">
                  <c:v>6936.6801972000003</c:v>
                </c:pt>
                <c:pt idx="26">
                  <c:v>14484.260939039999</c:v>
                </c:pt>
                <c:pt idx="27">
                  <c:v>15056.821414800001</c:v>
                </c:pt>
                <c:pt idx="28">
                  <c:v>15910.4667708</c:v>
                </c:pt>
              </c:numCache>
            </c:numRef>
          </c:val>
          <c:extLst>
            <c:ext xmlns:c16="http://schemas.microsoft.com/office/drawing/2014/chart" uri="{C3380CC4-5D6E-409C-BE32-E72D297353CC}">
              <c16:uniqueId val="{00000006-BB39-410E-A17C-88FAD9B1D54E}"/>
            </c:ext>
          </c:extLst>
        </c:ser>
        <c:ser>
          <c:idx val="8"/>
          <c:order val="8"/>
          <c:tx>
            <c:strRef>
              <c:f>'Compliance Data'!$AK$2</c:f>
              <c:strCache>
                <c:ptCount val="1"/>
                <c:pt idx="0">
                  <c:v>Residential Reduction</c:v>
                </c:pt>
              </c:strCache>
            </c:strRef>
          </c:tx>
          <c:spPr>
            <a:solidFill>
              <a:schemeClr val="accent2">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Data'!$AK$4:$AK$32</c:f>
              <c:numCache>
                <c:formatCode>0</c:formatCode>
                <c:ptCount val="29"/>
                <c:pt idx="0">
                  <c:v>-58.214662500000003</c:v>
                </c:pt>
                <c:pt idx="1">
                  <c:v>-203.78678593750001</c:v>
                </c:pt>
                <c:pt idx="2">
                  <c:v>-392.7537375</c:v>
                </c:pt>
                <c:pt idx="3">
                  <c:v>-36.218171875000003</c:v>
                </c:pt>
                <c:pt idx="4">
                  <c:v>950.05655312500005</c:v>
                </c:pt>
                <c:pt idx="5">
                  <c:v>1928.8071078125001</c:v>
                </c:pt>
                <c:pt idx="6">
                  <c:v>2902.3763640625002</c:v>
                </c:pt>
                <c:pt idx="7">
                  <c:v>3826.3998500000002</c:v>
                </c:pt>
                <c:pt idx="8">
                  <c:v>4754.3934109375004</c:v>
                </c:pt>
                <c:pt idx="9">
                  <c:v>5670.4052859375006</c:v>
                </c:pt>
                <c:pt idx="10">
                  <c:v>6614.8157812500003</c:v>
                </c:pt>
                <c:pt idx="11">
                  <c:v>7452.2802281250006</c:v>
                </c:pt>
                <c:pt idx="12">
                  <c:v>8290.8851156250003</c:v>
                </c:pt>
                <c:pt idx="13">
                  <c:v>9111.7673062499998</c:v>
                </c:pt>
                <c:pt idx="14">
                  <c:v>9978.9099304687497</c:v>
                </c:pt>
                <c:pt idx="15">
                  <c:v>10709.7358859375</c:v>
                </c:pt>
                <c:pt idx="16">
                  <c:v>11480.214889062501</c:v>
                </c:pt>
                <c:pt idx="17">
                  <c:v>12230.679894531251</c:v>
                </c:pt>
                <c:pt idx="18">
                  <c:v>13042.31018359375</c:v>
                </c:pt>
                <c:pt idx="19">
                  <c:v>13686.928525000001</c:v>
                </c:pt>
                <c:pt idx="20">
                  <c:v>14401.46468203125</c:v>
                </c:pt>
                <c:pt idx="21">
                  <c:v>15107.5089390625</c:v>
                </c:pt>
                <c:pt idx="22">
                  <c:v>15902.79281640625</c:v>
                </c:pt>
                <c:pt idx="23">
                  <c:v>16495.184858593751</c:v>
                </c:pt>
                <c:pt idx="24">
                  <c:v>17173.425497656252</c:v>
                </c:pt>
                <c:pt idx="25">
                  <c:v>17840.64122265625</c:v>
                </c:pt>
                <c:pt idx="26">
                  <c:v>18618.9616828125</c:v>
                </c:pt>
                <c:pt idx="27">
                  <c:v>19169.34313125</c:v>
                </c:pt>
                <c:pt idx="28">
                  <c:v>19819.654985937501</c:v>
                </c:pt>
              </c:numCache>
            </c:numRef>
          </c:val>
          <c:extLst>
            <c:ext xmlns:c16="http://schemas.microsoft.com/office/drawing/2014/chart" uri="{C3380CC4-5D6E-409C-BE32-E72D297353CC}">
              <c16:uniqueId val="{00000007-BB39-410E-A17C-88FAD9B1D54E}"/>
            </c:ext>
          </c:extLst>
        </c:ser>
        <c:ser>
          <c:idx val="9"/>
          <c:order val="9"/>
          <c:tx>
            <c:strRef>
              <c:f>'Compliance Data'!$AL$2</c:f>
              <c:strCache>
                <c:ptCount val="1"/>
                <c:pt idx="0">
                  <c:v>Commercial Reduction</c:v>
                </c:pt>
              </c:strCache>
            </c:strRef>
          </c:tx>
          <c:spPr>
            <a:solidFill>
              <a:schemeClr val="accent2">
                <a:lumMod val="60000"/>
                <a:lumOff val="4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Data'!$AL$4:$AL$32</c:f>
              <c:numCache>
                <c:formatCode>0</c:formatCode>
                <c:ptCount val="29"/>
                <c:pt idx="0">
                  <c:v>0</c:v>
                </c:pt>
                <c:pt idx="1">
                  <c:v>0</c:v>
                </c:pt>
                <c:pt idx="2">
                  <c:v>0</c:v>
                </c:pt>
                <c:pt idx="3">
                  <c:v>320.30963437499997</c:v>
                </c:pt>
                <c:pt idx="4">
                  <c:v>1007.997828125</c:v>
                </c:pt>
                <c:pt idx="5">
                  <c:v>1698.7415859375001</c:v>
                </c:pt>
                <c:pt idx="6">
                  <c:v>2374.8472671875002</c:v>
                </c:pt>
                <c:pt idx="7">
                  <c:v>3001.9030195312498</c:v>
                </c:pt>
                <c:pt idx="8">
                  <c:v>3627.88509140625</c:v>
                </c:pt>
                <c:pt idx="9">
                  <c:v>4249.4198679687497</c:v>
                </c:pt>
                <c:pt idx="10">
                  <c:v>4887.7591328125</c:v>
                </c:pt>
                <c:pt idx="11">
                  <c:v>5458.4989390624996</c:v>
                </c:pt>
                <c:pt idx="12">
                  <c:v>6039.7461031250004</c:v>
                </c:pt>
                <c:pt idx="13">
                  <c:v>6614.4385976562498</c:v>
                </c:pt>
                <c:pt idx="14">
                  <c:v>7222.5907429687504</c:v>
                </c:pt>
                <c:pt idx="15">
                  <c:v>7741.3821289062498</c:v>
                </c:pt>
                <c:pt idx="16">
                  <c:v>8280.8878695312505</c:v>
                </c:pt>
                <c:pt idx="17">
                  <c:v>8803.1896640625</c:v>
                </c:pt>
                <c:pt idx="18">
                  <c:v>9366.4861132812493</c:v>
                </c:pt>
                <c:pt idx="19">
                  <c:v>9827.2233429687494</c:v>
                </c:pt>
                <c:pt idx="20">
                  <c:v>10335.898123437501</c:v>
                </c:pt>
                <c:pt idx="21">
                  <c:v>10843.086297656249</c:v>
                </c:pt>
                <c:pt idx="22">
                  <c:v>11413.145107031251</c:v>
                </c:pt>
                <c:pt idx="23">
                  <c:v>11857.857831249999</c:v>
                </c:pt>
                <c:pt idx="24">
                  <c:v>12361.0332984375</c:v>
                </c:pt>
                <c:pt idx="25">
                  <c:v>12861.794131250001</c:v>
                </c:pt>
                <c:pt idx="26">
                  <c:v>13433.80324921875</c:v>
                </c:pt>
                <c:pt idx="27">
                  <c:v>13855.570307812501</c:v>
                </c:pt>
                <c:pt idx="28">
                  <c:v>14346.737046875</c:v>
                </c:pt>
              </c:numCache>
            </c:numRef>
          </c:val>
          <c:extLst>
            <c:ext xmlns:c16="http://schemas.microsoft.com/office/drawing/2014/chart" uri="{C3380CC4-5D6E-409C-BE32-E72D297353CC}">
              <c16:uniqueId val="{00000008-BB39-410E-A17C-88FAD9B1D54E}"/>
            </c:ext>
          </c:extLst>
        </c:ser>
        <c:ser>
          <c:idx val="10"/>
          <c:order val="10"/>
          <c:tx>
            <c:strRef>
              <c:f>'Compliance Data'!$AM$2</c:f>
              <c:strCache>
                <c:ptCount val="1"/>
                <c:pt idx="0">
                  <c:v>Ind-Com Sales Reduction</c:v>
                </c:pt>
              </c:strCache>
            </c:strRef>
          </c:tx>
          <c:spPr>
            <a:solidFill>
              <a:schemeClr val="accent2">
                <a:lumMod val="20000"/>
                <a:lumOff val="8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Data'!$AM$4:$AM$32</c:f>
              <c:numCache>
                <c:formatCode>0.0</c:formatCode>
                <c:ptCount val="29"/>
                <c:pt idx="0">
                  <c:v>0</c:v>
                </c:pt>
                <c:pt idx="1">
                  <c:v>343.81080937500002</c:v>
                </c:pt>
                <c:pt idx="2">
                  <c:v>687.12979843749997</c:v>
                </c:pt>
                <c:pt idx="3">
                  <c:v>1014.8105828125</c:v>
                </c:pt>
                <c:pt idx="4">
                  <c:v>1343.1092828124999</c:v>
                </c:pt>
                <c:pt idx="5">
                  <c:v>1668.00635625</c:v>
                </c:pt>
                <c:pt idx="6">
                  <c:v>2005.8102093750001</c:v>
                </c:pt>
                <c:pt idx="7">
                  <c:v>2313.4986656249998</c:v>
                </c:pt>
                <c:pt idx="8">
                  <c:v>2639.5976703125002</c:v>
                </c:pt>
                <c:pt idx="9">
                  <c:v>2968.38565625</c:v>
                </c:pt>
                <c:pt idx="10">
                  <c:v>3326.6507437499999</c:v>
                </c:pt>
                <c:pt idx="11">
                  <c:v>3638.4859765625001</c:v>
                </c:pt>
                <c:pt idx="12">
                  <c:v>3979.610878125</c:v>
                </c:pt>
                <c:pt idx="13">
                  <c:v>4324.5376609374998</c:v>
                </c:pt>
                <c:pt idx="14">
                  <c:v>4710.3065500000002</c:v>
                </c:pt>
                <c:pt idx="15">
                  <c:v>5027.9886593749998</c:v>
                </c:pt>
                <c:pt idx="16">
                  <c:v>5384.0905578125003</c:v>
                </c:pt>
                <c:pt idx="17">
                  <c:v>5742.984565625</c:v>
                </c:pt>
                <c:pt idx="18">
                  <c:v>6151.9192546875001</c:v>
                </c:pt>
                <c:pt idx="19">
                  <c:v>6471.3753671875002</c:v>
                </c:pt>
                <c:pt idx="20">
                  <c:v>6842.3318312499996</c:v>
                </c:pt>
                <c:pt idx="21">
                  <c:v>7217.6087296875003</c:v>
                </c:pt>
                <c:pt idx="22">
                  <c:v>7654.2968828125004</c:v>
                </c:pt>
                <c:pt idx="23">
                  <c:v>7978.4611453124999</c:v>
                </c:pt>
                <c:pt idx="24">
                  <c:v>8364.1048874999997</c:v>
                </c:pt>
                <c:pt idx="25">
                  <c:v>8753.2621101562509</c:v>
                </c:pt>
                <c:pt idx="26">
                  <c:v>9215.7871718749993</c:v>
                </c:pt>
                <c:pt idx="27">
                  <c:v>9542.2153617187505</c:v>
                </c:pt>
                <c:pt idx="28" formatCode="0">
                  <c:v>9942.0560921875003</c:v>
                </c:pt>
              </c:numCache>
            </c:numRef>
          </c:val>
          <c:extLst>
            <c:ext xmlns:c16="http://schemas.microsoft.com/office/drawing/2014/chart" uri="{C3380CC4-5D6E-409C-BE32-E72D297353CC}">
              <c16:uniqueId val="{00000009-BB39-410E-A17C-88FAD9B1D54E}"/>
            </c:ext>
          </c:extLst>
        </c:ser>
        <c:ser>
          <c:idx val="11"/>
          <c:order val="11"/>
          <c:tx>
            <c:strRef>
              <c:f>'Compliance Data'!$AN$2</c:f>
              <c:strCache>
                <c:ptCount val="1"/>
                <c:pt idx="0">
                  <c:v>Transport Reduction</c:v>
                </c:pt>
              </c:strCache>
            </c:strRef>
          </c:tx>
          <c:spPr>
            <a:solidFill>
              <a:schemeClr val="accent2">
                <a:lumMod val="50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Data'!$AN$4:$AN$32</c:f>
              <c:numCache>
                <c:formatCode>0</c:formatCode>
                <c:ptCount val="29"/>
                <c:pt idx="0">
                  <c:v>0</c:v>
                </c:pt>
                <c:pt idx="1">
                  <c:v>772.05213749999996</c:v>
                </c:pt>
                <c:pt idx="2">
                  <c:v>1542.00335625</c:v>
                </c:pt>
                <c:pt idx="3">
                  <c:v>2427.5038875</c:v>
                </c:pt>
                <c:pt idx="4">
                  <c:v>3293.0011562499999</c:v>
                </c:pt>
                <c:pt idx="5">
                  <c:v>4135.591375</c:v>
                </c:pt>
                <c:pt idx="6">
                  <c:v>4993.6419562499996</c:v>
                </c:pt>
                <c:pt idx="7">
                  <c:v>5780.2292187499997</c:v>
                </c:pt>
                <c:pt idx="8">
                  <c:v>6592.2957312500002</c:v>
                </c:pt>
                <c:pt idx="9">
                  <c:v>7392.6167875000001</c:v>
                </c:pt>
                <c:pt idx="10">
                  <c:v>8225.0278249999992</c:v>
                </c:pt>
                <c:pt idx="11">
                  <c:v>8935.5099375000009</c:v>
                </c:pt>
                <c:pt idx="12">
                  <c:v>9675.0120437500009</c:v>
                </c:pt>
                <c:pt idx="13">
                  <c:v>10392.71380625</c:v>
                </c:pt>
                <c:pt idx="14">
                  <c:v>11148.822893750001</c:v>
                </c:pt>
                <c:pt idx="15">
                  <c:v>11742.477440625</c:v>
                </c:pt>
                <c:pt idx="16">
                  <c:v>12387.421478124999</c:v>
                </c:pt>
                <c:pt idx="17">
                  <c:v>13019.573946875</c:v>
                </c:pt>
                <c:pt idx="18">
                  <c:v>13718.9389625</c:v>
                </c:pt>
                <c:pt idx="19">
                  <c:v>14234.28435625</c:v>
                </c:pt>
                <c:pt idx="20">
                  <c:v>14826.621628125</c:v>
                </c:pt>
                <c:pt idx="21">
                  <c:v>15412.21583125</c:v>
                </c:pt>
                <c:pt idx="22">
                  <c:v>16084.766799999999</c:v>
                </c:pt>
                <c:pt idx="23">
                  <c:v>16530.051715624999</c:v>
                </c:pt>
                <c:pt idx="24">
                  <c:v>17070.965274999999</c:v>
                </c:pt>
                <c:pt idx="25">
                  <c:v>17607.531212499998</c:v>
                </c:pt>
                <c:pt idx="26">
                  <c:v>18248.396828125002</c:v>
                </c:pt>
                <c:pt idx="27">
                  <c:v>18651.944234375002</c:v>
                </c:pt>
                <c:pt idx="28">
                  <c:v>19164.775693750002</c:v>
                </c:pt>
              </c:numCache>
            </c:numRef>
          </c:val>
          <c:extLst>
            <c:ext xmlns:c16="http://schemas.microsoft.com/office/drawing/2014/chart" uri="{C3380CC4-5D6E-409C-BE32-E72D297353CC}">
              <c16:uniqueId val="{0000000A-BB39-410E-A17C-88FAD9B1D54E}"/>
            </c:ext>
          </c:extLst>
        </c:ser>
        <c:dLbls>
          <c:showLegendKey val="0"/>
          <c:showVal val="0"/>
          <c:showCatName val="0"/>
          <c:showSerName val="0"/>
          <c:showPercent val="0"/>
          <c:showBubbleSize val="0"/>
        </c:dLbls>
        <c:axId val="1449665456"/>
        <c:axId val="1449672112"/>
      </c:areaChart>
      <c:lineChart>
        <c:grouping val="standard"/>
        <c:varyColors val="0"/>
        <c:ser>
          <c:idx val="0"/>
          <c:order val="0"/>
          <c:tx>
            <c:strRef>
              <c:f>'Compliance Data'!$AP$2</c:f>
              <c:strCache>
                <c:ptCount val="1"/>
                <c:pt idx="0">
                  <c:v>Demand</c:v>
                </c:pt>
              </c:strCache>
            </c:strRef>
          </c:tx>
          <c:spPr>
            <a:ln w="88900" cap="sq">
              <a:solidFill>
                <a:schemeClr val="accent2"/>
              </a:solidFill>
              <a:prstDash val="sysDot"/>
              <a:bevel/>
            </a:ln>
            <a:effectLst/>
          </c:spPr>
          <c:marker>
            <c:symbol val="none"/>
          </c:marke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Data'!$AP$4:$AP$32</c:f>
              <c:numCache>
                <c:formatCode>#,##0</c:formatCode>
                <c:ptCount val="29"/>
                <c:pt idx="0">
                  <c:v>108191.91800327999</c:v>
                </c:pt>
                <c:pt idx="1">
                  <c:v>107908.03500336001</c:v>
                </c:pt>
                <c:pt idx="2">
                  <c:v>107620.62300816001</c:v>
                </c:pt>
                <c:pt idx="3">
                  <c:v>105051.28400183999</c:v>
                </c:pt>
                <c:pt idx="4">
                  <c:v>102288.81500112001</c:v>
                </c:pt>
                <c:pt idx="5">
                  <c:v>99556.317002639989</c:v>
                </c:pt>
                <c:pt idx="6">
                  <c:v>97468.399999679998</c:v>
                </c:pt>
                <c:pt idx="7">
                  <c:v>94202.552993279998</c:v>
                </c:pt>
                <c:pt idx="8">
                  <c:v>91610.213007120008</c:v>
                </c:pt>
                <c:pt idx="9">
                  <c:v>89035.672009679998</c:v>
                </c:pt>
                <c:pt idx="10">
                  <c:v>87069.771000720008</c:v>
                </c:pt>
                <c:pt idx="11">
                  <c:v>84032.132005680003</c:v>
                </c:pt>
                <c:pt idx="12">
                  <c:v>81570.430996559997</c:v>
                </c:pt>
                <c:pt idx="13">
                  <c:v>79156.486007280007</c:v>
                </c:pt>
                <c:pt idx="14">
                  <c:v>77268.7370028</c:v>
                </c:pt>
                <c:pt idx="15">
                  <c:v>74433.410997600004</c:v>
                </c:pt>
                <c:pt idx="16">
                  <c:v>72112.564988879996</c:v>
                </c:pt>
                <c:pt idx="17">
                  <c:v>69810.782008320006</c:v>
                </c:pt>
                <c:pt idx="18">
                  <c:v>67961.401000080004</c:v>
                </c:pt>
                <c:pt idx="19">
                  <c:v>65276.495006160003</c:v>
                </c:pt>
                <c:pt idx="20">
                  <c:v>63033.874002960001</c:v>
                </c:pt>
                <c:pt idx="21">
                  <c:v>60797.664992880003</c:v>
                </c:pt>
                <c:pt idx="22">
                  <c:v>58960.895998560001</c:v>
                </c:pt>
                <c:pt idx="23">
                  <c:v>56405.7779916</c:v>
                </c:pt>
                <c:pt idx="24">
                  <c:v>54236.426999520001</c:v>
                </c:pt>
                <c:pt idx="25">
                  <c:v>52076.488006079999</c:v>
                </c:pt>
                <c:pt idx="26">
                  <c:v>50254.043997360001</c:v>
                </c:pt>
                <c:pt idx="27">
                  <c:v>47800.218995520001</c:v>
                </c:pt>
                <c:pt idx="28">
                  <c:v>45677.965012560002</c:v>
                </c:pt>
              </c:numCache>
            </c:numRef>
          </c:val>
          <c:smooth val="0"/>
          <c:extLst>
            <c:ext xmlns:c16="http://schemas.microsoft.com/office/drawing/2014/chart" uri="{C3380CC4-5D6E-409C-BE32-E72D297353CC}">
              <c16:uniqueId val="{0000000B-BB39-410E-A17C-88FAD9B1D54E}"/>
            </c:ext>
          </c:extLst>
        </c:ser>
        <c:dLbls>
          <c:showLegendKey val="0"/>
          <c:showVal val="0"/>
          <c:showCatName val="0"/>
          <c:showSerName val="0"/>
          <c:showPercent val="0"/>
          <c:showBubbleSize val="0"/>
        </c:dLbls>
        <c:marker val="1"/>
        <c:smooth val="0"/>
        <c:axId val="1423163552"/>
        <c:axId val="1423164384"/>
      </c:lineChart>
      <c:catAx>
        <c:axId val="1423163552"/>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423164384"/>
        <c:crosses val="autoZero"/>
        <c:auto val="1"/>
        <c:lblAlgn val="ctr"/>
        <c:lblOffset val="100"/>
        <c:noMultiLvlLbl val="0"/>
      </c:catAx>
      <c:valAx>
        <c:axId val="1423164384"/>
        <c:scaling>
          <c:orientation val="minMax"/>
          <c:max val="12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BBtu / year</a:t>
                </a:r>
              </a:p>
            </c:rich>
          </c:tx>
          <c:layout>
            <c:manualLayout>
              <c:xMode val="edge"/>
              <c:yMode val="edge"/>
              <c:x val="1.650714965919614E-3"/>
              <c:y val="0.2975809315338582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23163552"/>
        <c:crosses val="autoZero"/>
        <c:crossBetween val="midCat"/>
      </c:valAx>
      <c:valAx>
        <c:axId val="1449672112"/>
        <c:scaling>
          <c:orientation val="minMax"/>
        </c:scaling>
        <c:delete val="1"/>
        <c:axPos val="r"/>
        <c:numFmt formatCode="_(* #,##0_);_(* \(#,##0\);_(* &quot;-&quot;??_);_(@_)" sourceLinked="1"/>
        <c:majorTickMark val="out"/>
        <c:minorTickMark val="none"/>
        <c:tickLblPos val="nextTo"/>
        <c:crossAx val="1449665456"/>
        <c:crosses val="max"/>
        <c:crossBetween val="between"/>
      </c:valAx>
      <c:catAx>
        <c:axId val="1449665456"/>
        <c:scaling>
          <c:orientation val="minMax"/>
        </c:scaling>
        <c:delete val="1"/>
        <c:axPos val="b"/>
        <c:numFmt formatCode="General" sourceLinked="1"/>
        <c:majorTickMark val="out"/>
        <c:minorTickMark val="none"/>
        <c:tickLblPos val="nextTo"/>
        <c:crossAx val="1449672112"/>
        <c:crosses val="autoZero"/>
        <c:auto val="1"/>
        <c:lblAlgn val="ctr"/>
        <c:lblOffset val="100"/>
        <c:noMultiLvlLbl val="0"/>
      </c:catAx>
      <c:spPr>
        <a:noFill/>
        <a:ln>
          <a:solidFill>
            <a:schemeClr val="bg2"/>
          </a:solidFill>
        </a:ln>
        <a:effectLst/>
      </c:spPr>
    </c:plotArea>
    <c:legend>
      <c:legendPos val="r"/>
      <c:layout>
        <c:manualLayout>
          <c:xMode val="edge"/>
          <c:yMode val="edge"/>
          <c:x val="0.73473119920065366"/>
          <c:y val="0"/>
          <c:w val="0.2552678533049374"/>
          <c:h val="1"/>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Unbundled</a:t>
            </a:r>
            <a:r>
              <a:rPr lang="en-US" b="1" baseline="0">
                <a:solidFill>
                  <a:schemeClr val="bg1"/>
                </a:solidFill>
              </a:rPr>
              <a:t> </a:t>
            </a:r>
            <a:r>
              <a:rPr lang="en-US" b="1">
                <a:solidFill>
                  <a:schemeClr val="bg1"/>
                </a:solidFill>
              </a:rPr>
              <a:t>Price</a:t>
            </a:r>
            <a:r>
              <a:rPr lang="en-US" b="1" baseline="0">
                <a:solidFill>
                  <a:schemeClr val="bg1"/>
                </a:solidFill>
              </a:rPr>
              <a:t> Paths</a:t>
            </a:r>
            <a:endParaRPr lang="en-US" b="1">
              <a:solidFill>
                <a:schemeClr val="bg1"/>
              </a:solidFill>
            </a:endParaRPr>
          </a:p>
        </c:rich>
      </c:tx>
      <c:layout>
        <c:manualLayout>
          <c:xMode val="edge"/>
          <c:yMode val="edge"/>
          <c:x val="9.5602703123544117E-2"/>
          <c:y val="0"/>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0774058299727904"/>
          <c:y val="0.11922907629857304"/>
          <c:w val="0.67079009521430044"/>
          <c:h val="0.72317473693714696"/>
        </c:manualLayout>
      </c:layout>
      <c:lineChart>
        <c:grouping val="standard"/>
        <c:varyColors val="0"/>
        <c:ser>
          <c:idx val="0"/>
          <c:order val="0"/>
          <c:tx>
            <c:strRef>
              <c:f>'Compliance Data'!$H$2:$I$2</c:f>
              <c:strCache>
                <c:ptCount val="1"/>
                <c:pt idx="0">
                  <c:v>CCI Purchases</c:v>
                </c:pt>
              </c:strCache>
            </c:strRef>
          </c:tx>
          <c:spPr>
            <a:ln w="28575" cap="rnd">
              <a:solidFill>
                <a:schemeClr val="accent4"/>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Data'!$I$4:$I$32</c:f>
              <c:numCache>
                <c:formatCode>_(* #,##0.00_);_(* \(#,##0.00\);_(* "-"??_);_(@_)</c:formatCode>
                <c:ptCount val="29"/>
                <c:pt idx="0">
                  <c:v>5.7331799999999999</c:v>
                </c:pt>
                <c:pt idx="1">
                  <c:v>5.7862650000000002</c:v>
                </c:pt>
                <c:pt idx="2">
                  <c:v>5.8393499999999996</c:v>
                </c:pt>
                <c:pt idx="3">
                  <c:v>5.8924349999999999</c:v>
                </c:pt>
                <c:pt idx="4">
                  <c:v>5.9455200000000001</c:v>
                </c:pt>
                <c:pt idx="5">
                  <c:v>5.9986050000000004</c:v>
                </c:pt>
                <c:pt idx="6">
                  <c:v>6.0516899999999998</c:v>
                </c:pt>
                <c:pt idx="7">
                  <c:v>6.1047750000000001</c:v>
                </c:pt>
                <c:pt idx="8">
                  <c:v>6.1578600000000003</c:v>
                </c:pt>
                <c:pt idx="9">
                  <c:v>6.2109449999999997</c:v>
                </c:pt>
                <c:pt idx="10">
                  <c:v>6.26403</c:v>
                </c:pt>
                <c:pt idx="11">
                  <c:v>6.3171150000000003</c:v>
                </c:pt>
                <c:pt idx="12">
                  <c:v>6.3701999999999996</c:v>
                </c:pt>
                <c:pt idx="13">
                  <c:v>6.4232849999999999</c:v>
                </c:pt>
                <c:pt idx="14">
                  <c:v>6.4763700000000002</c:v>
                </c:pt>
                <c:pt idx="15">
                  <c:v>6.5294549999999996</c:v>
                </c:pt>
                <c:pt idx="16">
                  <c:v>6.5825399999999998</c:v>
                </c:pt>
                <c:pt idx="17">
                  <c:v>6.6356250000000001</c:v>
                </c:pt>
                <c:pt idx="18">
                  <c:v>6.6887100000000004</c:v>
                </c:pt>
                <c:pt idx="19">
                  <c:v>6.7417949999999998</c:v>
                </c:pt>
                <c:pt idx="20">
                  <c:v>6.79488</c:v>
                </c:pt>
                <c:pt idx="21">
                  <c:v>6.8479650000000003</c:v>
                </c:pt>
                <c:pt idx="22">
                  <c:v>6.9010499999999997</c:v>
                </c:pt>
                <c:pt idx="23">
                  <c:v>6.954135</c:v>
                </c:pt>
                <c:pt idx="24">
                  <c:v>7.0072200000000002</c:v>
                </c:pt>
                <c:pt idx="25">
                  <c:v>7.0603049999999996</c:v>
                </c:pt>
                <c:pt idx="26">
                  <c:v>7.1133899999999999</c:v>
                </c:pt>
                <c:pt idx="27">
                  <c:v>7.1664750000000002</c:v>
                </c:pt>
                <c:pt idx="28">
                  <c:v>7.2195600000000004</c:v>
                </c:pt>
              </c:numCache>
            </c:numRef>
          </c:val>
          <c:smooth val="0"/>
          <c:extLst>
            <c:ext xmlns:c16="http://schemas.microsoft.com/office/drawing/2014/chart" uri="{C3380CC4-5D6E-409C-BE32-E72D297353CC}">
              <c16:uniqueId val="{00000000-3D97-4270-8C67-CEA8D738E0A7}"/>
            </c:ext>
          </c:extLst>
        </c:ser>
        <c:ser>
          <c:idx val="5"/>
          <c:order val="1"/>
          <c:tx>
            <c:strRef>
              <c:f>'Compliance Data'!$K$2:$M$2</c:f>
              <c:strCache>
                <c:ptCount val="1"/>
                <c:pt idx="0">
                  <c:v>RNG Tranche 1</c:v>
                </c:pt>
              </c:strCache>
            </c:strRef>
          </c:tx>
          <c:spPr>
            <a:ln w="28575" cap="rnd">
              <a:solidFill>
                <a:schemeClr val="accent6"/>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Data'!$M$4:$M$32</c:f>
              <c:numCache>
                <c:formatCode>_(* #,##0.00_);_(* \(#,##0.00\);_(* "-"??_);_(@_)</c:formatCode>
                <c:ptCount val="29"/>
                <c:pt idx="0">
                  <c:v>9.1859999999999999</c:v>
                </c:pt>
                <c:pt idx="1">
                  <c:v>10.097</c:v>
                </c:pt>
                <c:pt idx="2">
                  <c:v>11.236000000000001</c:v>
                </c:pt>
                <c:pt idx="3">
                  <c:v>10.804</c:v>
                </c:pt>
                <c:pt idx="4">
                  <c:v>11.374000000000001</c:v>
                </c:pt>
                <c:pt idx="5">
                  <c:v>11.423999999999999</c:v>
                </c:pt>
                <c:pt idx="6">
                  <c:v>11.368</c:v>
                </c:pt>
                <c:pt idx="7">
                  <c:v>11.327999999999999</c:v>
                </c:pt>
                <c:pt idx="8">
                  <c:v>11.337</c:v>
                </c:pt>
                <c:pt idx="9">
                  <c:v>11.319000000000001</c:v>
                </c:pt>
                <c:pt idx="10">
                  <c:v>11.303000000000001</c:v>
                </c:pt>
                <c:pt idx="11">
                  <c:v>11.204000000000001</c:v>
                </c:pt>
                <c:pt idx="12">
                  <c:v>11.250999999999999</c:v>
                </c:pt>
                <c:pt idx="13">
                  <c:v>11.278</c:v>
                </c:pt>
                <c:pt idx="14">
                  <c:v>11.257999999999999</c:v>
                </c:pt>
                <c:pt idx="15">
                  <c:v>11.252000000000001</c:v>
                </c:pt>
                <c:pt idx="16">
                  <c:v>11.255000000000001</c:v>
                </c:pt>
                <c:pt idx="17">
                  <c:v>11.231</c:v>
                </c:pt>
                <c:pt idx="18">
                  <c:v>11.090999999999999</c:v>
                </c:pt>
                <c:pt idx="19">
                  <c:v>11.041</c:v>
                </c:pt>
                <c:pt idx="20">
                  <c:v>11.015000000000001</c:v>
                </c:pt>
                <c:pt idx="21">
                  <c:v>10.9</c:v>
                </c:pt>
                <c:pt idx="22">
                  <c:v>10.872999999999999</c:v>
                </c:pt>
                <c:pt idx="23">
                  <c:v>10.722</c:v>
                </c:pt>
                <c:pt idx="24">
                  <c:v>10.581</c:v>
                </c:pt>
                <c:pt idx="25">
                  <c:v>10.574</c:v>
                </c:pt>
                <c:pt idx="26">
                  <c:v>10.573</c:v>
                </c:pt>
                <c:pt idx="27">
                  <c:v>10.522</c:v>
                </c:pt>
                <c:pt idx="28">
                  <c:v>10.455</c:v>
                </c:pt>
              </c:numCache>
            </c:numRef>
          </c:val>
          <c:smooth val="0"/>
          <c:extLst>
            <c:ext xmlns:c16="http://schemas.microsoft.com/office/drawing/2014/chart" uri="{C3380CC4-5D6E-409C-BE32-E72D297353CC}">
              <c16:uniqueId val="{00000001-3D97-4270-8C67-CEA8D738E0A7}"/>
            </c:ext>
          </c:extLst>
        </c:ser>
        <c:ser>
          <c:idx val="1"/>
          <c:order val="2"/>
          <c:tx>
            <c:strRef>
              <c:f>'Compliance Data'!$P$2:$Q$2</c:f>
              <c:strCache>
                <c:ptCount val="1"/>
                <c:pt idx="0">
                  <c:v>RNG Tranche 2</c:v>
                </c:pt>
              </c:strCache>
            </c:strRef>
          </c:tx>
          <c:spPr>
            <a:ln w="28575" cap="rnd">
              <a:solidFill>
                <a:schemeClr val="accent6">
                  <a:lumMod val="75000"/>
                </a:schemeClr>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Data'!$R$4:$R$32</c:f>
              <c:numCache>
                <c:formatCode>_(* #,##0.00_);_(* \(#,##0.00\);_(* "-"??_);_(@_)</c:formatCode>
                <c:ptCount val="29"/>
                <c:pt idx="0">
                  <c:v>14.186</c:v>
                </c:pt>
                <c:pt idx="1">
                  <c:v>15.097</c:v>
                </c:pt>
                <c:pt idx="2">
                  <c:v>16.236000000000001</c:v>
                </c:pt>
                <c:pt idx="3">
                  <c:v>15.804</c:v>
                </c:pt>
                <c:pt idx="4">
                  <c:v>16.373999999999999</c:v>
                </c:pt>
                <c:pt idx="5">
                  <c:v>16.423999999999999</c:v>
                </c:pt>
                <c:pt idx="6">
                  <c:v>16.367999999999999</c:v>
                </c:pt>
                <c:pt idx="7">
                  <c:v>16.327999999999999</c:v>
                </c:pt>
                <c:pt idx="8">
                  <c:v>16.337</c:v>
                </c:pt>
                <c:pt idx="9">
                  <c:v>16.318999999999999</c:v>
                </c:pt>
                <c:pt idx="10">
                  <c:v>16.303000000000001</c:v>
                </c:pt>
                <c:pt idx="11">
                  <c:v>16.204000000000001</c:v>
                </c:pt>
                <c:pt idx="12">
                  <c:v>16.251000000000001</c:v>
                </c:pt>
                <c:pt idx="13">
                  <c:v>16.277999999999999</c:v>
                </c:pt>
                <c:pt idx="14">
                  <c:v>16.257999999999999</c:v>
                </c:pt>
                <c:pt idx="15">
                  <c:v>16.251999999999999</c:v>
                </c:pt>
                <c:pt idx="16">
                  <c:v>16.254999999999999</c:v>
                </c:pt>
                <c:pt idx="17">
                  <c:v>16.231000000000002</c:v>
                </c:pt>
                <c:pt idx="18">
                  <c:v>16.091000000000001</c:v>
                </c:pt>
                <c:pt idx="19">
                  <c:v>16.041</c:v>
                </c:pt>
                <c:pt idx="20">
                  <c:v>16.015000000000001</c:v>
                </c:pt>
                <c:pt idx="21">
                  <c:v>15.9</c:v>
                </c:pt>
                <c:pt idx="22">
                  <c:v>15.872999999999999</c:v>
                </c:pt>
                <c:pt idx="23">
                  <c:v>15.722</c:v>
                </c:pt>
                <c:pt idx="24">
                  <c:v>15.581</c:v>
                </c:pt>
                <c:pt idx="25">
                  <c:v>15.574</c:v>
                </c:pt>
                <c:pt idx="26">
                  <c:v>15.573</c:v>
                </c:pt>
                <c:pt idx="27">
                  <c:v>15.522</c:v>
                </c:pt>
                <c:pt idx="28">
                  <c:v>15.455</c:v>
                </c:pt>
              </c:numCache>
            </c:numRef>
          </c:val>
          <c:smooth val="0"/>
          <c:extLst>
            <c:ext xmlns:c16="http://schemas.microsoft.com/office/drawing/2014/chart" uri="{C3380CC4-5D6E-409C-BE32-E72D297353CC}">
              <c16:uniqueId val="{00000002-3D97-4270-8C67-CEA8D738E0A7}"/>
            </c:ext>
          </c:extLst>
        </c:ser>
        <c:ser>
          <c:idx val="2"/>
          <c:order val="3"/>
          <c:tx>
            <c:strRef>
              <c:f>'Compliance Data'!$U$2:$W$2</c:f>
              <c:strCache>
                <c:ptCount val="1"/>
                <c:pt idx="0">
                  <c:v>Hydrogen</c:v>
                </c:pt>
              </c:strCache>
            </c:strRef>
          </c:tx>
          <c:spPr>
            <a:ln w="28575" cap="rnd">
              <a:solidFill>
                <a:srgbClr val="008AB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Data'!$W$4:$W$32</c:f>
              <c:numCache>
                <c:formatCode>_(* #,##0.00_);_(* \(#,##0.00\);_(* "-"??_);_(@_)</c:formatCode>
                <c:ptCount val="29"/>
                <c:pt idx="0">
                  <c:v>18.425999999999998</c:v>
                </c:pt>
                <c:pt idx="1">
                  <c:v>17.887</c:v>
                </c:pt>
                <c:pt idx="2">
                  <c:v>17.576000000000001</c:v>
                </c:pt>
                <c:pt idx="3">
                  <c:v>15.694000000000001</c:v>
                </c:pt>
                <c:pt idx="4">
                  <c:v>14.824</c:v>
                </c:pt>
                <c:pt idx="5">
                  <c:v>13.423999999999999</c:v>
                </c:pt>
                <c:pt idx="6">
                  <c:v>11.917999999999999</c:v>
                </c:pt>
                <c:pt idx="7">
                  <c:v>10.428000000000001</c:v>
                </c:pt>
                <c:pt idx="8">
                  <c:v>8.9870000000000001</c:v>
                </c:pt>
                <c:pt idx="9">
                  <c:v>8.6389999999999993</c:v>
                </c:pt>
                <c:pt idx="10">
                  <c:v>8.3030000000000008</c:v>
                </c:pt>
                <c:pt idx="11">
                  <c:v>7.8840000000000003</c:v>
                </c:pt>
                <c:pt idx="12">
                  <c:v>7.601</c:v>
                </c:pt>
                <c:pt idx="13">
                  <c:v>7.3079999999999998</c:v>
                </c:pt>
                <c:pt idx="14">
                  <c:v>6.9580000000000002</c:v>
                </c:pt>
                <c:pt idx="15">
                  <c:v>6.6319999999999997</c:v>
                </c:pt>
                <c:pt idx="16">
                  <c:v>6.3150000000000004</c:v>
                </c:pt>
                <c:pt idx="17">
                  <c:v>5.9610000000000003</c:v>
                </c:pt>
                <c:pt idx="18">
                  <c:v>5.5010000000000003</c:v>
                </c:pt>
                <c:pt idx="19">
                  <c:v>5.1210000000000004</c:v>
                </c:pt>
                <c:pt idx="20">
                  <c:v>4.7750000000000004</c:v>
                </c:pt>
                <c:pt idx="21">
                  <c:v>4.34</c:v>
                </c:pt>
                <c:pt idx="22">
                  <c:v>3.9830000000000001</c:v>
                </c:pt>
                <c:pt idx="23">
                  <c:v>3.512</c:v>
                </c:pt>
                <c:pt idx="24">
                  <c:v>3.0409999999999999</c:v>
                </c:pt>
                <c:pt idx="25">
                  <c:v>2.714</c:v>
                </c:pt>
                <c:pt idx="26">
                  <c:v>2.3929999999999998</c:v>
                </c:pt>
                <c:pt idx="27">
                  <c:v>2.012</c:v>
                </c:pt>
                <c:pt idx="28">
                  <c:v>1.625</c:v>
                </c:pt>
              </c:numCache>
            </c:numRef>
          </c:val>
          <c:smooth val="0"/>
          <c:extLst>
            <c:ext xmlns:c16="http://schemas.microsoft.com/office/drawing/2014/chart" uri="{C3380CC4-5D6E-409C-BE32-E72D297353CC}">
              <c16:uniqueId val="{00000003-3D97-4270-8C67-CEA8D738E0A7}"/>
            </c:ext>
          </c:extLst>
        </c:ser>
        <c:ser>
          <c:idx val="3"/>
          <c:order val="4"/>
          <c:tx>
            <c:strRef>
              <c:f>'Compliance Data'!$Z$2:$AB$2</c:f>
              <c:strCache>
                <c:ptCount val="1"/>
                <c:pt idx="0">
                  <c:v>Synthetic Methane</c:v>
                </c:pt>
              </c:strCache>
            </c:strRef>
          </c:tx>
          <c:spPr>
            <a:ln w="28575" cap="rnd">
              <a:solidFill>
                <a:srgbClr val="00548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Data'!$AB$4:$AB$32</c:f>
              <c:numCache>
                <c:formatCode>_(* #,##0.00_);_(* \(#,##0.00\);_(* "-"??_);_(@_)</c:formatCode>
                <c:ptCount val="29"/>
                <c:pt idx="0">
                  <c:v>25.797000000000001</c:v>
                </c:pt>
                <c:pt idx="1">
                  <c:v>25.146000000000001</c:v>
                </c:pt>
                <c:pt idx="2">
                  <c:v>24.722999999999999</c:v>
                </c:pt>
                <c:pt idx="3">
                  <c:v>22.728000000000002</c:v>
                </c:pt>
                <c:pt idx="4">
                  <c:v>21.736999999999998</c:v>
                </c:pt>
                <c:pt idx="5">
                  <c:v>20.224</c:v>
                </c:pt>
                <c:pt idx="6">
                  <c:v>18.606000000000002</c:v>
                </c:pt>
                <c:pt idx="7">
                  <c:v>17.004000000000001</c:v>
                </c:pt>
                <c:pt idx="8">
                  <c:v>15.451000000000001</c:v>
                </c:pt>
                <c:pt idx="9">
                  <c:v>14.996</c:v>
                </c:pt>
                <c:pt idx="10">
                  <c:v>14.544</c:v>
                </c:pt>
                <c:pt idx="11">
                  <c:v>14.007999999999999</c:v>
                </c:pt>
                <c:pt idx="12">
                  <c:v>13.617000000000001</c:v>
                </c:pt>
                <c:pt idx="13">
                  <c:v>13.208</c:v>
                </c:pt>
                <c:pt idx="14">
                  <c:v>12.750999999999999</c:v>
                </c:pt>
                <c:pt idx="15">
                  <c:v>12.308</c:v>
                </c:pt>
                <c:pt idx="16">
                  <c:v>11.874000000000001</c:v>
                </c:pt>
                <c:pt idx="17">
                  <c:v>11.414</c:v>
                </c:pt>
                <c:pt idx="18">
                  <c:v>10.836</c:v>
                </c:pt>
                <c:pt idx="19">
                  <c:v>10.35</c:v>
                </c:pt>
                <c:pt idx="20">
                  <c:v>9.8870000000000005</c:v>
                </c:pt>
                <c:pt idx="21">
                  <c:v>9.3360000000000003</c:v>
                </c:pt>
                <c:pt idx="22">
                  <c:v>8.8710000000000004</c:v>
                </c:pt>
                <c:pt idx="23">
                  <c:v>8.2829999999999995</c:v>
                </c:pt>
                <c:pt idx="24">
                  <c:v>7.7060000000000004</c:v>
                </c:pt>
                <c:pt idx="25">
                  <c:v>7.2619999999999996</c:v>
                </c:pt>
                <c:pt idx="26">
                  <c:v>6.8239999999999998</c:v>
                </c:pt>
                <c:pt idx="27">
                  <c:v>6.3360000000000003</c:v>
                </c:pt>
                <c:pt idx="28">
                  <c:v>5.8319999999999999</c:v>
                </c:pt>
              </c:numCache>
            </c:numRef>
          </c:val>
          <c:smooth val="0"/>
          <c:extLst>
            <c:ext xmlns:c16="http://schemas.microsoft.com/office/drawing/2014/chart" uri="{C3380CC4-5D6E-409C-BE32-E72D297353CC}">
              <c16:uniqueId val="{00000004-3D97-4270-8C67-CEA8D738E0A7}"/>
            </c:ext>
          </c:extLst>
        </c:ser>
        <c:ser>
          <c:idx val="4"/>
          <c:order val="5"/>
          <c:tx>
            <c:strRef>
              <c:f>'Compliance Data'!$BR$2:$BT$2</c:f>
              <c:strCache>
                <c:ptCount val="1"/>
                <c:pt idx="0">
                  <c:v>Offsets</c:v>
                </c:pt>
              </c:strCache>
            </c:strRef>
          </c:tx>
          <c:spPr>
            <a:ln w="28575" cap="rnd">
              <a:solidFill>
                <a:srgbClr val="9E5ECE"/>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Data'!$BS$4:$BS$32</c:f>
              <c:numCache>
                <c:formatCode>_(* #,##0.00_);_(* \(#,##0.00\);_(* "-"??_);_(@_)</c:formatCode>
                <c:ptCount val="29"/>
                <c:pt idx="1">
                  <c:v>0.63</c:v>
                </c:pt>
                <c:pt idx="2">
                  <c:v>0.68500000000000005</c:v>
                </c:pt>
                <c:pt idx="3">
                  <c:v>0.74299999999999999</c:v>
                </c:pt>
                <c:pt idx="4">
                  <c:v>0.79600000000000004</c:v>
                </c:pt>
                <c:pt idx="5">
                  <c:v>0.86499999999999999</c:v>
                </c:pt>
                <c:pt idx="6">
                  <c:v>0.91700000000000004</c:v>
                </c:pt>
                <c:pt idx="7">
                  <c:v>0.97799999999999998</c:v>
                </c:pt>
                <c:pt idx="8">
                  <c:v>1.0409999999999999</c:v>
                </c:pt>
                <c:pt idx="9">
                  <c:v>1.133</c:v>
                </c:pt>
                <c:pt idx="10">
                  <c:v>1.218</c:v>
                </c:pt>
                <c:pt idx="11">
                  <c:v>1.306</c:v>
                </c:pt>
                <c:pt idx="12">
                  <c:v>1.4179999999999999</c:v>
                </c:pt>
                <c:pt idx="13">
                  <c:v>1.532</c:v>
                </c:pt>
                <c:pt idx="14">
                  <c:v>1.6619999999999999</c:v>
                </c:pt>
                <c:pt idx="15">
                  <c:v>1.8140000000000001</c:v>
                </c:pt>
                <c:pt idx="16">
                  <c:v>1.964</c:v>
                </c:pt>
                <c:pt idx="17">
                  <c:v>2.1389999999999998</c:v>
                </c:pt>
                <c:pt idx="18">
                  <c:v>2.3370000000000002</c:v>
                </c:pt>
                <c:pt idx="19">
                  <c:v>2.5</c:v>
                </c:pt>
                <c:pt idx="20">
                  <c:v>2.714</c:v>
                </c:pt>
                <c:pt idx="21">
                  <c:v>2.9279999999999999</c:v>
                </c:pt>
                <c:pt idx="22">
                  <c:v>3.181</c:v>
                </c:pt>
                <c:pt idx="23">
                  <c:v>3.4129999999999998</c:v>
                </c:pt>
                <c:pt idx="24">
                  <c:v>3.64</c:v>
                </c:pt>
                <c:pt idx="25">
                  <c:v>3.911</c:v>
                </c:pt>
                <c:pt idx="26">
                  <c:v>4.1550000000000002</c:v>
                </c:pt>
                <c:pt idx="27">
                  <c:v>4.4749999999999996</c:v>
                </c:pt>
                <c:pt idx="28">
                  <c:v>4.8310000000000004</c:v>
                </c:pt>
              </c:numCache>
            </c:numRef>
          </c:val>
          <c:smooth val="0"/>
          <c:extLst>
            <c:ext xmlns:c16="http://schemas.microsoft.com/office/drawing/2014/chart" uri="{C3380CC4-5D6E-409C-BE32-E72D297353CC}">
              <c16:uniqueId val="{00000005-3D97-4270-8C67-CEA8D738E0A7}"/>
            </c:ext>
          </c:extLst>
        </c:ser>
        <c:ser>
          <c:idx val="6"/>
          <c:order val="6"/>
          <c:tx>
            <c:strRef>
              <c:f>'Compliance Data'!$BN$2:$BQ$2</c:f>
              <c:strCache>
                <c:ptCount val="1"/>
                <c:pt idx="0">
                  <c:v>Purchased Allowances</c:v>
                </c:pt>
              </c:strCache>
            </c:strRef>
          </c:tx>
          <c:spPr>
            <a:ln w="28575" cap="rnd">
              <a:solidFill>
                <a:schemeClr val="accent4">
                  <a:lumMod val="40000"/>
                  <a:lumOff val="60000"/>
                </a:schemeClr>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Data'!$BO$4:$BO$32</c:f>
              <c:numCache>
                <c:formatCode>_(* #,##0.00_);_(* \(#,##0.00\);_(* "-"??_);_(@_)</c:formatCode>
                <c:ptCount val="29"/>
                <c:pt idx="1">
                  <c:v>1.6672001480120395</c:v>
                </c:pt>
                <c:pt idx="2">
                  <c:v>1.8303953216936328</c:v>
                </c:pt>
                <c:pt idx="3">
                  <c:v>2.0091600721673259</c:v>
                </c:pt>
                <c:pt idx="4">
                  <c:v>2.2039704688009323</c:v>
                </c:pt>
                <c:pt idx="5">
                  <c:v>2.4147228209427172</c:v>
                </c:pt>
                <c:pt idx="6">
                  <c:v>2.6435055074141016</c:v>
                </c:pt>
                <c:pt idx="7">
                  <c:v>2.8936658050138946</c:v>
                </c:pt>
                <c:pt idx="8">
                  <c:v>3.1670094520501597</c:v>
                </c:pt>
                <c:pt idx="9">
                  <c:v>3.4696024846318703</c:v>
                </c:pt>
                <c:pt idx="10">
                  <c:v>3.8016643807416939</c:v>
                </c:pt>
                <c:pt idx="11">
                  <c:v>4.1657946983243246</c:v>
                </c:pt>
                <c:pt idx="12">
                  <c:v>4.5654558835919028</c:v>
                </c:pt>
                <c:pt idx="13">
                  <c:v>5.0035008741682265</c:v>
                </c:pt>
                <c:pt idx="14">
                  <c:v>5.1473793563843691</c:v>
                </c:pt>
                <c:pt idx="15">
                  <c:v>5.2963381923007766</c:v>
                </c:pt>
                <c:pt idx="16">
                  <c:v>5.4493081891352544</c:v>
                </c:pt>
                <c:pt idx="17">
                  <c:v>5.606890825278958</c:v>
                </c:pt>
                <c:pt idx="18">
                  <c:v>5.7675826620899597</c:v>
                </c:pt>
                <c:pt idx="19">
                  <c:v>5.935130766850258</c:v>
                </c:pt>
                <c:pt idx="20">
                  <c:v>6.1052609366481567</c:v>
                </c:pt>
                <c:pt idx="21">
                  <c:v>6.2788338222861402</c:v>
                </c:pt>
                <c:pt idx="22">
                  <c:v>6.4570478846612929</c:v>
                </c:pt>
                <c:pt idx="23">
                  <c:v>6.6405150868084322</c:v>
                </c:pt>
                <c:pt idx="24">
                  <c:v>6.8289022097138705</c:v>
                </c:pt>
                <c:pt idx="25">
                  <c:v>7.0221809990540507</c:v>
                </c:pt>
                <c:pt idx="26">
                  <c:v>7.2198931009350886</c:v>
                </c:pt>
                <c:pt idx="27">
                  <c:v>7.4222972772007143</c:v>
                </c:pt>
                <c:pt idx="28">
                  <c:v>7.6285297110405814</c:v>
                </c:pt>
              </c:numCache>
            </c:numRef>
          </c:val>
          <c:smooth val="0"/>
          <c:extLst>
            <c:ext xmlns:c16="http://schemas.microsoft.com/office/drawing/2014/chart" uri="{C3380CC4-5D6E-409C-BE32-E72D297353CC}">
              <c16:uniqueId val="{00000006-3D97-4270-8C67-CEA8D738E0A7}"/>
            </c:ext>
          </c:extLst>
        </c:ser>
        <c:ser>
          <c:idx val="7"/>
          <c:order val="7"/>
          <c:tx>
            <c:strRef>
              <c:f>'Compliance Data'!$BP$3</c:f>
              <c:strCache>
                <c:ptCount val="1"/>
                <c:pt idx="0">
                  <c:v>Max(SSC, Allowance Price)</c:v>
                </c:pt>
              </c:strCache>
            </c:strRef>
          </c:tx>
          <c:spPr>
            <a:ln w="28575" cap="rnd">
              <a:solidFill>
                <a:schemeClr val="accent2">
                  <a:lumMod val="60000"/>
                </a:schemeClr>
              </a:solidFill>
              <a:round/>
            </a:ln>
            <a:effectLst/>
          </c:spPr>
          <c:marker>
            <c:symbol val="none"/>
          </c:marker>
          <c:val>
            <c:numRef>
              <c:f>'Compliance Data'!$BP$4:$BP$32</c:f>
              <c:numCache>
                <c:formatCode>General</c:formatCode>
                <c:ptCount val="29"/>
                <c:pt idx="1">
                  <c:v>5.22</c:v>
                </c:pt>
                <c:pt idx="2">
                  <c:v>5.32</c:v>
                </c:pt>
                <c:pt idx="3">
                  <c:v>5.43</c:v>
                </c:pt>
                <c:pt idx="4">
                  <c:v>5.51</c:v>
                </c:pt>
                <c:pt idx="5">
                  <c:v>5.59</c:v>
                </c:pt>
                <c:pt idx="6">
                  <c:v>5.67</c:v>
                </c:pt>
                <c:pt idx="7">
                  <c:v>5.75</c:v>
                </c:pt>
                <c:pt idx="8">
                  <c:v>5.83</c:v>
                </c:pt>
                <c:pt idx="9">
                  <c:v>5.91</c:v>
                </c:pt>
                <c:pt idx="10">
                  <c:v>5.99</c:v>
                </c:pt>
                <c:pt idx="11">
                  <c:v>6.06</c:v>
                </c:pt>
                <c:pt idx="12">
                  <c:v>6.14</c:v>
                </c:pt>
                <c:pt idx="13">
                  <c:v>6.22</c:v>
                </c:pt>
                <c:pt idx="14">
                  <c:v>6.31</c:v>
                </c:pt>
                <c:pt idx="15">
                  <c:v>6.4</c:v>
                </c:pt>
                <c:pt idx="16">
                  <c:v>6.49</c:v>
                </c:pt>
                <c:pt idx="17">
                  <c:v>6.58</c:v>
                </c:pt>
                <c:pt idx="18">
                  <c:v>6.67</c:v>
                </c:pt>
                <c:pt idx="19">
                  <c:v>6.75</c:v>
                </c:pt>
                <c:pt idx="20">
                  <c:v>6.82</c:v>
                </c:pt>
                <c:pt idx="21">
                  <c:v>6.9</c:v>
                </c:pt>
                <c:pt idx="22">
                  <c:v>6.98</c:v>
                </c:pt>
                <c:pt idx="23">
                  <c:v>7.06</c:v>
                </c:pt>
                <c:pt idx="24">
                  <c:v>7.15</c:v>
                </c:pt>
                <c:pt idx="25">
                  <c:v>7.24</c:v>
                </c:pt>
                <c:pt idx="26">
                  <c:v>7.33</c:v>
                </c:pt>
                <c:pt idx="27">
                  <c:v>7.42</c:v>
                </c:pt>
                <c:pt idx="28" formatCode="_(* #,##0.00_);_(* \(#,##0.00\);_(* &quot;-&quot;??_);_(@_)">
                  <c:v>7.63</c:v>
                </c:pt>
              </c:numCache>
            </c:numRef>
          </c:val>
          <c:smooth val="0"/>
          <c:extLst>
            <c:ext xmlns:c16="http://schemas.microsoft.com/office/drawing/2014/chart" uri="{C3380CC4-5D6E-409C-BE32-E72D297353CC}">
              <c16:uniqueId val="{00000007-3D97-4270-8C67-CEA8D738E0A7}"/>
            </c:ext>
          </c:extLst>
        </c:ser>
        <c:dLbls>
          <c:showLegendKey val="0"/>
          <c:showVal val="0"/>
          <c:showCatName val="0"/>
          <c:showSerName val="0"/>
          <c:showPercent val="0"/>
          <c:showBubbleSize val="0"/>
        </c:dLbls>
        <c:smooth val="0"/>
        <c:axId val="912597695"/>
        <c:axId val="912598111"/>
      </c:lineChart>
      <c:catAx>
        <c:axId val="912597695"/>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12598111"/>
        <c:crosses val="autoZero"/>
        <c:auto val="1"/>
        <c:lblAlgn val="ctr"/>
        <c:lblOffset val="100"/>
        <c:noMultiLvlLbl val="0"/>
      </c:catAx>
      <c:valAx>
        <c:axId val="9125981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2021 $ / MMBtu</a:t>
                </a:r>
              </a:p>
            </c:rich>
          </c:tx>
          <c:layout>
            <c:manualLayout>
              <c:xMode val="edge"/>
              <c:yMode val="edge"/>
              <c:x val="4.2735042735042739E-3"/>
              <c:y val="0.3412195350581177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_(* #,##0.00_);_(* \(#,##0.00\);_(* &quot;-&quot;??_);_(@_)" sourceLinked="1"/>
        <c:majorTickMark val="out"/>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12597695"/>
        <c:crosses val="autoZero"/>
        <c:crossBetween val="midCat"/>
      </c:valAx>
      <c:spPr>
        <a:noFill/>
        <a:ln>
          <a:solidFill>
            <a:schemeClr val="bg2"/>
          </a:solidFill>
        </a:ln>
        <a:effectLst/>
      </c:spPr>
    </c:plotArea>
    <c:legend>
      <c:legendPos val="b"/>
      <c:layout>
        <c:manualLayout>
          <c:xMode val="edge"/>
          <c:yMode val="edge"/>
          <c:x val="0.78916438618201978"/>
          <c:y val="2.8012239409122557E-2"/>
          <c:w val="0.19874858974308926"/>
          <c:h val="0.94084200263036921"/>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Washington</a:t>
            </a:r>
            <a:r>
              <a:rPr lang="en-US" b="1" baseline="0">
                <a:solidFill>
                  <a:schemeClr val="bg1"/>
                </a:solidFill>
              </a:rPr>
              <a:t> Compliance Resources</a:t>
            </a:r>
            <a:endParaRPr lang="en-US" b="1">
              <a:solidFill>
                <a:schemeClr val="bg1"/>
              </a:solidFill>
            </a:endParaRPr>
          </a:p>
        </c:rich>
      </c:tx>
      <c:layout>
        <c:manualLayout>
          <c:xMode val="edge"/>
          <c:yMode val="edge"/>
          <c:x val="9.2846083877591648E-2"/>
          <c:y val="0"/>
        </c:manualLayout>
      </c:layout>
      <c:overlay val="0"/>
      <c:spPr>
        <a:solidFill>
          <a:srgbClr val="002060"/>
        </a:solidFill>
        <a:ln w="38100">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9.9360392450943635E-2"/>
          <c:y val="0.1042581656459609"/>
          <c:w val="0.62711051743532054"/>
          <c:h val="0.73846629013516341"/>
        </c:manualLayout>
      </c:layout>
      <c:areaChart>
        <c:grouping val="stacked"/>
        <c:varyColors val="0"/>
        <c:ser>
          <c:idx val="1"/>
          <c:order val="1"/>
          <c:tx>
            <c:strRef>
              <c:f>'Compliance Data'!$DD$2</c:f>
              <c:strCache>
                <c:ptCount val="1"/>
                <c:pt idx="0">
                  <c:v>Assigned Allowances</c:v>
                </c:pt>
              </c:strCache>
            </c:strRef>
          </c:tx>
          <c:spPr>
            <a:solidFill>
              <a:srgbClr val="E7E6FA"/>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Data'!$DD$4:$DD$32</c:f>
              <c:numCache>
                <c:formatCode>_(* #,##0_);_(* \(#,##0\);_(* "-"??_);_(@_)</c:formatCode>
                <c:ptCount val="29"/>
                <c:pt idx="0">
                  <c:v>10076.09367312</c:v>
                </c:pt>
                <c:pt idx="1">
                  <c:v>8685.8618846399986</c:v>
                </c:pt>
                <c:pt idx="2">
                  <c:v>8076.1397558399985</c:v>
                </c:pt>
                <c:pt idx="3">
                  <c:v>7509.6191013600019</c:v>
                </c:pt>
                <c:pt idx="4">
                  <c:v>6982.916790960001</c:v>
                </c:pt>
                <c:pt idx="5">
                  <c:v>6493.1357784000011</c:v>
                </c:pt>
                <c:pt idx="6">
                  <c:v>6037.5309669600001</c:v>
                </c:pt>
                <c:pt idx="7">
                  <c:v>5614.10932392</c:v>
                </c:pt>
                <c:pt idx="8">
                  <c:v>5220.2290439999988</c:v>
                </c:pt>
                <c:pt idx="9">
                  <c:v>5126.44839744</c:v>
                </c:pt>
                <c:pt idx="10">
                  <c:v>5034.2244751199996</c:v>
                </c:pt>
                <c:pt idx="11">
                  <c:v>4943.9164041599988</c:v>
                </c:pt>
                <c:pt idx="12">
                  <c:v>4855.1120200799987</c:v>
                </c:pt>
                <c:pt idx="13">
                  <c:v>4767.9094984799995</c:v>
                </c:pt>
                <c:pt idx="14">
                  <c:v>4682.1715044000002</c:v>
                </c:pt>
                <c:pt idx="15">
                  <c:v>4598.1895547999993</c:v>
                </c:pt>
                <c:pt idx="16">
                  <c:v>4515.6216571200002</c:v>
                </c:pt>
                <c:pt idx="17">
                  <c:v>4434.5526611999994</c:v>
                </c:pt>
                <c:pt idx="18">
                  <c:v>4354.8438811200003</c:v>
                </c:pt>
                <c:pt idx="19">
                  <c:v>4276.7624042400003</c:v>
                </c:pt>
                <c:pt idx="20">
                  <c:v>4200.0037372799998</c:v>
                </c:pt>
                <c:pt idx="21">
                  <c:v>4090.9158875999992</c:v>
                </c:pt>
                <c:pt idx="22">
                  <c:v>3984.5823667200002</c:v>
                </c:pt>
                <c:pt idx="23">
                  <c:v>3881.1867446399988</c:v>
                </c:pt>
                <c:pt idx="24">
                  <c:v>3780.4083328799993</c:v>
                </c:pt>
                <c:pt idx="25">
                  <c:v>3682.2594283199992</c:v>
                </c:pt>
                <c:pt idx="26">
                  <c:v>3566.9666090399996</c:v>
                </c:pt>
                <c:pt idx="27">
                  <c:v>3335.4515164799991</c:v>
                </c:pt>
                <c:pt idx="28">
                  <c:v>3133.3005170399997</c:v>
                </c:pt>
              </c:numCache>
            </c:numRef>
          </c:val>
          <c:extLst>
            <c:ext xmlns:c16="http://schemas.microsoft.com/office/drawing/2014/chart" uri="{C3380CC4-5D6E-409C-BE32-E72D297353CC}">
              <c16:uniqueId val="{00000000-BC11-4F0A-BC84-5F565EB4FCE9}"/>
            </c:ext>
          </c:extLst>
        </c:ser>
        <c:ser>
          <c:idx val="7"/>
          <c:order val="2"/>
          <c:tx>
            <c:strRef>
              <c:f>'Compliance Data'!$CV$2</c:f>
              <c:strCache>
                <c:ptCount val="1"/>
                <c:pt idx="0">
                  <c:v>Voluntary RNG</c:v>
                </c:pt>
              </c:strCache>
            </c:strRef>
          </c:tx>
          <c:spPr>
            <a:solidFill>
              <a:srgbClr val="7AC142"/>
            </a:solidFill>
            <a:ln w="25400">
              <a:noFill/>
            </a:ln>
            <a:effectLst/>
          </c:spPr>
          <c:val>
            <c:numRef>
              <c:f>'Compliance Data'!$CV$4:$CV$32</c:f>
              <c:numCache>
                <c:formatCode>_(* #,##0_);_(* \(#,##0\);_(* "-"??_);_(@_)</c:formatCode>
                <c:ptCount val="29"/>
                <c:pt idx="0">
                  <c:v>39.0641378412096</c:v>
                </c:pt>
                <c:pt idx="1">
                  <c:v>39.532748229979198</c:v>
                </c:pt>
                <c:pt idx="2">
                  <c:v>39.763808306913596</c:v>
                </c:pt>
                <c:pt idx="3">
                  <c:v>39.061446480000001</c:v>
                </c:pt>
                <c:pt idx="4">
                  <c:v>38.109362754556805</c:v>
                </c:pt>
                <c:pt idx="5">
                  <c:v>37.160329503628802</c:v>
                </c:pt>
                <c:pt idx="6">
                  <c:v>36.440643972398398</c:v>
                </c:pt>
                <c:pt idx="7">
                  <c:v>35.282130690844802</c:v>
                </c:pt>
                <c:pt idx="8">
                  <c:v>34.357107981167999</c:v>
                </c:pt>
                <c:pt idx="9">
                  <c:v>33.437161804838404</c:v>
                </c:pt>
                <c:pt idx="10">
                  <c:v>32.724238673044795</c:v>
                </c:pt>
                <c:pt idx="11">
                  <c:v>31.620905832398396</c:v>
                </c:pt>
                <c:pt idx="12">
                  <c:v>30.727578371011198</c:v>
                </c:pt>
                <c:pt idx="13">
                  <c:v>29.842941257841598</c:v>
                </c:pt>
                <c:pt idx="14">
                  <c:v>29.147016760646402</c:v>
                </c:pt>
                <c:pt idx="15">
                  <c:v>28.101068060385597</c:v>
                </c:pt>
                <c:pt idx="16">
                  <c:v>27.2425772023776</c:v>
                </c:pt>
                <c:pt idx="17">
                  <c:v>26.393449346913599</c:v>
                </c:pt>
                <c:pt idx="18">
                  <c:v>25.706071393127999</c:v>
                </c:pt>
                <c:pt idx="19">
                  <c:v>24.714649295683198</c:v>
                </c:pt>
                <c:pt idx="20">
                  <c:v>23.890688638790401</c:v>
                </c:pt>
                <c:pt idx="21">
                  <c:v>23.074397634859199</c:v>
                </c:pt>
                <c:pt idx="22">
                  <c:v>22.4033833927008</c:v>
                </c:pt>
                <c:pt idx="23">
                  <c:v>21.467863558915198</c:v>
                </c:pt>
                <c:pt idx="24">
                  <c:v>20.678384146089599</c:v>
                </c:pt>
                <c:pt idx="25">
                  <c:v>19.894056800083199</c:v>
                </c:pt>
                <c:pt idx="26">
                  <c:v>19.235531726308796</c:v>
                </c:pt>
                <c:pt idx="27">
                  <c:v>18.344687742158399</c:v>
                </c:pt>
                <c:pt idx="28">
                  <c:v>17.5805569642752</c:v>
                </c:pt>
              </c:numCache>
            </c:numRef>
          </c:val>
          <c:extLst>
            <c:ext xmlns:c16="http://schemas.microsoft.com/office/drawing/2014/chart" uri="{C3380CC4-5D6E-409C-BE32-E72D297353CC}">
              <c16:uniqueId val="{00000001-BC11-4F0A-BC84-5F565EB4FCE9}"/>
            </c:ext>
          </c:extLst>
        </c:ser>
        <c:ser>
          <c:idx val="3"/>
          <c:order val="3"/>
          <c:tx>
            <c:strRef>
              <c:f>'Compliance Data'!$BU$2</c:f>
              <c:strCache>
                <c:ptCount val="1"/>
                <c:pt idx="0">
                  <c:v>RNG Tranche 1</c:v>
                </c:pt>
              </c:strCache>
            </c:strRef>
          </c:tx>
          <c:spPr>
            <a:solidFill>
              <a:srgbClr val="C1D72E"/>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Data'!$BU$4:$BU$32</c:f>
              <c:numCache>
                <c:formatCode>_(* #,##0_);_(* \(#,##0\);_(* "-"??_);_(@_)</c:formatCode>
                <c:ptCount val="29"/>
                <c:pt idx="0">
                  <c:v>258.33432720000002</c:v>
                </c:pt>
                <c:pt idx="1">
                  <c:v>874.69721279999999</c:v>
                </c:pt>
                <c:pt idx="2">
                  <c:v>877.09364352</c:v>
                </c:pt>
                <c:pt idx="3">
                  <c:v>874.69721279999999</c:v>
                </c:pt>
                <c:pt idx="4">
                  <c:v>940.1958204</c:v>
                </c:pt>
                <c:pt idx="5">
                  <c:v>1001.8508028</c:v>
                </c:pt>
                <c:pt idx="6">
                  <c:v>1066.241448</c:v>
                </c:pt>
                <c:pt idx="7">
                  <c:v>1063.3282200000001</c:v>
                </c:pt>
                <c:pt idx="8">
                  <c:v>1063.3282200000001</c:v>
                </c:pt>
                <c:pt idx="9">
                  <c:v>1063.3282200000001</c:v>
                </c:pt>
                <c:pt idx="10">
                  <c:v>1066.241448</c:v>
                </c:pt>
                <c:pt idx="11">
                  <c:v>1063.3282200000001</c:v>
                </c:pt>
                <c:pt idx="12">
                  <c:v>1063.3282200000001</c:v>
                </c:pt>
                <c:pt idx="13">
                  <c:v>1063.3282200000001</c:v>
                </c:pt>
                <c:pt idx="14">
                  <c:v>1066.241448</c:v>
                </c:pt>
                <c:pt idx="15">
                  <c:v>1063.3282200000001</c:v>
                </c:pt>
                <c:pt idx="16">
                  <c:v>1063.3282200000001</c:v>
                </c:pt>
                <c:pt idx="17">
                  <c:v>1063.3282200000001</c:v>
                </c:pt>
                <c:pt idx="18">
                  <c:v>1066.241448</c:v>
                </c:pt>
                <c:pt idx="19">
                  <c:v>1063.3282200000001</c:v>
                </c:pt>
                <c:pt idx="20">
                  <c:v>1063.3282200000001</c:v>
                </c:pt>
                <c:pt idx="21">
                  <c:v>1063.3282200000001</c:v>
                </c:pt>
                <c:pt idx="22">
                  <c:v>1066.241448</c:v>
                </c:pt>
                <c:pt idx="23">
                  <c:v>1063.3282200000001</c:v>
                </c:pt>
                <c:pt idx="24">
                  <c:v>1063.3282200000001</c:v>
                </c:pt>
                <c:pt idx="25">
                  <c:v>1063.3282200000001</c:v>
                </c:pt>
                <c:pt idx="26">
                  <c:v>1066.241448</c:v>
                </c:pt>
                <c:pt idx="27">
                  <c:v>1063.3282200000001</c:v>
                </c:pt>
                <c:pt idx="28">
                  <c:v>1063.3282200000001</c:v>
                </c:pt>
              </c:numCache>
            </c:numRef>
          </c:val>
          <c:extLst>
            <c:ext xmlns:c16="http://schemas.microsoft.com/office/drawing/2014/chart" uri="{C3380CC4-5D6E-409C-BE32-E72D297353CC}">
              <c16:uniqueId val="{00000002-BC11-4F0A-BC84-5F565EB4FCE9}"/>
            </c:ext>
          </c:extLst>
        </c:ser>
        <c:ser>
          <c:idx val="2"/>
          <c:order val="4"/>
          <c:tx>
            <c:strRef>
              <c:f>'Compliance Data'!$BN$2</c:f>
              <c:strCache>
                <c:ptCount val="1"/>
                <c:pt idx="0">
                  <c:v>Purchased Allowances</c:v>
                </c:pt>
              </c:strCache>
            </c:strRef>
          </c:tx>
          <c:spPr>
            <a:solidFill>
              <a:schemeClr val="accent4">
                <a:lumMod val="40000"/>
                <a:lumOff val="60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Data'!$BN$4:$BN$32</c:f>
              <c:numCache>
                <c:formatCode>_(* #,##0_);_(* \(#,##0\);_(* "-"??_);_(@_)</c:formatCode>
                <c:ptCount val="29"/>
                <c:pt idx="0">
                  <c:v>0</c:v>
                </c:pt>
                <c:pt idx="1">
                  <c:v>0</c:v>
                </c:pt>
                <c:pt idx="2">
                  <c:v>0</c:v>
                </c:pt>
                <c:pt idx="3">
                  <c:v>1102.05355872</c:v>
                </c:pt>
                <c:pt idx="4">
                  <c:v>2158.7293872</c:v>
                </c:pt>
                <c:pt idx="5">
                  <c:v>62.134259759999999</c:v>
                </c:pt>
                <c:pt idx="6">
                  <c:v>2536.6095883200001</c:v>
                </c:pt>
                <c:pt idx="7">
                  <c:v>2606.0283194399999</c:v>
                </c:pt>
                <c:pt idx="8">
                  <c:v>2704.8629292000001</c:v>
                </c:pt>
                <c:pt idx="9">
                  <c:v>468.82192343999998</c:v>
                </c:pt>
                <c:pt idx="10">
                  <c:v>2361.6988214399998</c:v>
                </c:pt>
                <c:pt idx="11">
                  <c:v>2128.5148999200001</c:v>
                </c:pt>
                <c:pt idx="12">
                  <c:v>1945.19608296</c:v>
                </c:pt>
                <c:pt idx="13">
                  <c:v>0</c:v>
                </c:pt>
                <c:pt idx="14">
                  <c:v>1581.6762960000001</c:v>
                </c:pt>
                <c:pt idx="15">
                  <c:v>1420.96332192</c:v>
                </c:pt>
                <c:pt idx="16">
                  <c:v>1254.5556048000001</c:v>
                </c:pt>
                <c:pt idx="17">
                  <c:v>0</c:v>
                </c:pt>
                <c:pt idx="18">
                  <c:v>460.38552743999998</c:v>
                </c:pt>
                <c:pt idx="19">
                  <c:v>779.52485999999999</c:v>
                </c:pt>
                <c:pt idx="20">
                  <c:v>624.3545676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BC11-4F0A-BC84-5F565EB4FCE9}"/>
            </c:ext>
          </c:extLst>
        </c:ser>
        <c:ser>
          <c:idx val="8"/>
          <c:order val="5"/>
          <c:tx>
            <c:strRef>
              <c:f>'Compliance Data'!$BR$2</c:f>
              <c:strCache>
                <c:ptCount val="1"/>
                <c:pt idx="0">
                  <c:v>Offsets</c:v>
                </c:pt>
              </c:strCache>
            </c:strRef>
          </c:tx>
          <c:spPr>
            <a:solidFill>
              <a:srgbClr val="9E5ECE"/>
            </a:solidFill>
            <a:ln>
              <a:noFill/>
            </a:ln>
            <a:effectLst/>
          </c:spPr>
          <c:val>
            <c:numRef>
              <c:f>'Compliance Data'!$BR$4:$BR$32</c:f>
              <c:numCache>
                <c:formatCode>_(* #,##0_);_(* \(#,##0\);_(* "-"??_);_(@_)</c:formatCode>
                <c:ptCount val="29"/>
                <c:pt idx="0">
                  <c:v>0</c:v>
                </c:pt>
                <c:pt idx="1">
                  <c:v>897.83990519999998</c:v>
                </c:pt>
                <c:pt idx="2">
                  <c:v>1566.29260776</c:v>
                </c:pt>
                <c:pt idx="3">
                  <c:v>847.34612712000001</c:v>
                </c:pt>
                <c:pt idx="4">
                  <c:v>0</c:v>
                </c:pt>
                <c:pt idx="5">
                  <c:v>2273.65416</c:v>
                </c:pt>
                <c:pt idx="6">
                  <c:v>0</c:v>
                </c:pt>
                <c:pt idx="7">
                  <c:v>0</c:v>
                </c:pt>
                <c:pt idx="8">
                  <c:v>0</c:v>
                </c:pt>
                <c:pt idx="9">
                  <c:v>2039.83944</c:v>
                </c:pt>
                <c:pt idx="10">
                  <c:v>0</c:v>
                </c:pt>
                <c:pt idx="11">
                  <c:v>0</c:v>
                </c:pt>
                <c:pt idx="12">
                  <c:v>0</c:v>
                </c:pt>
                <c:pt idx="13">
                  <c:v>1766.12004744</c:v>
                </c:pt>
                <c:pt idx="14">
                  <c:v>48.699052559999998</c:v>
                </c:pt>
                <c:pt idx="15">
                  <c:v>0</c:v>
                </c:pt>
                <c:pt idx="16">
                  <c:v>0</c:v>
                </c:pt>
                <c:pt idx="17">
                  <c:v>1092.4705387199999</c:v>
                </c:pt>
                <c:pt idx="18">
                  <c:v>506.01928127999997</c:v>
                </c:pt>
                <c:pt idx="19">
                  <c:v>0</c:v>
                </c:pt>
                <c:pt idx="20">
                  <c:v>0</c:v>
                </c:pt>
                <c:pt idx="21">
                  <c:v>517.49241624000001</c:v>
                </c:pt>
                <c:pt idx="22">
                  <c:v>420.44023872000002</c:v>
                </c:pt>
                <c:pt idx="23">
                  <c:v>280.50176040000002</c:v>
                </c:pt>
                <c:pt idx="24">
                  <c:v>172.42318463999999</c:v>
                </c:pt>
                <c:pt idx="25">
                  <c:v>63.07808232</c:v>
                </c:pt>
                <c:pt idx="26">
                  <c:v>0</c:v>
                </c:pt>
                <c:pt idx="27">
                  <c:v>0</c:v>
                </c:pt>
                <c:pt idx="28">
                  <c:v>0</c:v>
                </c:pt>
              </c:numCache>
            </c:numRef>
          </c:val>
          <c:extLst>
            <c:ext xmlns:c16="http://schemas.microsoft.com/office/drawing/2014/chart" uri="{C3380CC4-5D6E-409C-BE32-E72D297353CC}">
              <c16:uniqueId val="{00000004-BC11-4F0A-BC84-5F565EB4FCE9}"/>
            </c:ext>
          </c:extLst>
        </c:ser>
        <c:ser>
          <c:idx val="4"/>
          <c:order val="6"/>
          <c:tx>
            <c:strRef>
              <c:f>'Compliance Data'!$BZ$2</c:f>
              <c:strCache>
                <c:ptCount val="1"/>
                <c:pt idx="0">
                  <c:v>RNG Tranche 2</c:v>
                </c:pt>
              </c:strCache>
            </c:strRef>
          </c:tx>
          <c:spPr>
            <a:solidFill>
              <a:schemeClr val="accent6">
                <a:lumMod val="75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Data'!$BZ$4:$BZ$32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5-BC11-4F0A-BC84-5F565EB4FCE9}"/>
            </c:ext>
          </c:extLst>
        </c:ser>
        <c:ser>
          <c:idx val="5"/>
          <c:order val="7"/>
          <c:tx>
            <c:strRef>
              <c:f>'Compliance Data'!$CE$2</c:f>
              <c:strCache>
                <c:ptCount val="1"/>
                <c:pt idx="0">
                  <c:v>Hydrogen</c:v>
                </c:pt>
              </c:strCache>
            </c:strRef>
          </c:tx>
          <c:spPr>
            <a:solidFill>
              <a:srgbClr val="008AB0"/>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Data'!$CE$4:$CE$32</c:f>
              <c:numCache>
                <c:formatCode>_(* #,##0_);_(* \(#,##0\);_(* "-"??_);_(@_)</c:formatCode>
                <c:ptCount val="29"/>
                <c:pt idx="0">
                  <c:v>0</c:v>
                </c:pt>
                <c:pt idx="1">
                  <c:v>0</c:v>
                </c:pt>
                <c:pt idx="2">
                  <c:v>0</c:v>
                </c:pt>
                <c:pt idx="3">
                  <c:v>0</c:v>
                </c:pt>
                <c:pt idx="4">
                  <c:v>0</c:v>
                </c:pt>
                <c:pt idx="5">
                  <c:v>0</c:v>
                </c:pt>
                <c:pt idx="6">
                  <c:v>0</c:v>
                </c:pt>
                <c:pt idx="7">
                  <c:v>50.431144799999998</c:v>
                </c:pt>
                <c:pt idx="8">
                  <c:v>100.7618124</c:v>
                </c:pt>
                <c:pt idx="9">
                  <c:v>147.3720204</c:v>
                </c:pt>
                <c:pt idx="10">
                  <c:v>195.0412536</c:v>
                </c:pt>
                <c:pt idx="11">
                  <c:v>229.5594792</c:v>
                </c:pt>
                <c:pt idx="12">
                  <c:v>265.352664</c:v>
                </c:pt>
                <c:pt idx="13">
                  <c:v>297.6002388</c:v>
                </c:pt>
                <c:pt idx="14">
                  <c:v>332.06269392000002</c:v>
                </c:pt>
                <c:pt idx="15">
                  <c:v>351.66389279999999</c:v>
                </c:pt>
                <c:pt idx="16">
                  <c:v>373.52552400000002</c:v>
                </c:pt>
                <c:pt idx="17">
                  <c:v>392.04258720000001</c:v>
                </c:pt>
                <c:pt idx="18">
                  <c:v>413.05784976000001</c:v>
                </c:pt>
                <c:pt idx="19">
                  <c:v>418.65152519999998</c:v>
                </c:pt>
                <c:pt idx="20">
                  <c:v>432.60147480000001</c:v>
                </c:pt>
                <c:pt idx="21">
                  <c:v>432.60147480000001</c:v>
                </c:pt>
                <c:pt idx="22">
                  <c:v>455.55694992000002</c:v>
                </c:pt>
                <c:pt idx="23">
                  <c:v>454.3122588</c:v>
                </c:pt>
                <c:pt idx="24">
                  <c:v>454.3122588</c:v>
                </c:pt>
                <c:pt idx="25">
                  <c:v>454.3122588</c:v>
                </c:pt>
                <c:pt idx="26">
                  <c:v>455.55694992000002</c:v>
                </c:pt>
                <c:pt idx="27">
                  <c:v>454.3122588</c:v>
                </c:pt>
                <c:pt idx="28">
                  <c:v>454.3122588</c:v>
                </c:pt>
              </c:numCache>
            </c:numRef>
          </c:val>
          <c:extLst>
            <c:ext xmlns:c16="http://schemas.microsoft.com/office/drawing/2014/chart" uri="{C3380CC4-5D6E-409C-BE32-E72D297353CC}">
              <c16:uniqueId val="{00000006-BC11-4F0A-BC84-5F565EB4FCE9}"/>
            </c:ext>
          </c:extLst>
        </c:ser>
        <c:ser>
          <c:idx val="6"/>
          <c:order val="8"/>
          <c:tx>
            <c:strRef>
              <c:f>'Compliance Data'!$CJ$2</c:f>
              <c:strCache>
                <c:ptCount val="1"/>
                <c:pt idx="0">
                  <c:v>Synthetic Methane</c:v>
                </c:pt>
              </c:strCache>
            </c:strRef>
          </c:tx>
          <c:spPr>
            <a:solidFill>
              <a:srgbClr val="005480"/>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Data'!$CJ$4:$CJ$32</c:f>
              <c:numCache>
                <c:formatCode>_(* #,##0_);_(* \(#,##0\);_(*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7-BC11-4F0A-BC84-5F565EB4FCE9}"/>
            </c:ext>
          </c:extLst>
        </c:ser>
        <c:ser>
          <c:idx val="9"/>
          <c:order val="9"/>
          <c:tx>
            <c:strRef>
              <c:f>'Compliance Data'!$CW$2</c:f>
              <c:strCache>
                <c:ptCount val="1"/>
                <c:pt idx="0">
                  <c:v>Residential Reduction</c:v>
                </c:pt>
              </c:strCache>
            </c:strRef>
          </c:tx>
          <c:spPr>
            <a:solidFill>
              <a:schemeClr val="accent2">
                <a:lumMod val="75000"/>
              </a:schemeClr>
            </a:solidFill>
            <a:ln>
              <a:noFill/>
            </a:ln>
            <a:effectLst/>
          </c:spPr>
          <c:val>
            <c:numRef>
              <c:f>'Compliance Data'!$CW$4:$CW$32</c:f>
              <c:numCache>
                <c:formatCode>0</c:formatCode>
                <c:ptCount val="29"/>
                <c:pt idx="0">
                  <c:v>0</c:v>
                </c:pt>
                <c:pt idx="1">
                  <c:v>0</c:v>
                </c:pt>
                <c:pt idx="2">
                  <c:v>0</c:v>
                </c:pt>
                <c:pt idx="3">
                  <c:v>87.6319810546875</c:v>
                </c:pt>
                <c:pt idx="4">
                  <c:v>274.05262812500001</c:v>
                </c:pt>
                <c:pt idx="5">
                  <c:v>459.1754533203125</c:v>
                </c:pt>
                <c:pt idx="6">
                  <c:v>646.84530449218755</c:v>
                </c:pt>
                <c:pt idx="7">
                  <c:v>825.53023769531251</c:v>
                </c:pt>
                <c:pt idx="8">
                  <c:v>1006.699846484375</c:v>
                </c:pt>
                <c:pt idx="9">
                  <c:v>1186.5339365234377</c:v>
                </c:pt>
                <c:pt idx="10">
                  <c:v>1373.2356666015626</c:v>
                </c:pt>
                <c:pt idx="11">
                  <c:v>1542.0111197265626</c:v>
                </c:pt>
                <c:pt idx="12">
                  <c:v>1717.9048300781251</c:v>
                </c:pt>
                <c:pt idx="13">
                  <c:v>1892.45301015625</c:v>
                </c:pt>
                <c:pt idx="14">
                  <c:v>2078.5447099609378</c:v>
                </c:pt>
                <c:pt idx="15">
                  <c:v>2237.4695095703128</c:v>
                </c:pt>
                <c:pt idx="16">
                  <c:v>2407.9677246093752</c:v>
                </c:pt>
                <c:pt idx="17">
                  <c:v>2577.1213484375003</c:v>
                </c:pt>
                <c:pt idx="18">
                  <c:v>2761.5152958984377</c:v>
                </c:pt>
                <c:pt idx="19">
                  <c:v>2910.6132261718753</c:v>
                </c:pt>
                <c:pt idx="20">
                  <c:v>3075.6324031250001</c:v>
                </c:pt>
                <c:pt idx="21">
                  <c:v>3239.2845644531253</c:v>
                </c:pt>
                <c:pt idx="22">
                  <c:v>3423.11193046875</c:v>
                </c:pt>
                <c:pt idx="23">
                  <c:v>3562.3538878906252</c:v>
                </c:pt>
                <c:pt idx="24">
                  <c:v>3721.9272306640628</c:v>
                </c:pt>
                <c:pt idx="25">
                  <c:v>3879.9427515625002</c:v>
                </c:pt>
                <c:pt idx="26">
                  <c:v>4062.4254804687503</c:v>
                </c:pt>
                <c:pt idx="27">
                  <c:v>4191.675434570313</c:v>
                </c:pt>
                <c:pt idx="28">
                  <c:v>4345.8040428710938</c:v>
                </c:pt>
              </c:numCache>
            </c:numRef>
          </c:val>
          <c:extLst>
            <c:ext xmlns:c16="http://schemas.microsoft.com/office/drawing/2014/chart" uri="{C3380CC4-5D6E-409C-BE32-E72D297353CC}">
              <c16:uniqueId val="{00000008-BC11-4F0A-BC84-5F565EB4FCE9}"/>
            </c:ext>
          </c:extLst>
        </c:ser>
        <c:ser>
          <c:idx val="10"/>
          <c:order val="10"/>
          <c:tx>
            <c:strRef>
              <c:f>'Compliance Data'!$CX$2</c:f>
              <c:strCache>
                <c:ptCount val="1"/>
                <c:pt idx="0">
                  <c:v>Commercial Reduction</c:v>
                </c:pt>
              </c:strCache>
            </c:strRef>
          </c:tx>
          <c:spPr>
            <a:solidFill>
              <a:schemeClr val="accent2">
                <a:lumMod val="60000"/>
                <a:lumOff val="40000"/>
              </a:schemeClr>
            </a:solidFill>
            <a:ln>
              <a:noFill/>
            </a:ln>
            <a:effectLst/>
          </c:spPr>
          <c:val>
            <c:numRef>
              <c:f>'Compliance Data'!$CX$4:$CX$32</c:f>
              <c:numCache>
                <c:formatCode>0</c:formatCode>
                <c:ptCount val="29"/>
                <c:pt idx="0">
                  <c:v>0</c:v>
                </c:pt>
                <c:pt idx="1">
                  <c:v>0</c:v>
                </c:pt>
                <c:pt idx="2">
                  <c:v>0</c:v>
                </c:pt>
                <c:pt idx="3">
                  <c:v>35.014479882812502</c:v>
                </c:pt>
                <c:pt idx="4">
                  <c:v>106.53343388671875</c:v>
                </c:pt>
                <c:pt idx="5">
                  <c:v>176.50750927734376</c:v>
                </c:pt>
                <c:pt idx="6">
                  <c:v>246.68981894531251</c:v>
                </c:pt>
                <c:pt idx="7">
                  <c:v>314.33415751953123</c:v>
                </c:pt>
                <c:pt idx="8">
                  <c:v>382.86290439453126</c:v>
                </c:pt>
                <c:pt idx="9">
                  <c:v>450.9613408203125</c:v>
                </c:pt>
                <c:pt idx="10">
                  <c:v>520.85684208984378</c:v>
                </c:pt>
                <c:pt idx="11">
                  <c:v>585.436992578125</c:v>
                </c:pt>
                <c:pt idx="12">
                  <c:v>652.03407343749996</c:v>
                </c:pt>
                <c:pt idx="13">
                  <c:v>718.30432480468755</c:v>
                </c:pt>
                <c:pt idx="14">
                  <c:v>787.83793017578125</c:v>
                </c:pt>
                <c:pt idx="15">
                  <c:v>849.17327177734376</c:v>
                </c:pt>
                <c:pt idx="16">
                  <c:v>913.15590625000004</c:v>
                </c:pt>
                <c:pt idx="17">
                  <c:v>976.25556103515623</c:v>
                </c:pt>
                <c:pt idx="18">
                  <c:v>1043.6839137695313</c:v>
                </c:pt>
                <c:pt idx="19">
                  <c:v>1101.2699470703126</c:v>
                </c:pt>
                <c:pt idx="20">
                  <c:v>1163.72666875</c:v>
                </c:pt>
                <c:pt idx="21">
                  <c:v>1226.1646844726563</c:v>
                </c:pt>
                <c:pt idx="22">
                  <c:v>1294.6725038085938</c:v>
                </c:pt>
                <c:pt idx="23">
                  <c:v>1350.7795592773437</c:v>
                </c:pt>
                <c:pt idx="24">
                  <c:v>1412.8841581054687</c:v>
                </c:pt>
                <c:pt idx="25">
                  <c:v>1474.762767578125</c:v>
                </c:pt>
                <c:pt idx="26">
                  <c:v>1543.7933185546874</c:v>
                </c:pt>
                <c:pt idx="27">
                  <c:v>1597.9491051757811</c:v>
                </c:pt>
                <c:pt idx="28">
                  <c:v>1659.3504822265625</c:v>
                </c:pt>
              </c:numCache>
            </c:numRef>
          </c:val>
          <c:extLst>
            <c:ext xmlns:c16="http://schemas.microsoft.com/office/drawing/2014/chart" uri="{C3380CC4-5D6E-409C-BE32-E72D297353CC}">
              <c16:uniqueId val="{00000009-BC11-4F0A-BC84-5F565EB4FCE9}"/>
            </c:ext>
          </c:extLst>
        </c:ser>
        <c:ser>
          <c:idx val="11"/>
          <c:order val="11"/>
          <c:tx>
            <c:strRef>
              <c:f>'Compliance Data'!$CY$2</c:f>
              <c:strCache>
                <c:ptCount val="1"/>
                <c:pt idx="0">
                  <c:v>Ind-Com Sales Reduction</c:v>
                </c:pt>
              </c:strCache>
            </c:strRef>
          </c:tx>
          <c:spPr>
            <a:solidFill>
              <a:schemeClr val="accent2">
                <a:lumMod val="20000"/>
                <a:lumOff val="80000"/>
              </a:schemeClr>
            </a:solidFill>
            <a:ln>
              <a:noFill/>
            </a:ln>
            <a:effectLst/>
          </c:spPr>
          <c:val>
            <c:numRef>
              <c:f>'Compliance Data'!$CY$4:$CY$32</c:f>
              <c:numCache>
                <c:formatCode>0</c:formatCode>
                <c:ptCount val="29"/>
                <c:pt idx="0">
                  <c:v>0</c:v>
                </c:pt>
                <c:pt idx="1">
                  <c:v>20.4033359375</c:v>
                </c:pt>
                <c:pt idx="2">
                  <c:v>40.751785839843748</c:v>
                </c:pt>
                <c:pt idx="3">
                  <c:v>60.153190429687498</c:v>
                </c:pt>
                <c:pt idx="4">
                  <c:v>79.624930371093754</c:v>
                </c:pt>
                <c:pt idx="5">
                  <c:v>98.775823730468744</c:v>
                </c:pt>
                <c:pt idx="6">
                  <c:v>118.6183169921875</c:v>
                </c:pt>
                <c:pt idx="7">
                  <c:v>136.23498085937501</c:v>
                </c:pt>
                <c:pt idx="8">
                  <c:v>154.62241552734375</c:v>
                </c:pt>
                <c:pt idx="9">
                  <c:v>172.69160966796875</c:v>
                </c:pt>
                <c:pt idx="10">
                  <c:v>192.09689775390626</c:v>
                </c:pt>
                <c:pt idx="11">
                  <c:v>208.03687373046876</c:v>
                </c:pt>
                <c:pt idx="12">
                  <c:v>225.32048271484376</c:v>
                </c:pt>
                <c:pt idx="13">
                  <c:v>242.36812890625001</c:v>
                </c:pt>
                <c:pt idx="14">
                  <c:v>261.34770283203125</c:v>
                </c:pt>
                <c:pt idx="15">
                  <c:v>275.79302275390626</c:v>
                </c:pt>
                <c:pt idx="16">
                  <c:v>292.18573359375</c:v>
                </c:pt>
                <c:pt idx="17">
                  <c:v>308.36340703125001</c:v>
                </c:pt>
                <c:pt idx="18">
                  <c:v>327.03387148437503</c:v>
                </c:pt>
                <c:pt idx="19">
                  <c:v>340.09424462890627</c:v>
                </c:pt>
                <c:pt idx="20">
                  <c:v>355.91253017578123</c:v>
                </c:pt>
                <c:pt idx="21">
                  <c:v>371.53309487304688</c:v>
                </c:pt>
                <c:pt idx="22">
                  <c:v>390.18334072265623</c:v>
                </c:pt>
                <c:pt idx="23">
                  <c:v>402.20932270507814</c:v>
                </c:pt>
                <c:pt idx="24">
                  <c:v>417.26412714843752</c:v>
                </c:pt>
                <c:pt idx="25">
                  <c:v>432.14130532226562</c:v>
                </c:pt>
                <c:pt idx="26">
                  <c:v>450.54975014648437</c:v>
                </c:pt>
                <c:pt idx="27">
                  <c:v>461.34518652343752</c:v>
                </c:pt>
                <c:pt idx="28">
                  <c:v>475.6647267578125</c:v>
                </c:pt>
              </c:numCache>
            </c:numRef>
          </c:val>
          <c:extLst>
            <c:ext xmlns:c16="http://schemas.microsoft.com/office/drawing/2014/chart" uri="{C3380CC4-5D6E-409C-BE32-E72D297353CC}">
              <c16:uniqueId val="{0000000A-BC11-4F0A-BC84-5F565EB4FCE9}"/>
            </c:ext>
          </c:extLst>
        </c:ser>
        <c:ser>
          <c:idx val="12"/>
          <c:order val="12"/>
          <c:tx>
            <c:strRef>
              <c:f>'Compliance Data'!$CZ$2</c:f>
              <c:strCache>
                <c:ptCount val="1"/>
                <c:pt idx="0">
                  <c:v>Transport Reduction</c:v>
                </c:pt>
              </c:strCache>
            </c:strRef>
          </c:tx>
          <c:spPr>
            <a:solidFill>
              <a:schemeClr val="accent2">
                <a:lumMod val="50000"/>
              </a:schemeClr>
            </a:solidFill>
            <a:ln>
              <a:noFill/>
            </a:ln>
            <a:effectLst/>
          </c:spPr>
          <c:val>
            <c:numRef>
              <c:f>'Compliance Data'!$CZ$4:$CZ$32</c:f>
              <c:numCache>
                <c:formatCode>0</c:formatCode>
                <c:ptCount val="29"/>
                <c:pt idx="0">
                  <c:v>0</c:v>
                </c:pt>
                <c:pt idx="1">
                  <c:v>37.103385937500001</c:v>
                </c:pt>
                <c:pt idx="2">
                  <c:v>74.045815234374999</c:v>
                </c:pt>
                <c:pt idx="3">
                  <c:v>116.923134375</c:v>
                </c:pt>
                <c:pt idx="4">
                  <c:v>159.64141171874999</c:v>
                </c:pt>
                <c:pt idx="5">
                  <c:v>201.56234531250001</c:v>
                </c:pt>
                <c:pt idx="6">
                  <c:v>244.1860125</c:v>
                </c:pt>
                <c:pt idx="7">
                  <c:v>283.22200195312502</c:v>
                </c:pt>
                <c:pt idx="8">
                  <c:v>323.1495984375</c:v>
                </c:pt>
                <c:pt idx="9">
                  <c:v>362.00041093750002</c:v>
                </c:pt>
                <c:pt idx="10">
                  <c:v>402.40821640625001</c:v>
                </c:pt>
                <c:pt idx="11">
                  <c:v>437.01275332031253</c:v>
                </c:pt>
                <c:pt idx="12">
                  <c:v>473.12196308593752</c:v>
                </c:pt>
                <c:pt idx="13">
                  <c:v>508.17008378906252</c:v>
                </c:pt>
                <c:pt idx="14">
                  <c:v>545.54618417968754</c:v>
                </c:pt>
                <c:pt idx="15">
                  <c:v>575.28667363281249</c:v>
                </c:pt>
                <c:pt idx="16">
                  <c:v>607.43499921875002</c:v>
                </c:pt>
                <c:pt idx="17">
                  <c:v>638.59581953124996</c:v>
                </c:pt>
                <c:pt idx="18">
                  <c:v>672.98747773437503</c:v>
                </c:pt>
                <c:pt idx="19">
                  <c:v>698.22991855468752</c:v>
                </c:pt>
                <c:pt idx="20">
                  <c:v>726.81542695312498</c:v>
                </c:pt>
                <c:pt idx="21">
                  <c:v>754.62291464843747</c:v>
                </c:pt>
                <c:pt idx="22">
                  <c:v>786.57051328124999</c:v>
                </c:pt>
                <c:pt idx="23">
                  <c:v>806.670802734375</c:v>
                </c:pt>
                <c:pt idx="24">
                  <c:v>831.10716708984376</c:v>
                </c:pt>
                <c:pt idx="25">
                  <c:v>855.0201127929688</c:v>
                </c:pt>
                <c:pt idx="26">
                  <c:v>883.86925888671874</c:v>
                </c:pt>
                <c:pt idx="27">
                  <c:v>901.41270585937502</c:v>
                </c:pt>
                <c:pt idx="28">
                  <c:v>923.93359033203126</c:v>
                </c:pt>
              </c:numCache>
            </c:numRef>
          </c:val>
          <c:extLst>
            <c:ext xmlns:c16="http://schemas.microsoft.com/office/drawing/2014/chart" uri="{C3380CC4-5D6E-409C-BE32-E72D297353CC}">
              <c16:uniqueId val="{0000000B-BC11-4F0A-BC84-5F565EB4FCE9}"/>
            </c:ext>
          </c:extLst>
        </c:ser>
        <c:dLbls>
          <c:showLegendKey val="0"/>
          <c:showVal val="0"/>
          <c:showCatName val="0"/>
          <c:showSerName val="0"/>
          <c:showPercent val="0"/>
          <c:showBubbleSize val="0"/>
        </c:dLbls>
        <c:axId val="1449665456"/>
        <c:axId val="1449672112"/>
      </c:areaChart>
      <c:lineChart>
        <c:grouping val="standard"/>
        <c:varyColors val="0"/>
        <c:ser>
          <c:idx val="0"/>
          <c:order val="0"/>
          <c:tx>
            <c:strRef>
              <c:f>'Compliance Data'!$DB$2</c:f>
              <c:strCache>
                <c:ptCount val="1"/>
                <c:pt idx="0">
                  <c:v>Demand</c:v>
                </c:pt>
              </c:strCache>
            </c:strRef>
          </c:tx>
          <c:spPr>
            <a:ln w="88900" cap="sq">
              <a:solidFill>
                <a:schemeClr val="accent2"/>
              </a:solidFill>
              <a:prstDash val="sysDot"/>
              <a:round/>
            </a:ln>
            <a:effectLst/>
          </c:spPr>
          <c:marker>
            <c:symbol val="none"/>
          </c:marke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Data'!$DB$4:$DB$32</c:f>
              <c:numCache>
                <c:formatCode>#,##0</c:formatCode>
                <c:ptCount val="29"/>
                <c:pt idx="0">
                  <c:v>10334.42800032</c:v>
                </c:pt>
                <c:pt idx="1">
                  <c:v>10458.399002639999</c:v>
                </c:pt>
                <c:pt idx="2">
                  <c:v>10519.526007119999</c:v>
                </c:pt>
                <c:pt idx="3">
                  <c:v>10333.716</c:v>
                </c:pt>
                <c:pt idx="4">
                  <c:v>10081.841998560001</c:v>
                </c:pt>
                <c:pt idx="5">
                  <c:v>9830.7750009600004</c:v>
                </c:pt>
                <c:pt idx="6">
                  <c:v>9640.3820032799995</c:v>
                </c:pt>
                <c:pt idx="7">
                  <c:v>9333.89700816</c:v>
                </c:pt>
                <c:pt idx="8">
                  <c:v>9089.1820055999997</c:v>
                </c:pt>
                <c:pt idx="9">
                  <c:v>8845.8100012800005</c:v>
                </c:pt>
                <c:pt idx="10">
                  <c:v>8657.2059981599996</c:v>
                </c:pt>
                <c:pt idx="11">
                  <c:v>8365.3190032799994</c:v>
                </c:pt>
                <c:pt idx="12">
                  <c:v>8128.9889870399993</c:v>
                </c:pt>
                <c:pt idx="13">
                  <c:v>7894.9580047199997</c:v>
                </c:pt>
                <c:pt idx="14">
                  <c:v>7710.8509948800001</c:v>
                </c:pt>
                <c:pt idx="15">
                  <c:v>7434.1449895199994</c:v>
                </c:pt>
                <c:pt idx="16">
                  <c:v>7207.0310059200001</c:v>
                </c:pt>
                <c:pt idx="17">
                  <c:v>6982.3940071199995</c:v>
                </c:pt>
                <c:pt idx="18">
                  <c:v>6800.5479875999999</c:v>
                </c:pt>
                <c:pt idx="19">
                  <c:v>6538.26700944</c:v>
                </c:pt>
                <c:pt idx="20">
                  <c:v>6320.2879996800002</c:v>
                </c:pt>
                <c:pt idx="21">
                  <c:v>6104.3379986399996</c:v>
                </c:pt>
                <c:pt idx="22">
                  <c:v>5926.8210033599998</c:v>
                </c:pt>
                <c:pt idx="23">
                  <c:v>5679.3289838399996</c:v>
                </c:pt>
                <c:pt idx="24">
                  <c:v>5470.4719963199996</c:v>
                </c:pt>
                <c:pt idx="25">
                  <c:v>5262.9779894399999</c:v>
                </c:pt>
                <c:pt idx="26">
                  <c:v>5088.7650069599995</c:v>
                </c:pt>
                <c:pt idx="27">
                  <c:v>4853.0919952799995</c:v>
                </c:pt>
                <c:pt idx="28">
                  <c:v>4650.9409958400001</c:v>
                </c:pt>
              </c:numCache>
            </c:numRef>
          </c:val>
          <c:smooth val="0"/>
          <c:extLst>
            <c:ext xmlns:c16="http://schemas.microsoft.com/office/drawing/2014/chart" uri="{C3380CC4-5D6E-409C-BE32-E72D297353CC}">
              <c16:uniqueId val="{0000000C-BC11-4F0A-BC84-5F565EB4FCE9}"/>
            </c:ext>
          </c:extLst>
        </c:ser>
        <c:dLbls>
          <c:showLegendKey val="0"/>
          <c:showVal val="0"/>
          <c:showCatName val="0"/>
          <c:showSerName val="0"/>
          <c:showPercent val="0"/>
          <c:showBubbleSize val="0"/>
        </c:dLbls>
        <c:marker val="1"/>
        <c:smooth val="0"/>
        <c:axId val="1423163552"/>
        <c:axId val="1423164384"/>
      </c:lineChart>
      <c:catAx>
        <c:axId val="1423163552"/>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423164384"/>
        <c:crosses val="autoZero"/>
        <c:auto val="1"/>
        <c:lblAlgn val="ctr"/>
        <c:lblOffset val="100"/>
        <c:noMultiLvlLbl val="0"/>
      </c:catAx>
      <c:valAx>
        <c:axId val="1423164384"/>
        <c:scaling>
          <c:orientation val="minMax"/>
          <c:max val="16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BBtu</a:t>
                </a:r>
                <a:r>
                  <a:rPr lang="en-US" sz="1100" baseline="0">
                    <a:solidFill>
                      <a:schemeClr val="tx1"/>
                    </a:solidFill>
                  </a:rPr>
                  <a:t> </a:t>
                </a:r>
                <a:r>
                  <a:rPr lang="en-US" sz="1100">
                    <a:solidFill>
                      <a:schemeClr val="tx1"/>
                    </a:solidFill>
                  </a:rPr>
                  <a:t>/ year</a:t>
                </a:r>
              </a:p>
            </c:rich>
          </c:tx>
          <c:layout>
            <c:manualLayout>
              <c:xMode val="edge"/>
              <c:yMode val="edge"/>
              <c:x val="1.4949693788276434E-3"/>
              <c:y val="0.3091469816272965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23163552"/>
        <c:crosses val="autoZero"/>
        <c:crossBetween val="midCat"/>
      </c:valAx>
      <c:valAx>
        <c:axId val="1449672112"/>
        <c:scaling>
          <c:orientation val="minMax"/>
        </c:scaling>
        <c:delete val="1"/>
        <c:axPos val="r"/>
        <c:numFmt formatCode="_(* #,##0_);_(* \(#,##0\);_(* &quot;-&quot;??_);_(@_)" sourceLinked="1"/>
        <c:majorTickMark val="out"/>
        <c:minorTickMark val="none"/>
        <c:tickLblPos val="nextTo"/>
        <c:crossAx val="1449665456"/>
        <c:crosses val="max"/>
        <c:crossBetween val="between"/>
      </c:valAx>
      <c:catAx>
        <c:axId val="1449665456"/>
        <c:scaling>
          <c:orientation val="minMax"/>
        </c:scaling>
        <c:delete val="1"/>
        <c:axPos val="b"/>
        <c:numFmt formatCode="General" sourceLinked="1"/>
        <c:majorTickMark val="out"/>
        <c:minorTickMark val="none"/>
        <c:tickLblPos val="nextTo"/>
        <c:crossAx val="1449672112"/>
        <c:crosses val="autoZero"/>
        <c:auto val="1"/>
        <c:lblAlgn val="ctr"/>
        <c:lblOffset val="100"/>
        <c:noMultiLvlLbl val="0"/>
      </c:catAx>
      <c:spPr>
        <a:noFill/>
        <a:ln>
          <a:solidFill>
            <a:schemeClr val="bg2"/>
          </a:solidFill>
        </a:ln>
        <a:effectLst/>
      </c:spPr>
    </c:plotArea>
    <c:legend>
      <c:legendPos val="r"/>
      <c:legendEntry>
        <c:idx val="6"/>
        <c:delete val="1"/>
      </c:legendEntry>
      <c:layout>
        <c:manualLayout>
          <c:xMode val="edge"/>
          <c:yMode val="edge"/>
          <c:x val="0.72324318835145618"/>
          <c:y val="2.4013196267133274E-2"/>
          <c:w val="0.25889966879140114"/>
          <c:h val="0.91030694079906682"/>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Unbundled</a:t>
            </a:r>
            <a:r>
              <a:rPr lang="en-US" b="1" baseline="0">
                <a:solidFill>
                  <a:schemeClr val="bg1"/>
                </a:solidFill>
              </a:rPr>
              <a:t> </a:t>
            </a:r>
            <a:r>
              <a:rPr lang="en-US" b="1">
                <a:solidFill>
                  <a:schemeClr val="bg1"/>
                </a:solidFill>
              </a:rPr>
              <a:t>Price</a:t>
            </a:r>
            <a:r>
              <a:rPr lang="en-US" b="1" baseline="0">
                <a:solidFill>
                  <a:schemeClr val="bg1"/>
                </a:solidFill>
              </a:rPr>
              <a:t> Paths</a:t>
            </a:r>
            <a:endParaRPr lang="en-US" b="1">
              <a:solidFill>
                <a:schemeClr val="bg1"/>
              </a:solidFill>
            </a:endParaRPr>
          </a:p>
        </c:rich>
      </c:tx>
      <c:layout>
        <c:manualLayout>
          <c:xMode val="edge"/>
          <c:yMode val="edge"/>
          <c:x val="0.16432295621019299"/>
          <c:y val="0"/>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0460703016172396"/>
          <c:y val="0.11922907629857304"/>
          <c:w val="0.73501565304590388"/>
          <c:h val="0.74286766501653356"/>
        </c:manualLayout>
      </c:layout>
      <c:lineChart>
        <c:grouping val="standard"/>
        <c:varyColors val="0"/>
        <c:ser>
          <c:idx val="0"/>
          <c:order val="0"/>
          <c:tx>
            <c:strRef>
              <c:f>'Compliance Data'!$H$2:$I$2</c:f>
              <c:strCache>
                <c:ptCount val="1"/>
                <c:pt idx="0">
                  <c:v>CCI Purchases</c:v>
                </c:pt>
              </c:strCache>
            </c:strRef>
          </c:tx>
          <c:spPr>
            <a:ln w="28575" cap="rnd">
              <a:solidFill>
                <a:schemeClr val="accent4"/>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Data'!$I$4:$I$32</c:f>
              <c:numCache>
                <c:formatCode>_(* #,##0.00_);_(* \(#,##0.00\);_(* "-"??_);_(@_)</c:formatCode>
                <c:ptCount val="29"/>
                <c:pt idx="0">
                  <c:v>5.7331799999999999</c:v>
                </c:pt>
                <c:pt idx="1">
                  <c:v>5.7862650000000002</c:v>
                </c:pt>
                <c:pt idx="2">
                  <c:v>5.8393499999999996</c:v>
                </c:pt>
                <c:pt idx="3">
                  <c:v>5.8924349999999999</c:v>
                </c:pt>
                <c:pt idx="4">
                  <c:v>5.9455200000000001</c:v>
                </c:pt>
                <c:pt idx="5">
                  <c:v>5.9986050000000004</c:v>
                </c:pt>
                <c:pt idx="6">
                  <c:v>6.0516899999999998</c:v>
                </c:pt>
                <c:pt idx="7">
                  <c:v>6.1047750000000001</c:v>
                </c:pt>
                <c:pt idx="8">
                  <c:v>6.1578600000000003</c:v>
                </c:pt>
                <c:pt idx="9">
                  <c:v>6.2109449999999997</c:v>
                </c:pt>
                <c:pt idx="10">
                  <c:v>6.26403</c:v>
                </c:pt>
                <c:pt idx="11">
                  <c:v>6.3171150000000003</c:v>
                </c:pt>
                <c:pt idx="12">
                  <c:v>6.3701999999999996</c:v>
                </c:pt>
                <c:pt idx="13">
                  <c:v>6.4232849999999999</c:v>
                </c:pt>
                <c:pt idx="14">
                  <c:v>6.4763700000000002</c:v>
                </c:pt>
                <c:pt idx="15">
                  <c:v>6.5294549999999996</c:v>
                </c:pt>
                <c:pt idx="16">
                  <c:v>6.5825399999999998</c:v>
                </c:pt>
                <c:pt idx="17">
                  <c:v>6.6356250000000001</c:v>
                </c:pt>
                <c:pt idx="18">
                  <c:v>6.6887100000000004</c:v>
                </c:pt>
                <c:pt idx="19">
                  <c:v>6.7417949999999998</c:v>
                </c:pt>
                <c:pt idx="20">
                  <c:v>6.79488</c:v>
                </c:pt>
                <c:pt idx="21">
                  <c:v>6.8479650000000003</c:v>
                </c:pt>
                <c:pt idx="22">
                  <c:v>6.9010499999999997</c:v>
                </c:pt>
                <c:pt idx="23">
                  <c:v>6.954135</c:v>
                </c:pt>
                <c:pt idx="24">
                  <c:v>7.0072200000000002</c:v>
                </c:pt>
                <c:pt idx="25">
                  <c:v>7.0603049999999996</c:v>
                </c:pt>
                <c:pt idx="26">
                  <c:v>7.1133899999999999</c:v>
                </c:pt>
                <c:pt idx="27">
                  <c:v>7.1664750000000002</c:v>
                </c:pt>
                <c:pt idx="28">
                  <c:v>7.2195600000000004</c:v>
                </c:pt>
              </c:numCache>
            </c:numRef>
          </c:val>
          <c:smooth val="0"/>
          <c:extLst>
            <c:ext xmlns:c16="http://schemas.microsoft.com/office/drawing/2014/chart" uri="{C3380CC4-5D6E-409C-BE32-E72D297353CC}">
              <c16:uniqueId val="{00000000-7AD5-4C02-A424-FC9FC4DAEAD3}"/>
            </c:ext>
          </c:extLst>
        </c:ser>
        <c:ser>
          <c:idx val="5"/>
          <c:order val="1"/>
          <c:tx>
            <c:strRef>
              <c:f>'Compliance Data'!$K$2:$M$2</c:f>
              <c:strCache>
                <c:ptCount val="1"/>
                <c:pt idx="0">
                  <c:v>RNG Tranche 1</c:v>
                </c:pt>
              </c:strCache>
            </c:strRef>
          </c:tx>
          <c:spPr>
            <a:ln w="28575" cap="rnd">
              <a:solidFill>
                <a:schemeClr val="accent6"/>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Data'!$M$4:$M$32</c:f>
              <c:numCache>
                <c:formatCode>_(* #,##0.00_);_(* \(#,##0.00\);_(* "-"??_);_(@_)</c:formatCode>
                <c:ptCount val="29"/>
                <c:pt idx="0">
                  <c:v>9.1859999999999999</c:v>
                </c:pt>
                <c:pt idx="1">
                  <c:v>10.097</c:v>
                </c:pt>
                <c:pt idx="2">
                  <c:v>11.236000000000001</c:v>
                </c:pt>
                <c:pt idx="3">
                  <c:v>10.804</c:v>
                </c:pt>
                <c:pt idx="4">
                  <c:v>11.374000000000001</c:v>
                </c:pt>
                <c:pt idx="5">
                  <c:v>11.423999999999999</c:v>
                </c:pt>
                <c:pt idx="6">
                  <c:v>11.368</c:v>
                </c:pt>
                <c:pt idx="7">
                  <c:v>11.327999999999999</c:v>
                </c:pt>
                <c:pt idx="8">
                  <c:v>11.337</c:v>
                </c:pt>
                <c:pt idx="9">
                  <c:v>11.319000000000001</c:v>
                </c:pt>
                <c:pt idx="10">
                  <c:v>11.303000000000001</c:v>
                </c:pt>
                <c:pt idx="11">
                  <c:v>11.204000000000001</c:v>
                </c:pt>
                <c:pt idx="12">
                  <c:v>11.250999999999999</c:v>
                </c:pt>
                <c:pt idx="13">
                  <c:v>11.278</c:v>
                </c:pt>
                <c:pt idx="14">
                  <c:v>11.257999999999999</c:v>
                </c:pt>
                <c:pt idx="15">
                  <c:v>11.252000000000001</c:v>
                </c:pt>
                <c:pt idx="16">
                  <c:v>11.255000000000001</c:v>
                </c:pt>
                <c:pt idx="17">
                  <c:v>11.231</c:v>
                </c:pt>
                <c:pt idx="18">
                  <c:v>11.090999999999999</c:v>
                </c:pt>
                <c:pt idx="19">
                  <c:v>11.041</c:v>
                </c:pt>
                <c:pt idx="20">
                  <c:v>11.015000000000001</c:v>
                </c:pt>
                <c:pt idx="21">
                  <c:v>10.9</c:v>
                </c:pt>
                <c:pt idx="22">
                  <c:v>10.872999999999999</c:v>
                </c:pt>
                <c:pt idx="23">
                  <c:v>10.722</c:v>
                </c:pt>
                <c:pt idx="24">
                  <c:v>10.581</c:v>
                </c:pt>
                <c:pt idx="25">
                  <c:v>10.574</c:v>
                </c:pt>
                <c:pt idx="26">
                  <c:v>10.573</c:v>
                </c:pt>
                <c:pt idx="27">
                  <c:v>10.522</c:v>
                </c:pt>
                <c:pt idx="28">
                  <c:v>10.455</c:v>
                </c:pt>
              </c:numCache>
            </c:numRef>
          </c:val>
          <c:smooth val="0"/>
          <c:extLst>
            <c:ext xmlns:c16="http://schemas.microsoft.com/office/drawing/2014/chart" uri="{C3380CC4-5D6E-409C-BE32-E72D297353CC}">
              <c16:uniqueId val="{00000001-7AD5-4C02-A424-FC9FC4DAEAD3}"/>
            </c:ext>
          </c:extLst>
        </c:ser>
        <c:ser>
          <c:idx val="1"/>
          <c:order val="2"/>
          <c:tx>
            <c:strRef>
              <c:f>'Compliance Data'!$P$2:$Q$2</c:f>
              <c:strCache>
                <c:ptCount val="1"/>
                <c:pt idx="0">
                  <c:v>RNG Tranche 2</c:v>
                </c:pt>
              </c:strCache>
            </c:strRef>
          </c:tx>
          <c:spPr>
            <a:ln w="28575" cap="rnd">
              <a:solidFill>
                <a:schemeClr val="accent6">
                  <a:lumMod val="75000"/>
                </a:schemeClr>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Data'!$R$4:$R$32</c:f>
              <c:numCache>
                <c:formatCode>_(* #,##0.00_);_(* \(#,##0.00\);_(* "-"??_);_(@_)</c:formatCode>
                <c:ptCount val="29"/>
                <c:pt idx="0">
                  <c:v>14.186</c:v>
                </c:pt>
                <c:pt idx="1">
                  <c:v>15.097</c:v>
                </c:pt>
                <c:pt idx="2">
                  <c:v>16.236000000000001</c:v>
                </c:pt>
                <c:pt idx="3">
                  <c:v>15.804</c:v>
                </c:pt>
                <c:pt idx="4">
                  <c:v>16.373999999999999</c:v>
                </c:pt>
                <c:pt idx="5">
                  <c:v>16.423999999999999</c:v>
                </c:pt>
                <c:pt idx="6">
                  <c:v>16.367999999999999</c:v>
                </c:pt>
                <c:pt idx="7">
                  <c:v>16.327999999999999</c:v>
                </c:pt>
                <c:pt idx="8">
                  <c:v>16.337</c:v>
                </c:pt>
                <c:pt idx="9">
                  <c:v>16.318999999999999</c:v>
                </c:pt>
                <c:pt idx="10">
                  <c:v>16.303000000000001</c:v>
                </c:pt>
                <c:pt idx="11">
                  <c:v>16.204000000000001</c:v>
                </c:pt>
                <c:pt idx="12">
                  <c:v>16.251000000000001</c:v>
                </c:pt>
                <c:pt idx="13">
                  <c:v>16.277999999999999</c:v>
                </c:pt>
                <c:pt idx="14">
                  <c:v>16.257999999999999</c:v>
                </c:pt>
                <c:pt idx="15">
                  <c:v>16.251999999999999</c:v>
                </c:pt>
                <c:pt idx="16">
                  <c:v>16.254999999999999</c:v>
                </c:pt>
                <c:pt idx="17">
                  <c:v>16.231000000000002</c:v>
                </c:pt>
                <c:pt idx="18">
                  <c:v>16.091000000000001</c:v>
                </c:pt>
                <c:pt idx="19">
                  <c:v>16.041</c:v>
                </c:pt>
                <c:pt idx="20">
                  <c:v>16.015000000000001</c:v>
                </c:pt>
                <c:pt idx="21">
                  <c:v>15.9</c:v>
                </c:pt>
                <c:pt idx="22">
                  <c:v>15.872999999999999</c:v>
                </c:pt>
                <c:pt idx="23">
                  <c:v>15.722</c:v>
                </c:pt>
                <c:pt idx="24">
                  <c:v>15.581</c:v>
                </c:pt>
                <c:pt idx="25">
                  <c:v>15.574</c:v>
                </c:pt>
                <c:pt idx="26">
                  <c:v>15.573</c:v>
                </c:pt>
                <c:pt idx="27">
                  <c:v>15.522</c:v>
                </c:pt>
                <c:pt idx="28">
                  <c:v>15.455</c:v>
                </c:pt>
              </c:numCache>
            </c:numRef>
          </c:val>
          <c:smooth val="0"/>
          <c:extLst>
            <c:ext xmlns:c16="http://schemas.microsoft.com/office/drawing/2014/chart" uri="{C3380CC4-5D6E-409C-BE32-E72D297353CC}">
              <c16:uniqueId val="{00000002-7AD5-4C02-A424-FC9FC4DAEAD3}"/>
            </c:ext>
          </c:extLst>
        </c:ser>
        <c:ser>
          <c:idx val="2"/>
          <c:order val="3"/>
          <c:tx>
            <c:strRef>
              <c:f>'Compliance Data'!$U$2:$W$2</c:f>
              <c:strCache>
                <c:ptCount val="1"/>
                <c:pt idx="0">
                  <c:v>Hydrogen</c:v>
                </c:pt>
              </c:strCache>
            </c:strRef>
          </c:tx>
          <c:spPr>
            <a:ln w="28575" cap="rnd">
              <a:solidFill>
                <a:srgbClr val="008AB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Data'!$W$4:$W$32</c:f>
              <c:numCache>
                <c:formatCode>_(* #,##0.00_);_(* \(#,##0.00\);_(* "-"??_);_(@_)</c:formatCode>
                <c:ptCount val="29"/>
                <c:pt idx="0">
                  <c:v>18.425999999999998</c:v>
                </c:pt>
                <c:pt idx="1">
                  <c:v>17.887</c:v>
                </c:pt>
                <c:pt idx="2">
                  <c:v>17.576000000000001</c:v>
                </c:pt>
                <c:pt idx="3">
                  <c:v>15.694000000000001</c:v>
                </c:pt>
                <c:pt idx="4">
                  <c:v>14.824</c:v>
                </c:pt>
                <c:pt idx="5">
                  <c:v>13.423999999999999</c:v>
                </c:pt>
                <c:pt idx="6">
                  <c:v>11.917999999999999</c:v>
                </c:pt>
                <c:pt idx="7">
                  <c:v>10.428000000000001</c:v>
                </c:pt>
                <c:pt idx="8">
                  <c:v>8.9870000000000001</c:v>
                </c:pt>
                <c:pt idx="9">
                  <c:v>8.6389999999999993</c:v>
                </c:pt>
                <c:pt idx="10">
                  <c:v>8.3030000000000008</c:v>
                </c:pt>
                <c:pt idx="11">
                  <c:v>7.8840000000000003</c:v>
                </c:pt>
                <c:pt idx="12">
                  <c:v>7.601</c:v>
                </c:pt>
                <c:pt idx="13">
                  <c:v>7.3079999999999998</c:v>
                </c:pt>
                <c:pt idx="14">
                  <c:v>6.9580000000000002</c:v>
                </c:pt>
                <c:pt idx="15">
                  <c:v>6.6319999999999997</c:v>
                </c:pt>
                <c:pt idx="16">
                  <c:v>6.3150000000000004</c:v>
                </c:pt>
                <c:pt idx="17">
                  <c:v>5.9610000000000003</c:v>
                </c:pt>
                <c:pt idx="18">
                  <c:v>5.5010000000000003</c:v>
                </c:pt>
                <c:pt idx="19">
                  <c:v>5.1210000000000004</c:v>
                </c:pt>
                <c:pt idx="20">
                  <c:v>4.7750000000000004</c:v>
                </c:pt>
                <c:pt idx="21">
                  <c:v>4.34</c:v>
                </c:pt>
                <c:pt idx="22">
                  <c:v>3.9830000000000001</c:v>
                </c:pt>
                <c:pt idx="23">
                  <c:v>3.512</c:v>
                </c:pt>
                <c:pt idx="24">
                  <c:v>3.0409999999999999</c:v>
                </c:pt>
                <c:pt idx="25">
                  <c:v>2.714</c:v>
                </c:pt>
                <c:pt idx="26">
                  <c:v>2.3929999999999998</c:v>
                </c:pt>
                <c:pt idx="27">
                  <c:v>2.012</c:v>
                </c:pt>
                <c:pt idx="28">
                  <c:v>1.625</c:v>
                </c:pt>
              </c:numCache>
            </c:numRef>
          </c:val>
          <c:smooth val="0"/>
          <c:extLst>
            <c:ext xmlns:c16="http://schemas.microsoft.com/office/drawing/2014/chart" uri="{C3380CC4-5D6E-409C-BE32-E72D297353CC}">
              <c16:uniqueId val="{00000003-7AD5-4C02-A424-FC9FC4DAEAD3}"/>
            </c:ext>
          </c:extLst>
        </c:ser>
        <c:ser>
          <c:idx val="3"/>
          <c:order val="4"/>
          <c:tx>
            <c:strRef>
              <c:f>'Compliance Data'!$Z$2:$AB$2</c:f>
              <c:strCache>
                <c:ptCount val="1"/>
                <c:pt idx="0">
                  <c:v>Synthetic Methane</c:v>
                </c:pt>
              </c:strCache>
            </c:strRef>
          </c:tx>
          <c:spPr>
            <a:ln w="28575" cap="rnd">
              <a:solidFill>
                <a:srgbClr val="00548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Data'!$AB$4:$AB$32</c:f>
              <c:numCache>
                <c:formatCode>_(* #,##0.00_);_(* \(#,##0.00\);_(* "-"??_);_(@_)</c:formatCode>
                <c:ptCount val="29"/>
                <c:pt idx="0">
                  <c:v>25.797000000000001</c:v>
                </c:pt>
                <c:pt idx="1">
                  <c:v>25.146000000000001</c:v>
                </c:pt>
                <c:pt idx="2">
                  <c:v>24.722999999999999</c:v>
                </c:pt>
                <c:pt idx="3">
                  <c:v>22.728000000000002</c:v>
                </c:pt>
                <c:pt idx="4">
                  <c:v>21.736999999999998</c:v>
                </c:pt>
                <c:pt idx="5">
                  <c:v>20.224</c:v>
                </c:pt>
                <c:pt idx="6">
                  <c:v>18.606000000000002</c:v>
                </c:pt>
                <c:pt idx="7">
                  <c:v>17.004000000000001</c:v>
                </c:pt>
                <c:pt idx="8">
                  <c:v>15.451000000000001</c:v>
                </c:pt>
                <c:pt idx="9">
                  <c:v>14.996</c:v>
                </c:pt>
                <c:pt idx="10">
                  <c:v>14.544</c:v>
                </c:pt>
                <c:pt idx="11">
                  <c:v>14.007999999999999</c:v>
                </c:pt>
                <c:pt idx="12">
                  <c:v>13.617000000000001</c:v>
                </c:pt>
                <c:pt idx="13">
                  <c:v>13.208</c:v>
                </c:pt>
                <c:pt idx="14">
                  <c:v>12.750999999999999</c:v>
                </c:pt>
                <c:pt idx="15">
                  <c:v>12.308</c:v>
                </c:pt>
                <c:pt idx="16">
                  <c:v>11.874000000000001</c:v>
                </c:pt>
                <c:pt idx="17">
                  <c:v>11.414</c:v>
                </c:pt>
                <c:pt idx="18">
                  <c:v>10.836</c:v>
                </c:pt>
                <c:pt idx="19">
                  <c:v>10.35</c:v>
                </c:pt>
                <c:pt idx="20">
                  <c:v>9.8870000000000005</c:v>
                </c:pt>
                <c:pt idx="21">
                  <c:v>9.3360000000000003</c:v>
                </c:pt>
                <c:pt idx="22">
                  <c:v>8.8710000000000004</c:v>
                </c:pt>
                <c:pt idx="23">
                  <c:v>8.2829999999999995</c:v>
                </c:pt>
                <c:pt idx="24">
                  <c:v>7.7060000000000004</c:v>
                </c:pt>
                <c:pt idx="25">
                  <c:v>7.2619999999999996</c:v>
                </c:pt>
                <c:pt idx="26">
                  <c:v>6.8239999999999998</c:v>
                </c:pt>
                <c:pt idx="27">
                  <c:v>6.3360000000000003</c:v>
                </c:pt>
                <c:pt idx="28">
                  <c:v>5.8319999999999999</c:v>
                </c:pt>
              </c:numCache>
            </c:numRef>
          </c:val>
          <c:smooth val="0"/>
          <c:extLst>
            <c:ext xmlns:c16="http://schemas.microsoft.com/office/drawing/2014/chart" uri="{C3380CC4-5D6E-409C-BE32-E72D297353CC}">
              <c16:uniqueId val="{00000004-7AD5-4C02-A424-FC9FC4DAEAD3}"/>
            </c:ext>
          </c:extLst>
        </c:ser>
        <c:dLbls>
          <c:showLegendKey val="0"/>
          <c:showVal val="0"/>
          <c:showCatName val="0"/>
          <c:showSerName val="0"/>
          <c:showPercent val="0"/>
          <c:showBubbleSize val="0"/>
        </c:dLbls>
        <c:smooth val="0"/>
        <c:axId val="912597695"/>
        <c:axId val="912598111"/>
      </c:lineChart>
      <c:catAx>
        <c:axId val="912597695"/>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12598111"/>
        <c:crosses val="autoZero"/>
        <c:auto val="1"/>
        <c:lblAlgn val="ctr"/>
        <c:lblOffset val="100"/>
        <c:tickLblSkip val="3"/>
        <c:noMultiLvlLbl val="0"/>
      </c:catAx>
      <c:valAx>
        <c:axId val="9125981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2021 $ / MMBtu</a:t>
                </a:r>
              </a:p>
            </c:rich>
          </c:tx>
          <c:layout>
            <c:manualLayout>
              <c:xMode val="edge"/>
              <c:yMode val="edge"/>
              <c:x val="4.2735042735042739E-3"/>
              <c:y val="0.3412195350581177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_(* #,##0.00_);_(* \(#,##0.00\);_(* &quot;-&quot;??_);_(@_)" sourceLinked="1"/>
        <c:majorTickMark val="out"/>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12597695"/>
        <c:crosses val="autoZero"/>
        <c:crossBetween val="midCat"/>
      </c:valAx>
      <c:spPr>
        <a:noFill/>
        <a:ln>
          <a:solidFill>
            <a:schemeClr val="bg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07842979398298E-2"/>
          <c:y val="0.1191367916919403"/>
          <c:w val="0.81403436033265442"/>
          <c:h val="0.71266518008415802"/>
        </c:manualLayout>
      </c:layout>
      <c:lineChart>
        <c:grouping val="standard"/>
        <c:varyColors val="0"/>
        <c:ser>
          <c:idx val="5"/>
          <c:order val="0"/>
          <c:tx>
            <c:strRef>
              <c:f>'Compliance Data'!$K$2:$M$2</c:f>
              <c:strCache>
                <c:ptCount val="1"/>
                <c:pt idx="0">
                  <c:v>RNG Tranche 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Data'!$M$4:$M$32</c15:sqref>
                  </c15:fullRef>
                </c:ext>
              </c:extLst>
              <c:f>'Compliance Data'!$M$5:$M$32</c:f>
              <c:numCache>
                <c:formatCode>_(* #,##0.00_);_(* \(#,##0.00\);_(* "-"??_);_(@_)</c:formatCode>
                <c:ptCount val="28"/>
                <c:pt idx="0">
                  <c:v>10.097</c:v>
                </c:pt>
                <c:pt idx="1">
                  <c:v>11.236000000000001</c:v>
                </c:pt>
                <c:pt idx="2">
                  <c:v>10.804</c:v>
                </c:pt>
                <c:pt idx="3">
                  <c:v>11.374000000000001</c:v>
                </c:pt>
                <c:pt idx="4">
                  <c:v>11.423999999999999</c:v>
                </c:pt>
                <c:pt idx="5">
                  <c:v>11.368</c:v>
                </c:pt>
                <c:pt idx="6">
                  <c:v>11.327999999999999</c:v>
                </c:pt>
                <c:pt idx="7">
                  <c:v>11.337</c:v>
                </c:pt>
                <c:pt idx="8">
                  <c:v>11.319000000000001</c:v>
                </c:pt>
                <c:pt idx="9">
                  <c:v>11.303000000000001</c:v>
                </c:pt>
                <c:pt idx="10">
                  <c:v>11.204000000000001</c:v>
                </c:pt>
                <c:pt idx="11">
                  <c:v>11.250999999999999</c:v>
                </c:pt>
                <c:pt idx="12">
                  <c:v>11.278</c:v>
                </c:pt>
                <c:pt idx="13">
                  <c:v>11.257999999999999</c:v>
                </c:pt>
                <c:pt idx="14">
                  <c:v>11.252000000000001</c:v>
                </c:pt>
                <c:pt idx="15">
                  <c:v>11.255000000000001</c:v>
                </c:pt>
                <c:pt idx="16">
                  <c:v>11.231</c:v>
                </c:pt>
                <c:pt idx="17">
                  <c:v>11.090999999999999</c:v>
                </c:pt>
                <c:pt idx="18">
                  <c:v>11.041</c:v>
                </c:pt>
                <c:pt idx="19">
                  <c:v>11.015000000000001</c:v>
                </c:pt>
                <c:pt idx="20">
                  <c:v>10.9</c:v>
                </c:pt>
                <c:pt idx="21">
                  <c:v>10.872999999999999</c:v>
                </c:pt>
                <c:pt idx="22">
                  <c:v>10.722</c:v>
                </c:pt>
                <c:pt idx="23">
                  <c:v>10.581</c:v>
                </c:pt>
                <c:pt idx="24">
                  <c:v>10.574</c:v>
                </c:pt>
                <c:pt idx="25">
                  <c:v>10.573</c:v>
                </c:pt>
                <c:pt idx="26">
                  <c:v>10.522</c:v>
                </c:pt>
                <c:pt idx="27">
                  <c:v>10.455</c:v>
                </c:pt>
              </c:numCache>
            </c:numRef>
          </c:val>
          <c:smooth val="0"/>
          <c:extLst>
            <c:ext xmlns:c16="http://schemas.microsoft.com/office/drawing/2014/chart" uri="{C3380CC4-5D6E-409C-BE32-E72D297353CC}">
              <c16:uniqueId val="{00000001-E0B4-4108-81AD-E26C94969928}"/>
            </c:ext>
          </c:extLst>
        </c:ser>
        <c:ser>
          <c:idx val="1"/>
          <c:order val="1"/>
          <c:tx>
            <c:strRef>
              <c:f>'Compliance Data'!$P$2:$Q$2</c:f>
              <c:strCache>
                <c:ptCount val="1"/>
                <c:pt idx="0">
                  <c:v>RNG Tranche 2</c:v>
                </c:pt>
              </c:strCache>
            </c:strRef>
          </c:tx>
          <c:spPr>
            <a:ln w="28575" cap="rnd">
              <a:solidFill>
                <a:schemeClr val="accent6">
                  <a:lumMod val="75000"/>
                </a:schemeClr>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Data'!$R$4:$R$32</c15:sqref>
                  </c15:fullRef>
                </c:ext>
              </c:extLst>
              <c:f>'Compliance Data'!$R$5:$R$32</c:f>
              <c:numCache>
                <c:formatCode>_(* #,##0.00_);_(* \(#,##0.00\);_(* "-"??_);_(@_)</c:formatCode>
                <c:ptCount val="28"/>
                <c:pt idx="0">
                  <c:v>15.097</c:v>
                </c:pt>
                <c:pt idx="1">
                  <c:v>16.236000000000001</c:v>
                </c:pt>
                <c:pt idx="2">
                  <c:v>15.804</c:v>
                </c:pt>
                <c:pt idx="3">
                  <c:v>16.373999999999999</c:v>
                </c:pt>
                <c:pt idx="4">
                  <c:v>16.423999999999999</c:v>
                </c:pt>
                <c:pt idx="5">
                  <c:v>16.367999999999999</c:v>
                </c:pt>
                <c:pt idx="6">
                  <c:v>16.327999999999999</c:v>
                </c:pt>
                <c:pt idx="7">
                  <c:v>16.337</c:v>
                </c:pt>
                <c:pt idx="8">
                  <c:v>16.318999999999999</c:v>
                </c:pt>
                <c:pt idx="9">
                  <c:v>16.303000000000001</c:v>
                </c:pt>
                <c:pt idx="10">
                  <c:v>16.204000000000001</c:v>
                </c:pt>
                <c:pt idx="11">
                  <c:v>16.251000000000001</c:v>
                </c:pt>
                <c:pt idx="12">
                  <c:v>16.277999999999999</c:v>
                </c:pt>
                <c:pt idx="13">
                  <c:v>16.257999999999999</c:v>
                </c:pt>
                <c:pt idx="14">
                  <c:v>16.251999999999999</c:v>
                </c:pt>
                <c:pt idx="15">
                  <c:v>16.254999999999999</c:v>
                </c:pt>
                <c:pt idx="16">
                  <c:v>16.231000000000002</c:v>
                </c:pt>
                <c:pt idx="17">
                  <c:v>16.091000000000001</c:v>
                </c:pt>
                <c:pt idx="18">
                  <c:v>16.041</c:v>
                </c:pt>
                <c:pt idx="19">
                  <c:v>16.015000000000001</c:v>
                </c:pt>
                <c:pt idx="20">
                  <c:v>15.9</c:v>
                </c:pt>
                <c:pt idx="21">
                  <c:v>15.872999999999999</c:v>
                </c:pt>
                <c:pt idx="22">
                  <c:v>15.722</c:v>
                </c:pt>
                <c:pt idx="23">
                  <c:v>15.581</c:v>
                </c:pt>
                <c:pt idx="24">
                  <c:v>15.574</c:v>
                </c:pt>
                <c:pt idx="25">
                  <c:v>15.573</c:v>
                </c:pt>
                <c:pt idx="26">
                  <c:v>15.522</c:v>
                </c:pt>
                <c:pt idx="27">
                  <c:v>15.455</c:v>
                </c:pt>
              </c:numCache>
            </c:numRef>
          </c:val>
          <c:smooth val="0"/>
          <c:extLst>
            <c:ext xmlns:c16="http://schemas.microsoft.com/office/drawing/2014/chart" uri="{C3380CC4-5D6E-409C-BE32-E72D297353CC}">
              <c16:uniqueId val="{00000002-E0B4-4108-81AD-E26C94969928}"/>
            </c:ext>
          </c:extLst>
        </c:ser>
        <c:ser>
          <c:idx val="2"/>
          <c:order val="2"/>
          <c:tx>
            <c:strRef>
              <c:f>'Compliance Data'!$U$2:$W$2</c:f>
              <c:strCache>
                <c:ptCount val="1"/>
                <c:pt idx="0">
                  <c:v>Hydrogen</c:v>
                </c:pt>
              </c:strCache>
            </c:strRef>
          </c:tx>
          <c:spPr>
            <a:ln w="28575" cap="rnd">
              <a:solidFill>
                <a:srgbClr val="008AB0"/>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Data'!$W$4:$W$32</c15:sqref>
                  </c15:fullRef>
                </c:ext>
              </c:extLst>
              <c:f>'Compliance Data'!$W$5:$W$32</c:f>
              <c:numCache>
                <c:formatCode>_(* #,##0.00_);_(* \(#,##0.00\);_(* "-"??_);_(@_)</c:formatCode>
                <c:ptCount val="28"/>
                <c:pt idx="0">
                  <c:v>17.887</c:v>
                </c:pt>
                <c:pt idx="1">
                  <c:v>17.576000000000001</c:v>
                </c:pt>
                <c:pt idx="2">
                  <c:v>15.694000000000001</c:v>
                </c:pt>
                <c:pt idx="3">
                  <c:v>14.824</c:v>
                </c:pt>
                <c:pt idx="4">
                  <c:v>13.423999999999999</c:v>
                </c:pt>
                <c:pt idx="5">
                  <c:v>11.917999999999999</c:v>
                </c:pt>
                <c:pt idx="6">
                  <c:v>10.428000000000001</c:v>
                </c:pt>
                <c:pt idx="7">
                  <c:v>8.9870000000000001</c:v>
                </c:pt>
                <c:pt idx="8">
                  <c:v>8.6389999999999993</c:v>
                </c:pt>
                <c:pt idx="9">
                  <c:v>8.3030000000000008</c:v>
                </c:pt>
                <c:pt idx="10">
                  <c:v>7.8840000000000003</c:v>
                </c:pt>
                <c:pt idx="11">
                  <c:v>7.601</c:v>
                </c:pt>
                <c:pt idx="12">
                  <c:v>7.3079999999999998</c:v>
                </c:pt>
                <c:pt idx="13">
                  <c:v>6.9580000000000002</c:v>
                </c:pt>
                <c:pt idx="14">
                  <c:v>6.6319999999999997</c:v>
                </c:pt>
                <c:pt idx="15">
                  <c:v>6.3150000000000004</c:v>
                </c:pt>
                <c:pt idx="16">
                  <c:v>5.9610000000000003</c:v>
                </c:pt>
                <c:pt idx="17">
                  <c:v>5.5010000000000003</c:v>
                </c:pt>
                <c:pt idx="18">
                  <c:v>5.1210000000000004</c:v>
                </c:pt>
                <c:pt idx="19">
                  <c:v>4.7750000000000004</c:v>
                </c:pt>
                <c:pt idx="20">
                  <c:v>4.34</c:v>
                </c:pt>
                <c:pt idx="21">
                  <c:v>3.9830000000000001</c:v>
                </c:pt>
                <c:pt idx="22">
                  <c:v>3.512</c:v>
                </c:pt>
                <c:pt idx="23">
                  <c:v>3.0409999999999999</c:v>
                </c:pt>
                <c:pt idx="24">
                  <c:v>2.714</c:v>
                </c:pt>
                <c:pt idx="25">
                  <c:v>2.3929999999999998</c:v>
                </c:pt>
                <c:pt idx="26">
                  <c:v>2.012</c:v>
                </c:pt>
                <c:pt idx="27">
                  <c:v>1.625</c:v>
                </c:pt>
              </c:numCache>
            </c:numRef>
          </c:val>
          <c:smooth val="0"/>
          <c:extLst>
            <c:ext xmlns:c16="http://schemas.microsoft.com/office/drawing/2014/chart" uri="{C3380CC4-5D6E-409C-BE32-E72D297353CC}">
              <c16:uniqueId val="{00000003-E0B4-4108-81AD-E26C94969928}"/>
            </c:ext>
          </c:extLst>
        </c:ser>
        <c:ser>
          <c:idx val="3"/>
          <c:order val="3"/>
          <c:tx>
            <c:strRef>
              <c:f>'Compliance Data'!$Z$2:$AB$2</c:f>
              <c:strCache>
                <c:ptCount val="1"/>
                <c:pt idx="0">
                  <c:v>Synthetic Methane</c:v>
                </c:pt>
              </c:strCache>
            </c:strRef>
          </c:tx>
          <c:spPr>
            <a:ln w="28575" cap="rnd">
              <a:solidFill>
                <a:srgbClr val="005480"/>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Data'!$AB$4:$AB$32</c15:sqref>
                  </c15:fullRef>
                </c:ext>
              </c:extLst>
              <c:f>'Compliance Data'!$AB$5:$AB$32</c:f>
              <c:numCache>
                <c:formatCode>_(* #,##0.00_);_(* \(#,##0.00\);_(* "-"??_);_(@_)</c:formatCode>
                <c:ptCount val="28"/>
                <c:pt idx="0">
                  <c:v>25.146000000000001</c:v>
                </c:pt>
                <c:pt idx="1">
                  <c:v>24.722999999999999</c:v>
                </c:pt>
                <c:pt idx="2">
                  <c:v>22.728000000000002</c:v>
                </c:pt>
                <c:pt idx="3">
                  <c:v>21.736999999999998</c:v>
                </c:pt>
                <c:pt idx="4">
                  <c:v>20.224</c:v>
                </c:pt>
                <c:pt idx="5">
                  <c:v>18.606000000000002</c:v>
                </c:pt>
                <c:pt idx="6">
                  <c:v>17.004000000000001</c:v>
                </c:pt>
                <c:pt idx="7">
                  <c:v>15.451000000000001</c:v>
                </c:pt>
                <c:pt idx="8">
                  <c:v>14.996</c:v>
                </c:pt>
                <c:pt idx="9">
                  <c:v>14.544</c:v>
                </c:pt>
                <c:pt idx="10">
                  <c:v>14.007999999999999</c:v>
                </c:pt>
                <c:pt idx="11">
                  <c:v>13.617000000000001</c:v>
                </c:pt>
                <c:pt idx="12">
                  <c:v>13.208</c:v>
                </c:pt>
                <c:pt idx="13">
                  <c:v>12.750999999999999</c:v>
                </c:pt>
                <c:pt idx="14">
                  <c:v>12.308</c:v>
                </c:pt>
                <c:pt idx="15">
                  <c:v>11.874000000000001</c:v>
                </c:pt>
                <c:pt idx="16">
                  <c:v>11.414</c:v>
                </c:pt>
                <c:pt idx="17">
                  <c:v>10.836</c:v>
                </c:pt>
                <c:pt idx="18">
                  <c:v>10.35</c:v>
                </c:pt>
                <c:pt idx="19">
                  <c:v>9.8870000000000005</c:v>
                </c:pt>
                <c:pt idx="20">
                  <c:v>9.3360000000000003</c:v>
                </c:pt>
                <c:pt idx="21">
                  <c:v>8.8710000000000004</c:v>
                </c:pt>
                <c:pt idx="22">
                  <c:v>8.2829999999999995</c:v>
                </c:pt>
                <c:pt idx="23">
                  <c:v>7.7060000000000004</c:v>
                </c:pt>
                <c:pt idx="24">
                  <c:v>7.2619999999999996</c:v>
                </c:pt>
                <c:pt idx="25">
                  <c:v>6.8239999999999998</c:v>
                </c:pt>
                <c:pt idx="26">
                  <c:v>6.3360000000000003</c:v>
                </c:pt>
                <c:pt idx="27">
                  <c:v>5.8319999999999999</c:v>
                </c:pt>
              </c:numCache>
            </c:numRef>
          </c:val>
          <c:smooth val="0"/>
          <c:extLst>
            <c:ext xmlns:c16="http://schemas.microsoft.com/office/drawing/2014/chart" uri="{C3380CC4-5D6E-409C-BE32-E72D297353CC}">
              <c16:uniqueId val="{00000004-E0B4-4108-81AD-E26C94969928}"/>
            </c:ext>
          </c:extLst>
        </c:ser>
        <c:ser>
          <c:idx val="4"/>
          <c:order val="4"/>
          <c:tx>
            <c:strRef>
              <c:f>'Compliance Data'!$BR$2:$BT$2</c:f>
              <c:strCache>
                <c:ptCount val="1"/>
                <c:pt idx="0">
                  <c:v>Offsets</c:v>
                </c:pt>
              </c:strCache>
            </c:strRef>
          </c:tx>
          <c:spPr>
            <a:ln w="28575" cap="rnd">
              <a:solidFill>
                <a:srgbClr val="9E5ECE"/>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Data'!$BS$4:$BS$32</c15:sqref>
                  </c15:fullRef>
                </c:ext>
              </c:extLst>
              <c:f>'Compliance Data'!$BS$5:$BS$32</c:f>
              <c:numCache>
                <c:formatCode>_(* #,##0.00_);_(* \(#,##0.00\);_(* "-"??_);_(@_)</c:formatCode>
                <c:ptCount val="28"/>
                <c:pt idx="0">
                  <c:v>0.63</c:v>
                </c:pt>
                <c:pt idx="1">
                  <c:v>0.68500000000000005</c:v>
                </c:pt>
                <c:pt idx="2">
                  <c:v>0.74299999999999999</c:v>
                </c:pt>
                <c:pt idx="3">
                  <c:v>0.79600000000000004</c:v>
                </c:pt>
                <c:pt idx="4">
                  <c:v>0.86499999999999999</c:v>
                </c:pt>
                <c:pt idx="5">
                  <c:v>0.91700000000000004</c:v>
                </c:pt>
                <c:pt idx="6">
                  <c:v>0.97799999999999998</c:v>
                </c:pt>
                <c:pt idx="7">
                  <c:v>1.0409999999999999</c:v>
                </c:pt>
                <c:pt idx="8">
                  <c:v>1.133</c:v>
                </c:pt>
                <c:pt idx="9">
                  <c:v>1.218</c:v>
                </c:pt>
                <c:pt idx="10">
                  <c:v>1.306</c:v>
                </c:pt>
                <c:pt idx="11">
                  <c:v>1.4179999999999999</c:v>
                </c:pt>
                <c:pt idx="12">
                  <c:v>1.532</c:v>
                </c:pt>
                <c:pt idx="13">
                  <c:v>1.6619999999999999</c:v>
                </c:pt>
                <c:pt idx="14">
                  <c:v>1.8140000000000001</c:v>
                </c:pt>
                <c:pt idx="15">
                  <c:v>1.964</c:v>
                </c:pt>
                <c:pt idx="16">
                  <c:v>2.1389999999999998</c:v>
                </c:pt>
                <c:pt idx="17">
                  <c:v>2.3370000000000002</c:v>
                </c:pt>
                <c:pt idx="18">
                  <c:v>2.5</c:v>
                </c:pt>
                <c:pt idx="19">
                  <c:v>2.714</c:v>
                </c:pt>
                <c:pt idx="20">
                  <c:v>2.9279999999999999</c:v>
                </c:pt>
                <c:pt idx="21">
                  <c:v>3.181</c:v>
                </c:pt>
                <c:pt idx="22">
                  <c:v>3.4129999999999998</c:v>
                </c:pt>
                <c:pt idx="23">
                  <c:v>3.64</c:v>
                </c:pt>
                <c:pt idx="24">
                  <c:v>3.911</c:v>
                </c:pt>
                <c:pt idx="25">
                  <c:v>4.1550000000000002</c:v>
                </c:pt>
                <c:pt idx="26">
                  <c:v>4.4749999999999996</c:v>
                </c:pt>
                <c:pt idx="27">
                  <c:v>4.8310000000000004</c:v>
                </c:pt>
              </c:numCache>
            </c:numRef>
          </c:val>
          <c:smooth val="0"/>
          <c:extLst>
            <c:ext xmlns:c16="http://schemas.microsoft.com/office/drawing/2014/chart" uri="{C3380CC4-5D6E-409C-BE32-E72D297353CC}">
              <c16:uniqueId val="{00000005-E0B4-4108-81AD-E26C94969928}"/>
            </c:ext>
          </c:extLst>
        </c:ser>
        <c:ser>
          <c:idx val="6"/>
          <c:order val="5"/>
          <c:tx>
            <c:strRef>
              <c:f>'Compliance Data'!$BN$2:$BQ$2</c:f>
              <c:strCache>
                <c:ptCount val="1"/>
                <c:pt idx="0">
                  <c:v>Purchased Allowances</c:v>
                </c:pt>
              </c:strCache>
            </c:strRef>
          </c:tx>
          <c:spPr>
            <a:ln w="28575" cap="rnd">
              <a:solidFill>
                <a:schemeClr val="accent4">
                  <a:lumMod val="40000"/>
                  <a:lumOff val="60000"/>
                </a:schemeClr>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Data'!$BO$4:$BO$32</c15:sqref>
                  </c15:fullRef>
                </c:ext>
              </c:extLst>
              <c:f>'Compliance Data'!$BO$5:$BO$32</c:f>
              <c:numCache>
                <c:formatCode>_(* #,##0.00_);_(* \(#,##0.00\);_(* "-"??_);_(@_)</c:formatCode>
                <c:ptCount val="28"/>
                <c:pt idx="0">
                  <c:v>1.6672001480120395</c:v>
                </c:pt>
                <c:pt idx="1">
                  <c:v>1.8303953216936328</c:v>
                </c:pt>
                <c:pt idx="2">
                  <c:v>2.0091600721673259</c:v>
                </c:pt>
                <c:pt idx="3">
                  <c:v>2.2039704688009323</c:v>
                </c:pt>
                <c:pt idx="4">
                  <c:v>2.4147228209427172</c:v>
                </c:pt>
                <c:pt idx="5">
                  <c:v>2.6435055074141016</c:v>
                </c:pt>
                <c:pt idx="6">
                  <c:v>2.8936658050138946</c:v>
                </c:pt>
                <c:pt idx="7">
                  <c:v>3.1670094520501597</c:v>
                </c:pt>
                <c:pt idx="8">
                  <c:v>3.4696024846318703</c:v>
                </c:pt>
                <c:pt idx="9">
                  <c:v>3.8016643807416939</c:v>
                </c:pt>
                <c:pt idx="10">
                  <c:v>4.1657946983243246</c:v>
                </c:pt>
                <c:pt idx="11">
                  <c:v>4.5654558835919028</c:v>
                </c:pt>
                <c:pt idx="12">
                  <c:v>5.0035008741682265</c:v>
                </c:pt>
                <c:pt idx="13">
                  <c:v>5.1473793563843691</c:v>
                </c:pt>
                <c:pt idx="14">
                  <c:v>5.2963381923007766</c:v>
                </c:pt>
                <c:pt idx="15">
                  <c:v>5.4493081891352544</c:v>
                </c:pt>
                <c:pt idx="16">
                  <c:v>5.606890825278958</c:v>
                </c:pt>
                <c:pt idx="17">
                  <c:v>5.7675826620899597</c:v>
                </c:pt>
                <c:pt idx="18">
                  <c:v>5.935130766850258</c:v>
                </c:pt>
                <c:pt idx="19">
                  <c:v>6.1052609366481567</c:v>
                </c:pt>
                <c:pt idx="20">
                  <c:v>6.2788338222861402</c:v>
                </c:pt>
                <c:pt idx="21">
                  <c:v>6.4570478846612929</c:v>
                </c:pt>
                <c:pt idx="22">
                  <c:v>6.6405150868084322</c:v>
                </c:pt>
                <c:pt idx="23">
                  <c:v>6.8289022097138705</c:v>
                </c:pt>
                <c:pt idx="24">
                  <c:v>7.0221809990540507</c:v>
                </c:pt>
                <c:pt idx="25">
                  <c:v>7.2198931009350886</c:v>
                </c:pt>
                <c:pt idx="26">
                  <c:v>7.4222972772007143</c:v>
                </c:pt>
                <c:pt idx="27">
                  <c:v>7.6285297110405814</c:v>
                </c:pt>
              </c:numCache>
            </c:numRef>
          </c:val>
          <c:smooth val="0"/>
          <c:extLst>
            <c:ext xmlns:c16="http://schemas.microsoft.com/office/drawing/2014/chart" uri="{C3380CC4-5D6E-409C-BE32-E72D297353CC}">
              <c16:uniqueId val="{00000006-E0B4-4108-81AD-E26C94969928}"/>
            </c:ext>
          </c:extLst>
        </c:ser>
        <c:ser>
          <c:idx val="7"/>
          <c:order val="6"/>
          <c:tx>
            <c:strRef>
              <c:f>'Compliance Data'!$BP$3</c:f>
              <c:strCache>
                <c:ptCount val="1"/>
                <c:pt idx="0">
                  <c:v>Max(SSC, Allowance Price)</c:v>
                </c:pt>
              </c:strCache>
            </c:strRef>
          </c:tx>
          <c:spPr>
            <a:ln w="28575" cap="rnd">
              <a:solidFill>
                <a:schemeClr val="accent2">
                  <a:lumMod val="60000"/>
                </a:schemeClr>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'Compliance Data'!$BP$4:$BP$32</c15:sqref>
                  </c15:fullRef>
                </c:ext>
              </c:extLst>
              <c:f>'Compliance Data'!$BP$5:$BP$32</c:f>
              <c:numCache>
                <c:formatCode>General</c:formatCode>
                <c:ptCount val="28"/>
                <c:pt idx="0">
                  <c:v>5.22</c:v>
                </c:pt>
                <c:pt idx="1">
                  <c:v>5.32</c:v>
                </c:pt>
                <c:pt idx="2">
                  <c:v>5.43</c:v>
                </c:pt>
                <c:pt idx="3">
                  <c:v>5.51</c:v>
                </c:pt>
                <c:pt idx="4">
                  <c:v>5.59</c:v>
                </c:pt>
                <c:pt idx="5">
                  <c:v>5.67</c:v>
                </c:pt>
                <c:pt idx="6">
                  <c:v>5.75</c:v>
                </c:pt>
                <c:pt idx="7">
                  <c:v>5.83</c:v>
                </c:pt>
                <c:pt idx="8">
                  <c:v>5.91</c:v>
                </c:pt>
                <c:pt idx="9">
                  <c:v>5.99</c:v>
                </c:pt>
                <c:pt idx="10">
                  <c:v>6.06</c:v>
                </c:pt>
                <c:pt idx="11">
                  <c:v>6.14</c:v>
                </c:pt>
                <c:pt idx="12">
                  <c:v>6.22</c:v>
                </c:pt>
                <c:pt idx="13">
                  <c:v>6.31</c:v>
                </c:pt>
                <c:pt idx="14">
                  <c:v>6.4</c:v>
                </c:pt>
                <c:pt idx="15">
                  <c:v>6.49</c:v>
                </c:pt>
                <c:pt idx="16">
                  <c:v>6.58</c:v>
                </c:pt>
                <c:pt idx="17">
                  <c:v>6.67</c:v>
                </c:pt>
                <c:pt idx="18">
                  <c:v>6.75</c:v>
                </c:pt>
                <c:pt idx="19">
                  <c:v>6.82</c:v>
                </c:pt>
                <c:pt idx="20">
                  <c:v>6.9</c:v>
                </c:pt>
                <c:pt idx="21">
                  <c:v>6.98</c:v>
                </c:pt>
                <c:pt idx="22">
                  <c:v>7.06</c:v>
                </c:pt>
                <c:pt idx="23">
                  <c:v>7.15</c:v>
                </c:pt>
                <c:pt idx="24">
                  <c:v>7.24</c:v>
                </c:pt>
                <c:pt idx="25">
                  <c:v>7.33</c:v>
                </c:pt>
                <c:pt idx="26">
                  <c:v>7.42</c:v>
                </c:pt>
                <c:pt idx="27" formatCode="_(* #,##0.00_);_(* \(#,##0.00\);_(* &quot;-&quot;??_);_(@_)">
                  <c:v>7.63</c:v>
                </c:pt>
              </c:numCache>
            </c:numRef>
          </c:val>
          <c:smooth val="0"/>
          <c:extLst>
            <c:ext xmlns:c16="http://schemas.microsoft.com/office/drawing/2014/chart" uri="{C3380CC4-5D6E-409C-BE32-E72D297353CC}">
              <c16:uniqueId val="{00000007-E0B4-4108-81AD-E26C94969928}"/>
            </c:ext>
          </c:extLst>
        </c:ser>
        <c:dLbls>
          <c:showLegendKey val="0"/>
          <c:showVal val="0"/>
          <c:showCatName val="0"/>
          <c:showSerName val="0"/>
          <c:showPercent val="0"/>
          <c:showBubbleSize val="0"/>
        </c:dLbls>
        <c:smooth val="0"/>
        <c:axId val="912597695"/>
        <c:axId val="912598111"/>
      </c:lineChart>
      <c:catAx>
        <c:axId val="912597695"/>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12598111"/>
        <c:crosses val="autoZero"/>
        <c:auto val="1"/>
        <c:lblAlgn val="ctr"/>
        <c:lblOffset val="100"/>
        <c:tickLblSkip val="3"/>
        <c:noMultiLvlLbl val="0"/>
      </c:catAx>
      <c:valAx>
        <c:axId val="912598111"/>
        <c:scaling>
          <c:orientation val="minMax"/>
        </c:scaling>
        <c:delete val="1"/>
        <c:axPos val="l"/>
        <c:majorGridlines>
          <c:spPr>
            <a:ln w="9525" cap="flat" cmpd="sng" algn="ctr">
              <a:solidFill>
                <a:schemeClr val="tx1">
                  <a:lumMod val="15000"/>
                  <a:lumOff val="85000"/>
                </a:schemeClr>
              </a:solidFill>
              <a:round/>
            </a:ln>
            <a:effectLst/>
          </c:spPr>
        </c:majorGridlines>
        <c:numFmt formatCode="_(* #,##0.00_);_(* \(#,##0.00\);_(* &quot;-&quot;??_);_(@_)" sourceLinked="1"/>
        <c:majorTickMark val="out"/>
        <c:minorTickMark val="none"/>
        <c:tickLblPos val="nextTo"/>
        <c:crossAx val="912597695"/>
        <c:crosses val="autoZero"/>
        <c:crossBetween val="midCat"/>
      </c:valAx>
      <c:spPr>
        <a:noFill/>
        <a:ln>
          <a:solidFill>
            <a:schemeClr val="bg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1">
                <a:solidFill>
                  <a:schemeClr val="bg1"/>
                </a:solidFill>
              </a:rPr>
              <a:t>Washington</a:t>
            </a:r>
          </a:p>
        </c:rich>
      </c:tx>
      <c:layout>
        <c:manualLayout>
          <c:xMode val="edge"/>
          <c:yMode val="edge"/>
          <c:x val="9.3331846218168535E-2"/>
          <c:y val="0"/>
        </c:manualLayout>
      </c:layout>
      <c:overlay val="0"/>
      <c:spPr>
        <a:solidFill>
          <a:srgbClr val="002060"/>
        </a:solid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477285745961349E-2"/>
          <c:y val="4.1452314002443792E-2"/>
          <c:w val="0.8789159548488451"/>
          <c:h val="0.72925331916703429"/>
        </c:manualLayout>
      </c:layout>
      <c:areaChart>
        <c:grouping val="stacked"/>
        <c:varyColors val="0"/>
        <c:ser>
          <c:idx val="0"/>
          <c:order val="0"/>
          <c:tx>
            <c:strRef>
              <c:f>'Compliance Data'!$AE$2</c:f>
              <c:strCache>
                <c:ptCount val="1"/>
                <c:pt idx="0">
                  <c:v>Biofuel RNG </c:v>
                </c:pt>
              </c:strCache>
            </c:strRef>
          </c:tx>
          <c:spPr>
            <a:solidFill>
              <a:schemeClr val="accent6">
                <a:lumMod val="75000"/>
              </a:schemeClr>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Data'!$CO$4:$CO$32</c15:sqref>
                  </c15:fullRef>
                </c:ext>
              </c:extLst>
              <c:f>'Compliance Data'!$CO$5:$CO$32</c:f>
              <c:numCache>
                <c:formatCode>0%</c:formatCode>
                <c:ptCount val="28"/>
                <c:pt idx="0">
                  <c:v>8.3635861720250046E-2</c:v>
                </c:pt>
                <c:pt idx="1">
                  <c:v>8.3377677181115481E-2</c:v>
                </c:pt>
                <c:pt idx="2">
                  <c:v>8.4644982772896019E-2</c:v>
                </c:pt>
                <c:pt idx="3">
                  <c:v>9.3256353405884465E-2</c:v>
                </c:pt>
                <c:pt idx="4">
                  <c:v>0.10190964625903519</c:v>
                </c:pt>
                <c:pt idx="5">
                  <c:v>0.11060157653889928</c:v>
                </c:pt>
                <c:pt idx="6">
                  <c:v>0.11392114344848712</c:v>
                </c:pt>
                <c:pt idx="7">
                  <c:v>0.11698832957078706</c:v>
                </c:pt>
                <c:pt idx="8">
                  <c:v>0.12020699289789574</c:v>
                </c:pt>
                <c:pt idx="9">
                  <c:v>0.12316230527800986</c:v>
                </c:pt>
                <c:pt idx="10">
                  <c:v>0.1271114968339013</c:v>
                </c:pt>
                <c:pt idx="11">
                  <c:v>0.13080694557407546</c:v>
                </c:pt>
                <c:pt idx="12">
                  <c:v>0.13468446815857532</c:v>
                </c:pt>
                <c:pt idx="13">
                  <c:v>0.13827805111368169</c:v>
                </c:pt>
                <c:pt idx="14">
                  <c:v>0.14303302148384062</c:v>
                </c:pt>
                <c:pt idx="15">
                  <c:v>0.14754039758210571</c:v>
                </c:pt>
                <c:pt idx="16">
                  <c:v>0.15228705497222247</c:v>
                </c:pt>
                <c:pt idx="17">
                  <c:v>0.15678757799285675</c:v>
                </c:pt>
                <c:pt idx="18">
                  <c:v>0.1626315074720501</c:v>
                </c:pt>
                <c:pt idx="19">
                  <c:v>0.16824046943016474</c:v>
                </c:pt>
                <c:pt idx="20">
                  <c:v>0.17419222530549613</c:v>
                </c:pt>
                <c:pt idx="21">
                  <c:v>0.17990107131555558</c:v>
                </c:pt>
                <c:pt idx="22">
                  <c:v>0.18722779099883124</c:v>
                </c:pt>
                <c:pt idx="23">
                  <c:v>0.19437595525857801</c:v>
                </c:pt>
                <c:pt idx="24">
                  <c:v>0.2020392679075487</c:v>
                </c:pt>
                <c:pt idx="25">
                  <c:v>0.20952852932719068</c:v>
                </c:pt>
                <c:pt idx="26">
                  <c:v>0.21910324820427216</c:v>
                </c:pt>
                <c:pt idx="27">
                  <c:v>0.2286264695576844</c:v>
                </c:pt>
              </c:numCache>
            </c:numRef>
          </c:val>
          <c:extLst>
            <c:ext xmlns:c16="http://schemas.microsoft.com/office/drawing/2014/chart" uri="{C3380CC4-5D6E-409C-BE32-E72D297353CC}">
              <c16:uniqueId val="{00000000-29B8-46AE-B455-DD96344046DC}"/>
            </c:ext>
          </c:extLst>
        </c:ser>
        <c:ser>
          <c:idx val="1"/>
          <c:order val="1"/>
          <c:tx>
            <c:strRef>
              <c:f>'Compliance Data'!$AF$2</c:f>
              <c:strCache>
                <c:ptCount val="1"/>
                <c:pt idx="0">
                  <c:v>Hydrogen</c:v>
                </c:pt>
              </c:strCache>
            </c:strRef>
          </c:tx>
          <c:spPr>
            <a:solidFill>
              <a:srgbClr val="008AB0"/>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Data'!$CP$4:$CP$32</c15:sqref>
                  </c15:fullRef>
                </c:ext>
              </c:extLst>
              <c:f>'Compliance Data'!$CP$5:$CP$32</c:f>
              <c:numCache>
                <c:formatCode>0%</c:formatCode>
                <c:ptCount val="28"/>
                <c:pt idx="0">
                  <c:v>0</c:v>
                </c:pt>
                <c:pt idx="1">
                  <c:v>0</c:v>
                </c:pt>
                <c:pt idx="2">
                  <c:v>0</c:v>
                </c:pt>
                <c:pt idx="3">
                  <c:v>0</c:v>
                </c:pt>
                <c:pt idx="4">
                  <c:v>0</c:v>
                </c:pt>
                <c:pt idx="5">
                  <c:v>0</c:v>
                </c:pt>
                <c:pt idx="6">
                  <c:v>5.4030106348839542E-3</c:v>
                </c:pt>
                <c:pt idx="7">
                  <c:v>1.1085905457489897E-2</c:v>
                </c:pt>
                <c:pt idx="8">
                  <c:v>1.6660093352522276E-2</c:v>
                </c:pt>
                <c:pt idx="9">
                  <c:v>2.2529353424355851E-2</c:v>
                </c:pt>
                <c:pt idx="10">
                  <c:v>2.7441808149813639E-2</c:v>
                </c:pt>
                <c:pt idx="11">
                  <c:v>3.2642763377223202E-2</c:v>
                </c:pt>
                <c:pt idx="12">
                  <c:v>3.7694974263584397E-2</c:v>
                </c:pt>
                <c:pt idx="13">
                  <c:v>4.3064338053022864E-2</c:v>
                </c:pt>
                <c:pt idx="14">
                  <c:v>4.7303878696977886E-2</c:v>
                </c:pt>
                <c:pt idx="15">
                  <c:v>5.1827933540618688E-2</c:v>
                </c:pt>
                <c:pt idx="16">
                  <c:v>5.6147302314969803E-2</c:v>
                </c:pt>
                <c:pt idx="17">
                  <c:v>6.0738906704748276E-2</c:v>
                </c:pt>
                <c:pt idx="18">
                  <c:v>6.4030961812288748E-2</c:v>
                </c:pt>
                <c:pt idx="19">
                  <c:v>6.8446481366340087E-2</c:v>
                </c:pt>
                <c:pt idx="20">
                  <c:v>7.0867877056673523E-2</c:v>
                </c:pt>
                <c:pt idx="21">
                  <c:v>7.6863625485186451E-2</c:v>
                </c:pt>
                <c:pt idx="22">
                  <c:v>7.9994002828979116E-2</c:v>
                </c:pt>
                <c:pt idx="23">
                  <c:v>8.3048091481981265E-2</c:v>
                </c:pt>
                <c:pt idx="24">
                  <c:v>8.632227984072198E-2</c:v>
                </c:pt>
                <c:pt idx="25">
                  <c:v>8.9522103947996465E-2</c:v>
                </c:pt>
                <c:pt idx="26">
                  <c:v>9.3612950103120471E-2</c:v>
                </c:pt>
                <c:pt idx="27">
                  <c:v>9.7681793685698501E-2</c:v>
                </c:pt>
              </c:numCache>
            </c:numRef>
          </c:val>
          <c:extLst>
            <c:ext xmlns:c16="http://schemas.microsoft.com/office/drawing/2014/chart" uri="{C3380CC4-5D6E-409C-BE32-E72D297353CC}">
              <c16:uniqueId val="{00000001-29B8-46AE-B455-DD96344046DC}"/>
            </c:ext>
          </c:extLst>
        </c:ser>
        <c:ser>
          <c:idx val="2"/>
          <c:order val="2"/>
          <c:tx>
            <c:strRef>
              <c:f>'Compliance Data'!$AG$2</c:f>
              <c:strCache>
                <c:ptCount val="1"/>
                <c:pt idx="0">
                  <c:v>Synthetic Methane</c:v>
                </c:pt>
              </c:strCache>
            </c:strRef>
          </c:tx>
          <c:spPr>
            <a:solidFill>
              <a:srgbClr val="005480"/>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Data'!$CQ$4:$CQ$32</c15:sqref>
                  </c15:fullRef>
                </c:ext>
              </c:extLst>
              <c:f>'Compliance Data'!$CQ$5:$CQ$32</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2-29B8-46AE-B455-DD96344046DC}"/>
            </c:ext>
          </c:extLst>
        </c:ser>
        <c:dLbls>
          <c:showLegendKey val="0"/>
          <c:showVal val="0"/>
          <c:showCatName val="0"/>
          <c:showSerName val="0"/>
          <c:showPercent val="0"/>
          <c:showBubbleSize val="0"/>
        </c:dLbls>
        <c:axId val="959855104"/>
        <c:axId val="959850112"/>
      </c:areaChart>
      <c:lineChart>
        <c:grouping val="standard"/>
        <c:varyColors val="0"/>
        <c:ser>
          <c:idx val="3"/>
          <c:order val="3"/>
          <c:tx>
            <c:strRef>
              <c:f>'Compliance Data'!$AI$2</c:f>
              <c:strCache>
                <c:ptCount val="1"/>
                <c:pt idx="0">
                  <c:v>SB 98 </c:v>
                </c:pt>
              </c:strCache>
            </c:strRef>
          </c:tx>
          <c:spPr>
            <a:ln w="22225" cap="sq">
              <a:solidFill>
                <a:srgbClr val="1CF8CE"/>
              </a:solidFill>
              <a:prstDash val="sysDot"/>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'Compliance Data'!$CR$4:$CR$32</c15:sqref>
                  </c15:fullRef>
                </c:ext>
              </c:extLst>
              <c:f>'Compliance Data'!$CR$5:$CR$32</c:f>
              <c:numCache>
                <c:formatCode>0.0000%</c:formatCode>
                <c:ptCount val="28"/>
                <c:pt idx="0">
                  <c:v>4.1910587836757433E-2</c:v>
                </c:pt>
                <c:pt idx="1" formatCode="0%">
                  <c:v>6.3225631511898306E-2</c:v>
                </c:pt>
                <c:pt idx="2" formatCode="0%">
                  <c:v>8.4644981537328884E-2</c:v>
                </c:pt>
                <c:pt idx="3" formatCode="0%">
                  <c:v>9.3256356327017328E-2</c:v>
                </c:pt>
                <c:pt idx="4" formatCode="0%">
                  <c:v>0.1019096500577184</c:v>
                </c:pt>
                <c:pt idx="5" formatCode="0%">
                  <c:v>0.11060157261117111</c:v>
                </c:pt>
                <c:pt idx="6" formatCode="0%">
                  <c:v>0.11932415358351554</c:v>
                </c:pt>
                <c:pt idx="7" formatCode="0%">
                  <c:v>0.12807423147020097</c:v>
                </c:pt>
                <c:pt idx="8" formatCode="0%">
                  <c:v>0.13686707718307425</c:v>
                </c:pt>
                <c:pt idx="9" formatCode="0%">
                  <c:v>0.14569165853325805</c:v>
                </c:pt>
                <c:pt idx="10" formatCode="0%">
                  <c:v>0.15455329553843256</c:v>
                </c:pt>
                <c:pt idx="11" formatCode="0%">
                  <c:v>0.1634497023027966</c:v>
                </c:pt>
                <c:pt idx="12" formatCode="0%">
                  <c:v>0.17237943491357005</c:v>
                </c:pt>
                <c:pt idx="13" formatCode="0%">
                  <c:v>0.18134238502926239</c:v>
                </c:pt>
                <c:pt idx="14" formatCode="0%">
                  <c:v>0.19033689044024979</c:v>
                </c:pt>
                <c:pt idx="15" formatCode="0%">
                  <c:v>0.19936832497672613</c:v>
                </c:pt>
                <c:pt idx="16" formatCode="0%">
                  <c:v>0.20843435625052775</c:v>
                </c:pt>
                <c:pt idx="17" formatCode="0%">
                  <c:v>0.21752647766581873</c:v>
                </c:pt>
                <c:pt idx="18" formatCode="0%">
                  <c:v>0.22666246533466841</c:v>
                </c:pt>
                <c:pt idx="19" formatCode="0%">
                  <c:v>0.23584087465803283</c:v>
                </c:pt>
                <c:pt idx="20" formatCode="0%">
                  <c:v>0.24506010000004619</c:v>
                </c:pt>
                <c:pt idx="21" formatCode="0%">
                  <c:v>0.25432168083103557</c:v>
                </c:pt>
                <c:pt idx="22" formatCode="0%">
                  <c:v>0.26356787990328734</c:v>
                </c:pt>
                <c:pt idx="23" formatCode="0%">
                  <c:v>0.27285834774434797</c:v>
                </c:pt>
                <c:pt idx="24" formatCode="0%">
                  <c:v>0.28219922689200372</c:v>
                </c:pt>
                <c:pt idx="25" formatCode="0%">
                  <c:v>0.29160053131933983</c:v>
                </c:pt>
                <c:pt idx="26" formatCode="0%">
                  <c:v>0.30106502838063387</c:v>
                </c:pt>
                <c:pt idx="27" formatCode="0%">
                  <c:v>0.31059722141650137</c:v>
                </c:pt>
              </c:numCache>
            </c:numRef>
          </c:val>
          <c:smooth val="0"/>
          <c:extLst>
            <c:ext xmlns:c16="http://schemas.microsoft.com/office/drawing/2014/chart" uri="{C3380CC4-5D6E-409C-BE32-E72D297353CC}">
              <c16:uniqueId val="{00000003-29B8-46AE-B455-DD96344046DC}"/>
            </c:ext>
          </c:extLst>
        </c:ser>
        <c:dLbls>
          <c:showLegendKey val="0"/>
          <c:showVal val="0"/>
          <c:showCatName val="0"/>
          <c:showSerName val="0"/>
          <c:showPercent val="0"/>
          <c:showBubbleSize val="0"/>
        </c:dLbls>
        <c:marker val="1"/>
        <c:smooth val="0"/>
        <c:axId val="959855104"/>
        <c:axId val="959850112"/>
      </c:lineChart>
      <c:catAx>
        <c:axId val="959855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0112"/>
        <c:crosses val="autoZero"/>
        <c:auto val="1"/>
        <c:lblAlgn val="ctr"/>
        <c:lblOffset val="100"/>
        <c:tickLblSkip val="2"/>
        <c:noMultiLvlLbl val="0"/>
      </c:catAx>
      <c:valAx>
        <c:axId val="95985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510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Oregon</a:t>
            </a:r>
          </a:p>
        </c:rich>
      </c:tx>
      <c:layout>
        <c:manualLayout>
          <c:xMode val="edge"/>
          <c:yMode val="edge"/>
          <c:x val="0.10639534557392342"/>
          <c:y val="0"/>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6477285745961349E-2"/>
          <c:y val="4.1452314002443792E-2"/>
          <c:w val="0.8789159548488451"/>
          <c:h val="0.72925331916703429"/>
        </c:manualLayout>
      </c:layout>
      <c:areaChart>
        <c:grouping val="stacked"/>
        <c:varyColors val="0"/>
        <c:ser>
          <c:idx val="0"/>
          <c:order val="0"/>
          <c:tx>
            <c:strRef>
              <c:f>'Compliance Data'!$AE$2</c:f>
              <c:strCache>
                <c:ptCount val="1"/>
                <c:pt idx="0">
                  <c:v>Biofuel RNG </c:v>
                </c:pt>
              </c:strCache>
            </c:strRef>
          </c:tx>
          <c:spPr>
            <a:solidFill>
              <a:schemeClr val="accent6">
                <a:lumMod val="75000"/>
              </a:schemeClr>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Data'!$AE$4:$AE$32</c:f>
              <c:numCache>
                <c:formatCode>0%</c:formatCode>
                <c:ptCount val="29"/>
                <c:pt idx="0">
                  <c:v>2.0022146041761897E-2</c:v>
                </c:pt>
                <c:pt idx="1">
                  <c:v>4.9732769933516975E-2</c:v>
                </c:pt>
                <c:pt idx="2">
                  <c:v>5.1036059460681113E-2</c:v>
                </c:pt>
                <c:pt idx="3">
                  <c:v>6.8531558463139797E-2</c:v>
                </c:pt>
                <c:pt idx="4">
                  <c:v>7.5580548136327017E-2</c:v>
                </c:pt>
                <c:pt idx="5">
                  <c:v>8.2681917461668669E-2</c:v>
                </c:pt>
                <c:pt idx="6">
                  <c:v>9.8289688048551677E-2</c:v>
                </c:pt>
                <c:pt idx="7">
                  <c:v>0.10141936799824881</c:v>
                </c:pt>
                <c:pt idx="8">
                  <c:v>0.10428928254601329</c:v>
                </c:pt>
                <c:pt idx="9">
                  <c:v>0.10730489446253956</c:v>
                </c:pt>
                <c:pt idx="10">
                  <c:v>0.11002829708235685</c:v>
                </c:pt>
                <c:pt idx="11">
                  <c:v>0.11369416865151316</c:v>
                </c:pt>
                <c:pt idx="12">
                  <c:v>0.11712532680871714</c:v>
                </c:pt>
                <c:pt idx="13">
                  <c:v>0.12069716419095869</c:v>
                </c:pt>
                <c:pt idx="14">
                  <c:v>0.12398466704862594</c:v>
                </c:pt>
                <c:pt idx="15">
                  <c:v>0.12835584531666905</c:v>
                </c:pt>
                <c:pt idx="16">
                  <c:v>0.13248680573036409</c:v>
                </c:pt>
                <c:pt idx="17">
                  <c:v>0.13685512629354823</c:v>
                </c:pt>
                <c:pt idx="18">
                  <c:v>0.14096440758407441</c:v>
                </c:pt>
                <c:pt idx="19">
                  <c:v>0.14636146422228113</c:v>
                </c:pt>
                <c:pt idx="20">
                  <c:v>0.15156871665465707</c:v>
                </c:pt>
                <c:pt idx="21">
                  <c:v>0.15714359078623927</c:v>
                </c:pt>
                <c:pt idx="22">
                  <c:v>0.16248292140597687</c:v>
                </c:pt>
                <c:pt idx="23">
                  <c:v>0.16937916164941089</c:v>
                </c:pt>
                <c:pt idx="24">
                  <c:v>0.17615399680522009</c:v>
                </c:pt>
                <c:pt idx="25">
                  <c:v>0.18346020928455395</c:v>
                </c:pt>
                <c:pt idx="26">
                  <c:v>0.19063418321246495</c:v>
                </c:pt>
                <c:pt idx="27">
                  <c:v>0.19987279533793412</c:v>
                </c:pt>
                <c:pt idx="28">
                  <c:v>0.20915912926009206</c:v>
                </c:pt>
              </c:numCache>
            </c:numRef>
          </c:val>
          <c:extLst>
            <c:ext xmlns:c16="http://schemas.microsoft.com/office/drawing/2014/chart" uri="{C3380CC4-5D6E-409C-BE32-E72D297353CC}">
              <c16:uniqueId val="{00000000-05E8-41FF-AD05-6BB8EFF1778C}"/>
            </c:ext>
          </c:extLst>
        </c:ser>
        <c:ser>
          <c:idx val="1"/>
          <c:order val="1"/>
          <c:tx>
            <c:strRef>
              <c:f>'Compliance Data'!$AF$2</c:f>
              <c:strCache>
                <c:ptCount val="1"/>
                <c:pt idx="0">
                  <c:v>Hydrogen</c:v>
                </c:pt>
              </c:strCache>
            </c:strRef>
          </c:tx>
          <c:spPr>
            <a:solidFill>
              <a:srgbClr val="008AB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Data'!$AF$4:$AF$32</c:f>
              <c:numCache>
                <c:formatCode>0%</c:formatCode>
                <c:ptCount val="29"/>
                <c:pt idx="0">
                  <c:v>0</c:v>
                </c:pt>
                <c:pt idx="1">
                  <c:v>0</c:v>
                </c:pt>
                <c:pt idx="2">
                  <c:v>0</c:v>
                </c:pt>
                <c:pt idx="3">
                  <c:v>0</c:v>
                </c:pt>
                <c:pt idx="4">
                  <c:v>0</c:v>
                </c:pt>
                <c:pt idx="5">
                  <c:v>0</c:v>
                </c:pt>
                <c:pt idx="6">
                  <c:v>0</c:v>
                </c:pt>
                <c:pt idx="7">
                  <c:v>0</c:v>
                </c:pt>
                <c:pt idx="8">
                  <c:v>0</c:v>
                </c:pt>
                <c:pt idx="9">
                  <c:v>4.318941090916825E-3</c:v>
                </c:pt>
                <c:pt idx="10">
                  <c:v>8.9907306267467575E-3</c:v>
                </c:pt>
                <c:pt idx="11">
                  <c:v>1.2783215700482183E-2</c:v>
                </c:pt>
                <c:pt idx="12">
                  <c:v>1.6846740908576945E-2</c:v>
                </c:pt>
                <c:pt idx="13">
                  <c:v>2.0827096380306456E-2</c:v>
                </c:pt>
                <c:pt idx="14">
                  <c:v>5.2127412314944957E-2</c:v>
                </c:pt>
                <c:pt idx="15">
                  <c:v>5.3965205788157639E-2</c:v>
                </c:pt>
                <c:pt idx="16">
                  <c:v>0.10502114588168977</c:v>
                </c:pt>
                <c:pt idx="17">
                  <c:v>0.10848387583879827</c:v>
                </c:pt>
                <c:pt idx="18">
                  <c:v>0.13479154393990814</c:v>
                </c:pt>
                <c:pt idx="19">
                  <c:v>0.13995226223371665</c:v>
                </c:pt>
                <c:pt idx="20">
                  <c:v>0.14493148789127261</c:v>
                </c:pt>
                <c:pt idx="21">
                  <c:v>0.15026223700975797</c:v>
                </c:pt>
                <c:pt idx="22">
                  <c:v>0.15536775712064704</c:v>
                </c:pt>
                <c:pt idx="23">
                  <c:v>0.16196200942677327</c:v>
                </c:pt>
                <c:pt idx="24">
                  <c:v>0.16844017300182498</c:v>
                </c:pt>
                <c:pt idx="25">
                  <c:v>0.17542644476588759</c:v>
                </c:pt>
                <c:pt idx="26">
                  <c:v>0.18228626873493478</c:v>
                </c:pt>
                <c:pt idx="27">
                  <c:v>0.19112031992272291</c:v>
                </c:pt>
                <c:pt idx="28">
                  <c:v>0.20000000315880972</c:v>
                </c:pt>
              </c:numCache>
            </c:numRef>
          </c:val>
          <c:extLst>
            <c:ext xmlns:c16="http://schemas.microsoft.com/office/drawing/2014/chart" uri="{C3380CC4-5D6E-409C-BE32-E72D297353CC}">
              <c16:uniqueId val="{00000001-05E8-41FF-AD05-6BB8EFF1778C}"/>
            </c:ext>
          </c:extLst>
        </c:ser>
        <c:ser>
          <c:idx val="2"/>
          <c:order val="2"/>
          <c:tx>
            <c:strRef>
              <c:f>'Compliance Data'!$AG$2</c:f>
              <c:strCache>
                <c:ptCount val="1"/>
                <c:pt idx="0">
                  <c:v>Synthetic Methane</c:v>
                </c:pt>
              </c:strCache>
            </c:strRef>
          </c:tx>
          <c:spPr>
            <a:solidFill>
              <a:srgbClr val="005480"/>
            </a:solidFill>
            <a:ln>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Data'!$AG$4:$AG$32</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2.8385276700673753E-2</c:v>
                </c:pt>
                <c:pt idx="20">
                  <c:v>3.0374573435072248E-2</c:v>
                </c:pt>
                <c:pt idx="21">
                  <c:v>3.1491785663548454E-2</c:v>
                </c:pt>
                <c:pt idx="22">
                  <c:v>0.11797115160274835</c:v>
                </c:pt>
                <c:pt idx="23">
                  <c:v>0.12297818493405085</c:v>
                </c:pt>
                <c:pt idx="24">
                  <c:v>0.1278970717827963</c:v>
                </c:pt>
                <c:pt idx="25">
                  <c:v>0.1332017665321466</c:v>
                </c:pt>
                <c:pt idx="26">
                  <c:v>0.28822080348003243</c:v>
                </c:pt>
                <c:pt idx="27">
                  <c:v>0.31499482076036467</c:v>
                </c:pt>
                <c:pt idx="28">
                  <c:v>0.3483182047717126</c:v>
                </c:pt>
              </c:numCache>
            </c:numRef>
          </c:val>
          <c:extLst>
            <c:ext xmlns:c16="http://schemas.microsoft.com/office/drawing/2014/chart" uri="{C3380CC4-5D6E-409C-BE32-E72D297353CC}">
              <c16:uniqueId val="{00000002-05E8-41FF-AD05-6BB8EFF1778C}"/>
            </c:ext>
          </c:extLst>
        </c:ser>
        <c:dLbls>
          <c:showLegendKey val="0"/>
          <c:showVal val="0"/>
          <c:showCatName val="0"/>
          <c:showSerName val="0"/>
          <c:showPercent val="0"/>
          <c:showBubbleSize val="0"/>
        </c:dLbls>
        <c:axId val="959855104"/>
        <c:axId val="959850112"/>
      </c:areaChart>
      <c:lineChart>
        <c:grouping val="standard"/>
        <c:varyColors val="0"/>
        <c:ser>
          <c:idx val="3"/>
          <c:order val="3"/>
          <c:tx>
            <c:strRef>
              <c:f>'Compliance Data'!$AI$2</c:f>
              <c:strCache>
                <c:ptCount val="1"/>
                <c:pt idx="0">
                  <c:v>SB 98 </c:v>
                </c:pt>
              </c:strCache>
            </c:strRef>
          </c:tx>
          <c:spPr>
            <a:ln w="22225" cap="sq">
              <a:solidFill>
                <a:srgbClr val="1CF8CE"/>
              </a:solidFill>
              <a:prstDash val="sysDot"/>
              <a:round/>
            </a:ln>
            <a:effectLst/>
          </c:spPr>
          <c:marker>
            <c:symbol val="none"/>
          </c:marker>
          <c:val>
            <c:numRef>
              <c:f>'Compliance Data'!$AI$4:$AI$32</c:f>
              <c:numCache>
                <c:formatCode>0%</c:formatCode>
                <c:ptCount val="29"/>
                <c:pt idx="0">
                  <c:v>2.0022146107911015E-2</c:v>
                </c:pt>
                <c:pt idx="1">
                  <c:v>3.3688462123685287E-2</c:v>
                </c:pt>
                <c:pt idx="2">
                  <c:v>5.1036058158607255E-2</c:v>
                </c:pt>
                <c:pt idx="3">
                  <c:v>6.8531557403999951E-2</c:v>
                </c:pt>
                <c:pt idx="4">
                  <c:v>7.5580546416913225E-2</c:v>
                </c:pt>
                <c:pt idx="5">
                  <c:v>8.268191600387266E-2</c:v>
                </c:pt>
                <c:pt idx="6">
                  <c:v>8.9824981839709522E-2</c:v>
                </c:pt>
                <c:pt idx="7">
                  <c:v>9.7031787882734505E-2</c:v>
                </c:pt>
                <c:pt idx="8">
                  <c:v>0.10428928048960501</c:v>
                </c:pt>
                <c:pt idx="9">
                  <c:v>0.11162383363541167</c:v>
                </c:pt>
                <c:pt idx="10">
                  <c:v>0.11901902532428511</c:v>
                </c:pt>
                <c:pt idx="11">
                  <c:v>0.12647738223971763</c:v>
                </c:pt>
                <c:pt idx="12">
                  <c:v>0.13397206556722085</c:v>
                </c:pt>
                <c:pt idx="13">
                  <c:v>0.14152425865627366</c:v>
                </c:pt>
                <c:pt idx="14">
                  <c:v>0.14909343308708331</c:v>
                </c:pt>
                <c:pt idx="15">
                  <c:v>0.15671282269044623</c:v>
                </c:pt>
                <c:pt idx="16">
                  <c:v>0.16436746969172664</c:v>
                </c:pt>
                <c:pt idx="17">
                  <c:v>0.17207614030621698</c:v>
                </c:pt>
                <c:pt idx="18">
                  <c:v>0.17981184643450204</c:v>
                </c:pt>
                <c:pt idx="19">
                  <c:v>0.18762920065750779</c:v>
                </c:pt>
                <c:pt idx="20">
                  <c:v>0.19550166216230522</c:v>
                </c:pt>
                <c:pt idx="21">
                  <c:v>0.2034448573222101</c:v>
                </c:pt>
                <c:pt idx="22">
                  <c:v>0.2114426236086995</c:v>
                </c:pt>
                <c:pt idx="23">
                  <c:v>0.2194757388415704</c:v>
                </c:pt>
                <c:pt idx="24">
                  <c:v>0.22758860406963832</c:v>
                </c:pt>
                <c:pt idx="25">
                  <c:v>0.23580336058913798</c:v>
                </c:pt>
                <c:pt idx="26">
                  <c:v>0.24409390576894488</c:v>
                </c:pt>
                <c:pt idx="27">
                  <c:v>0.25252429745418759</c:v>
                </c:pt>
                <c:pt idx="28">
                  <c:v>0.26105135257337303</c:v>
                </c:pt>
              </c:numCache>
            </c:numRef>
          </c:val>
          <c:smooth val="0"/>
          <c:extLst>
            <c:ext xmlns:c16="http://schemas.microsoft.com/office/drawing/2014/chart" uri="{C3380CC4-5D6E-409C-BE32-E72D297353CC}">
              <c16:uniqueId val="{00000009-954C-46A2-8BAA-916DAB6DB135}"/>
            </c:ext>
          </c:extLst>
        </c:ser>
        <c:dLbls>
          <c:showLegendKey val="0"/>
          <c:showVal val="0"/>
          <c:showCatName val="0"/>
          <c:showSerName val="0"/>
          <c:showPercent val="0"/>
          <c:showBubbleSize val="0"/>
        </c:dLbls>
        <c:marker val="1"/>
        <c:smooth val="0"/>
        <c:axId val="959855104"/>
        <c:axId val="959850112"/>
      </c:lineChart>
      <c:catAx>
        <c:axId val="9598551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0112"/>
        <c:crosses val="autoZero"/>
        <c:auto val="1"/>
        <c:lblAlgn val="ctr"/>
        <c:lblOffset val="100"/>
        <c:tickLblSkip val="2"/>
        <c:noMultiLvlLbl val="0"/>
      </c:catAx>
      <c:valAx>
        <c:axId val="95985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5985510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100" b="0" i="0" u="none" strike="noStrike" kern="1200" spc="0" baseline="0">
                <a:solidFill>
                  <a:schemeClr val="bg1"/>
                </a:solidFill>
                <a:latin typeface="+mn-lt"/>
                <a:ea typeface="+mn-ea"/>
                <a:cs typeface="+mn-cs"/>
              </a:defRPr>
            </a:pPr>
            <a:r>
              <a:rPr lang="en-US" sz="1100" b="1">
                <a:solidFill>
                  <a:schemeClr val="bg1"/>
                </a:solidFill>
                <a:effectLst/>
              </a:rPr>
              <a:t>Oregon </a:t>
            </a:r>
            <a:endParaRPr lang="en-US" sz="1100">
              <a:solidFill>
                <a:schemeClr val="bg1"/>
              </a:solidFill>
              <a:effectLst/>
            </a:endParaRPr>
          </a:p>
        </c:rich>
      </c:tx>
      <c:layout>
        <c:manualLayout>
          <c:xMode val="edge"/>
          <c:yMode val="edge"/>
          <c:x val="0.14585096062301112"/>
          <c:y val="6.9444558362683232E-3"/>
        </c:manualLayout>
      </c:layout>
      <c:overlay val="0"/>
      <c:spPr>
        <a:solidFill>
          <a:srgbClr val="002060"/>
        </a:solidFill>
        <a:ln>
          <a:noFill/>
        </a:ln>
        <a:effectLst/>
      </c:spPr>
      <c:txPr>
        <a:bodyPr rot="0" spcFirstLastPara="1" vertOverflow="ellipsis" vert="horz" wrap="square" anchor="t" anchorCtr="0"/>
        <a:lstStyle/>
        <a:p>
          <a:pPr>
            <a:defRPr sz="11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3491597920869994"/>
          <c:y val="5.0949878577058093E-2"/>
          <c:w val="0.81045069242967271"/>
          <c:h val="0.68912505307790639"/>
        </c:manualLayout>
      </c:layout>
      <c:areaChart>
        <c:grouping val="stacked"/>
        <c:varyColors val="0"/>
        <c:ser>
          <c:idx val="0"/>
          <c:order val="0"/>
          <c:tx>
            <c:strRef>
              <c:f>'Compliance Data'!$AU$2</c:f>
              <c:strCache>
                <c:ptCount val="1"/>
                <c:pt idx="0">
                  <c:v>Renewable Supply Costs</c:v>
                </c:pt>
              </c:strCache>
            </c:strRef>
          </c:tx>
          <c:spPr>
            <a:solidFill>
              <a:srgbClr val="19A4C5"/>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Data'!$AV$4:$AV$32</c:f>
              <c:numCache>
                <c:formatCode>_("$"* #,##0.00_);_("$"* \(#,##0.00\);_("$"* "-"??_);_(@_)</c:formatCode>
                <c:ptCount val="29"/>
                <c:pt idx="0">
                  <c:v>0.15299520883001791</c:v>
                </c:pt>
                <c:pt idx="1">
                  <c:v>0.37464318962765647</c:v>
                </c:pt>
                <c:pt idx="2">
                  <c:v>0.37564371298098082</c:v>
                </c:pt>
                <c:pt idx="3">
                  <c:v>0.50766696477119411</c:v>
                </c:pt>
                <c:pt idx="4">
                  <c:v>0.58005503956121429</c:v>
                </c:pt>
                <c:pt idx="5">
                  <c:v>0.65340329928838392</c:v>
                </c:pt>
                <c:pt idx="6">
                  <c:v>0.82206434375604898</c:v>
                </c:pt>
                <c:pt idx="7">
                  <c:v>0.8505639575225189</c:v>
                </c:pt>
                <c:pt idx="8">
                  <c:v>0.87463279095816138</c:v>
                </c:pt>
                <c:pt idx="9">
                  <c:v>0.9372348624417659</c:v>
                </c:pt>
                <c:pt idx="10">
                  <c:v>0.99627591469718246</c:v>
                </c:pt>
                <c:pt idx="11">
                  <c:v>1.0598281439438133</c:v>
                </c:pt>
                <c:pt idx="12">
                  <c:v>1.1197670496050334</c:v>
                </c:pt>
                <c:pt idx="13">
                  <c:v>1.1792492172143065</c:v>
                </c:pt>
                <c:pt idx="14">
                  <c:v>1.4218998623438892</c:v>
                </c:pt>
                <c:pt idx="15">
                  <c:v>1.4760630345331085</c:v>
                </c:pt>
                <c:pt idx="16">
                  <c:v>1.8350185245724782</c:v>
                </c:pt>
                <c:pt idx="17">
                  <c:v>1.8955222789691821</c:v>
                </c:pt>
                <c:pt idx="18">
                  <c:v>2.073903229878661</c:v>
                </c:pt>
                <c:pt idx="19">
                  <c:v>2.4529931445386941</c:v>
                </c:pt>
                <c:pt idx="20">
                  <c:v>2.5499491786316506</c:v>
                </c:pt>
                <c:pt idx="21">
                  <c:v>2.6437392827280823</c:v>
                </c:pt>
                <c:pt idx="22">
                  <c:v>3.4837643135359877</c:v>
                </c:pt>
                <c:pt idx="23">
                  <c:v>3.6415749004380258</c:v>
                </c:pt>
                <c:pt idx="24">
                  <c:v>3.7872307734377122</c:v>
                </c:pt>
                <c:pt idx="25">
                  <c:v>3.9443110170929487</c:v>
                </c:pt>
                <c:pt idx="26">
                  <c:v>5.109655831019551</c:v>
                </c:pt>
                <c:pt idx="27">
                  <c:v>5.4530996200947248</c:v>
                </c:pt>
                <c:pt idx="28">
                  <c:v>5.8154476822263153</c:v>
                </c:pt>
              </c:numCache>
            </c:numRef>
          </c:val>
          <c:extLst>
            <c:ext xmlns:c16="http://schemas.microsoft.com/office/drawing/2014/chart" uri="{C3380CC4-5D6E-409C-BE32-E72D297353CC}">
              <c16:uniqueId val="{00000000-DEC8-48B5-89C8-59B8CAE145EC}"/>
            </c:ext>
          </c:extLst>
        </c:ser>
        <c:ser>
          <c:idx val="2"/>
          <c:order val="1"/>
          <c:tx>
            <c:strRef>
              <c:f>'Compliance Data'!$AY$2</c:f>
              <c:strCache>
                <c:ptCount val="1"/>
                <c:pt idx="0">
                  <c:v>Incremental Load Reductions Investments</c:v>
                </c:pt>
              </c:strCache>
            </c:strRef>
          </c:tx>
          <c:spPr>
            <a:solidFill>
              <a:schemeClr val="accent2">
                <a:lumMod val="75000"/>
              </a:schemeClr>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Data'!$AZ$4:$AZ$32</c:f>
              <c:numCache>
                <c:formatCode>_("$"* #,##0.00_);_("$"* \(#,##0.00\);_("$"* "-"??_);_(@_)</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DEC8-48B5-89C8-59B8CAE145EC}"/>
            </c:ext>
          </c:extLst>
        </c:ser>
        <c:ser>
          <c:idx val="1"/>
          <c:order val="2"/>
          <c:tx>
            <c:strRef>
              <c:f>'Compliance Data'!$AW$2</c:f>
              <c:strCache>
                <c:ptCount val="1"/>
                <c:pt idx="0">
                  <c:v>Community Climate Investments</c:v>
                </c:pt>
              </c:strCache>
            </c:strRef>
          </c:tx>
          <c:spPr>
            <a:solidFill>
              <a:schemeClr val="accent4"/>
            </a:solidFill>
            <a:ln w="25400">
              <a:noFill/>
            </a:ln>
            <a:effectLst/>
          </c:spPr>
          <c:cat>
            <c:numRef>
              <c:f>'Compliance Data'!$B$4:$B$32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Data'!$AX$4:$AX$32</c:f>
              <c:numCache>
                <c:formatCode>_("$"* #,##0.00_);_("$"* \(#,##0.00\);_("$"* "-"??_);_(@_)</c:formatCode>
                <c:ptCount val="29"/>
                <c:pt idx="0">
                  <c:v>0</c:v>
                </c:pt>
                <c:pt idx="1">
                  <c:v>0</c:v>
                </c:pt>
                <c:pt idx="2">
                  <c:v>0</c:v>
                </c:pt>
                <c:pt idx="3">
                  <c:v>0</c:v>
                </c:pt>
                <c:pt idx="4">
                  <c:v>1.1964340874445364E-2</c:v>
                </c:pt>
                <c:pt idx="5">
                  <c:v>7.6266537623302447E-2</c:v>
                </c:pt>
                <c:pt idx="6">
                  <c:v>0.13184415989266138</c:v>
                </c:pt>
                <c:pt idx="7">
                  <c:v>0.20579001021681123</c:v>
                </c:pt>
                <c:pt idx="8">
                  <c:v>0.32778006860172698</c:v>
                </c:pt>
                <c:pt idx="9">
                  <c:v>0.43323162668606879</c:v>
                </c:pt>
                <c:pt idx="10">
                  <c:v>0.58379212544786618</c:v>
                </c:pt>
                <c:pt idx="11">
                  <c:v>0.6843969912727691</c:v>
                </c:pt>
                <c:pt idx="12">
                  <c:v>0.83059932582297824</c:v>
                </c:pt>
                <c:pt idx="13">
                  <c:v>0.99331929291610355</c:v>
                </c:pt>
                <c:pt idx="14">
                  <c:v>0.91563302182933459</c:v>
                </c:pt>
                <c:pt idx="15">
                  <c:v>0.97375993373299496</c:v>
                </c:pt>
                <c:pt idx="16">
                  <c:v>0.74838035895531241</c:v>
                </c:pt>
                <c:pt idx="17">
                  <c:v>0.84333056919060134</c:v>
                </c:pt>
                <c:pt idx="18">
                  <c:v>0.82534410715900852</c:v>
                </c:pt>
                <c:pt idx="19">
                  <c:v>0.70996013425438753</c:v>
                </c:pt>
                <c:pt idx="20">
                  <c:v>0.81337061393716947</c:v>
                </c:pt>
                <c:pt idx="21">
                  <c:v>0.93316297980726026</c:v>
                </c:pt>
                <c:pt idx="22">
                  <c:v>0.50707229968521716</c:v>
                </c:pt>
                <c:pt idx="23">
                  <c:v>0.59453678611679472</c:v>
                </c:pt>
                <c:pt idx="24">
                  <c:v>0.7272280580150341</c:v>
                </c:pt>
                <c:pt idx="25">
                  <c:v>0.87374188733126457</c:v>
                </c:pt>
                <c:pt idx="26">
                  <c:v>0</c:v>
                </c:pt>
                <c:pt idx="27">
                  <c:v>0</c:v>
                </c:pt>
                <c:pt idx="28">
                  <c:v>0</c:v>
                </c:pt>
              </c:numCache>
            </c:numRef>
          </c:val>
          <c:extLst>
            <c:ext xmlns:c16="http://schemas.microsoft.com/office/drawing/2014/chart" uri="{C3380CC4-5D6E-409C-BE32-E72D297353CC}">
              <c16:uniqueId val="{00000002-DEC8-48B5-89C8-59B8CAE145EC}"/>
            </c:ext>
          </c:extLst>
        </c:ser>
        <c:dLbls>
          <c:showLegendKey val="0"/>
          <c:showVal val="0"/>
          <c:showCatName val="0"/>
          <c:showSerName val="0"/>
          <c:showPercent val="0"/>
          <c:showBubbleSize val="0"/>
        </c:dLbls>
        <c:axId val="878730176"/>
        <c:axId val="878732256"/>
      </c:areaChart>
      <c:catAx>
        <c:axId val="87873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2256"/>
        <c:crosses val="autoZero"/>
        <c:auto val="1"/>
        <c:lblAlgn val="ctr"/>
        <c:lblOffset val="100"/>
        <c:tickLblSkip val="2"/>
        <c:tickMarkSkip val="1"/>
        <c:noMultiLvlLbl val="0"/>
      </c:catAx>
      <c:valAx>
        <c:axId val="8787322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0"/>
                  <a:t>$/MMBtu</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0176"/>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bg1"/>
                </a:solidFill>
                <a:latin typeface="+mn-lt"/>
                <a:ea typeface="+mn-ea"/>
                <a:cs typeface="+mn-cs"/>
              </a:defRPr>
            </a:pPr>
            <a:r>
              <a:rPr lang="en-US" sz="1100" b="1">
                <a:solidFill>
                  <a:schemeClr val="bg1"/>
                </a:solidFill>
              </a:rPr>
              <a:t>Washington</a:t>
            </a:r>
          </a:p>
        </c:rich>
      </c:tx>
      <c:layout>
        <c:manualLayout>
          <c:xMode val="edge"/>
          <c:yMode val="edge"/>
          <c:x val="9.7309971607037929E-2"/>
          <c:y val="6.9444444444444441E-3"/>
        </c:manualLayout>
      </c:layout>
      <c:overlay val="0"/>
      <c:spPr>
        <a:solidFill>
          <a:srgbClr val="002060"/>
        </a:solidFill>
        <a:ln>
          <a:noFill/>
        </a:ln>
        <a:effectLst/>
      </c:spPr>
      <c:txPr>
        <a:bodyPr rot="0" spcFirstLastPara="1" vertOverflow="ellipsis" vert="horz" wrap="square" anchor="ctr" anchorCtr="1"/>
        <a:lstStyle/>
        <a:p>
          <a:pPr>
            <a:defRPr sz="1200" b="0"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3251559165987685E-2"/>
          <c:y val="4.7318173278756918E-2"/>
          <c:w val="0.8621151897893452"/>
          <c:h val="0.69337883495297847"/>
        </c:manualLayout>
      </c:layout>
      <c:areaChart>
        <c:grouping val="stacked"/>
        <c:varyColors val="0"/>
        <c:ser>
          <c:idx val="0"/>
          <c:order val="0"/>
          <c:tx>
            <c:strRef>
              <c:f>'Compliance Data'!$AU$2</c:f>
              <c:strCache>
                <c:ptCount val="1"/>
                <c:pt idx="0">
                  <c:v>Renewable Supply Costs</c:v>
                </c:pt>
              </c:strCache>
            </c:strRef>
          </c:tx>
          <c:spPr>
            <a:solidFill>
              <a:srgbClr val="19A4C5"/>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Data'!$DF$4:$DF$32</c15:sqref>
                  </c15:fullRef>
                </c:ext>
              </c:extLst>
              <c:f>'Compliance Data'!$DF$5:$DF$32</c:f>
              <c:numCache>
                <c:formatCode>"$"#,##0.00</c:formatCode>
                <c:ptCount val="28"/>
                <c:pt idx="0">
                  <c:v>0.82196856166918109</c:v>
                </c:pt>
                <c:pt idx="1">
                  <c:v>0.81719225559630659</c:v>
                </c:pt>
                <c:pt idx="2">
                  <c:v>0.83188614681905315</c:v>
                </c:pt>
                <c:pt idx="3">
                  <c:v>0.92656246246856944</c:v>
                </c:pt>
                <c:pt idx="4">
                  <c:v>1.0218729313163408</c:v>
                </c:pt>
                <c:pt idx="5">
                  <c:v>1.1147476178025588</c:v>
                </c:pt>
                <c:pt idx="6">
                  <c:v>1.2076937254592224</c:v>
                </c:pt>
                <c:pt idx="7">
                  <c:v>1.2899742301710744</c:v>
                </c:pt>
                <c:pt idx="8">
                  <c:v>1.3709853756429067</c:v>
                </c:pt>
                <c:pt idx="9">
                  <c:v>1.4461849911791798</c:v>
                </c:pt>
                <c:pt idx="10">
                  <c:v>1.5296803918828212</c:v>
                </c:pt>
                <c:pt idx="11">
                  <c:v>1.607620390390702</c:v>
                </c:pt>
                <c:pt idx="12">
                  <c:v>1.6851253315738437</c:v>
                </c:pt>
                <c:pt idx="13">
                  <c:v>1.7557219481676736</c:v>
                </c:pt>
                <c:pt idx="14">
                  <c:v>1.8393672102986869</c:v>
                </c:pt>
                <c:pt idx="15">
                  <c:v>1.9164866531046918</c:v>
                </c:pt>
                <c:pt idx="16">
                  <c:v>1.9939520644202582</c:v>
                </c:pt>
                <c:pt idx="17">
                  <c:v>2.0634006796058211</c:v>
                </c:pt>
                <c:pt idx="18">
                  <c:v>2.1514385929942996</c:v>
                </c:pt>
                <c:pt idx="19">
                  <c:v>2.2361783174225951</c:v>
                </c:pt>
                <c:pt idx="20">
                  <c:v>2.3152864385785046</c:v>
                </c:pt>
                <c:pt idx="21">
                  <c:v>2.3992629344759893</c:v>
                </c:pt>
                <c:pt idx="22">
                  <c:v>2.5038172631127953</c:v>
                </c:pt>
                <c:pt idx="23">
                  <c:v>2.5994104278755601</c:v>
                </c:pt>
                <c:pt idx="24">
                  <c:v>2.7018927271152244</c:v>
                </c:pt>
                <c:pt idx="25">
                  <c:v>2.7943915533899628</c:v>
                </c:pt>
                <c:pt idx="26">
                  <c:v>2.9300911597112673</c:v>
                </c:pt>
                <c:pt idx="27">
                  <c:v>3.0574462168740513</c:v>
                </c:pt>
              </c:numCache>
            </c:numRef>
          </c:val>
          <c:extLst>
            <c:ext xmlns:c16="http://schemas.microsoft.com/office/drawing/2014/chart" uri="{C3380CC4-5D6E-409C-BE32-E72D297353CC}">
              <c16:uniqueId val="{00000000-A502-412C-9139-7BA055C246A1}"/>
            </c:ext>
          </c:extLst>
        </c:ser>
        <c:ser>
          <c:idx val="2"/>
          <c:order val="1"/>
          <c:tx>
            <c:strRef>
              <c:f>'Compliance Data'!$AY$2</c:f>
              <c:strCache>
                <c:ptCount val="1"/>
                <c:pt idx="0">
                  <c:v>Incremental Load Reductions Investments</c:v>
                </c:pt>
              </c:strCache>
            </c:strRef>
          </c:tx>
          <c:spPr>
            <a:solidFill>
              <a:schemeClr val="accent2">
                <a:lumMod val="75000"/>
              </a:schemeClr>
            </a:solidFill>
            <a:ln w="25400">
              <a:no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Data'!$DJ$4:$DJ$32</c15:sqref>
                  </c15:fullRef>
                </c:ext>
              </c:extLst>
              <c:f>'Compliance Data'!$DJ$5:$DJ$32</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A502-412C-9139-7BA055C246A1}"/>
            </c:ext>
          </c:extLst>
        </c:ser>
        <c:ser>
          <c:idx val="1"/>
          <c:order val="2"/>
          <c:tx>
            <c:v>Allowances and Offsets</c:v>
          </c:tx>
          <c:spPr>
            <a:solidFill>
              <a:schemeClr val="accent4">
                <a:lumMod val="40000"/>
                <a:lumOff val="60000"/>
              </a:schemeClr>
            </a:solidFill>
            <a:ln w="9525">
              <a:solidFill>
                <a:srgbClr val="9E5ECE"/>
              </a:solidFill>
            </a:ln>
            <a:effectLst/>
          </c:spPr>
          <c:cat>
            <c:numRef>
              <c:extLst>
                <c:ext xmlns:c15="http://schemas.microsoft.com/office/drawing/2012/chart" uri="{02D57815-91ED-43cb-92C2-25804820EDAC}">
                  <c15:fullRef>
                    <c15:sqref>'Compliance Data'!$B$4:$B$32</c15:sqref>
                  </c15:fullRef>
                </c:ext>
              </c:extLst>
              <c:f>'Compliance Data'!$B$5:$B$32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Data'!$DH$4:$DH$32</c15:sqref>
                  </c15:fullRef>
                </c:ext>
              </c:extLst>
              <c:f>'Compliance Data'!$DH$5:$DH$32</c:f>
              <c:numCache>
                <c:formatCode>"$"#,##0.00</c:formatCode>
                <c:ptCount val="28"/>
                <c:pt idx="0">
                  <c:v>5.4084677791812731E-2</c:v>
                </c:pt>
                <c:pt idx="1">
                  <c:v>0.10199227946101519</c:v>
                </c:pt>
                <c:pt idx="2">
                  <c:v>0.27519434248244229</c:v>
                </c:pt>
                <c:pt idx="3">
                  <c:v>0.47191533255540907</c:v>
                </c:pt>
                <c:pt idx="4">
                  <c:v>0.2153185138707934</c:v>
                </c:pt>
                <c:pt idx="5">
                  <c:v>0.69556801946249369</c:v>
                </c:pt>
                <c:pt idx="6">
                  <c:v>0.80791281800825365</c:v>
                </c:pt>
                <c:pt idx="7">
                  <c:v>0.94247496177308598</c:v>
                </c:pt>
                <c:pt idx="8">
                  <c:v>0.4451558190112061</c:v>
                </c:pt>
                <c:pt idx="9">
                  <c:v>1.0370997628353016</c:v>
                </c:pt>
                <c:pt idx="10">
                  <c:v>1.0599662824471341</c:v>
                </c:pt>
                <c:pt idx="11">
                  <c:v>1.0924737277720655</c:v>
                </c:pt>
                <c:pt idx="12">
                  <c:v>0.34271188156548521</c:v>
                </c:pt>
                <c:pt idx="13">
                  <c:v>1.0663447841654958</c:v>
                </c:pt>
                <c:pt idx="14">
                  <c:v>1.0123426866644154</c:v>
                </c:pt>
                <c:pt idx="15">
                  <c:v>0.94858203403684072</c:v>
                </c:pt>
                <c:pt idx="16">
                  <c:v>0.33466952451254295</c:v>
                </c:pt>
                <c:pt idx="17">
                  <c:v>0.56434843975652638</c:v>
                </c:pt>
                <c:pt idx="18">
                  <c:v>0.70761594370966263</c:v>
                </c:pt>
                <c:pt idx="19">
                  <c:v>0.60311295187483971</c:v>
                </c:pt>
                <c:pt idx="20">
                  <c:v>0.24821983892246777</c:v>
                </c:pt>
                <c:pt idx="21">
                  <c:v>0.22565560839615662</c:v>
                </c:pt>
                <c:pt idx="22">
                  <c:v>0.16856789084929877</c:v>
                </c:pt>
                <c:pt idx="23">
                  <c:v>0.11472874598605053</c:v>
                </c:pt>
                <c:pt idx="24">
                  <c:v>4.6874294448601639E-2</c:v>
                </c:pt>
                <c:pt idx="25">
                  <c:v>0</c:v>
                </c:pt>
                <c:pt idx="26">
                  <c:v>0</c:v>
                </c:pt>
                <c:pt idx="27">
                  <c:v>0</c:v>
                </c:pt>
              </c:numCache>
            </c:numRef>
          </c:val>
          <c:extLst>
            <c:ext xmlns:c16="http://schemas.microsoft.com/office/drawing/2014/chart" uri="{C3380CC4-5D6E-409C-BE32-E72D297353CC}">
              <c16:uniqueId val="{00000002-A502-412C-9139-7BA055C246A1}"/>
            </c:ext>
          </c:extLst>
        </c:ser>
        <c:dLbls>
          <c:showLegendKey val="0"/>
          <c:showVal val="0"/>
          <c:showCatName val="0"/>
          <c:showSerName val="0"/>
          <c:showPercent val="0"/>
          <c:showBubbleSize val="0"/>
        </c:dLbls>
        <c:axId val="878730176"/>
        <c:axId val="878732256"/>
      </c:areaChart>
      <c:catAx>
        <c:axId val="87873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2256"/>
        <c:crosses val="autoZero"/>
        <c:auto val="1"/>
        <c:lblAlgn val="ctr"/>
        <c:lblOffset val="100"/>
        <c:tickLblSkip val="2"/>
        <c:noMultiLvlLbl val="0"/>
      </c:catAx>
      <c:valAx>
        <c:axId val="8787322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878730176"/>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1" i="0" u="none" strike="noStrike" kern="1200" spc="0" baseline="0">
                <a:solidFill>
                  <a:schemeClr val="bg1"/>
                </a:solidFill>
                <a:latin typeface="+mn-lt"/>
                <a:ea typeface="+mn-ea"/>
                <a:cs typeface="+mn-cs"/>
              </a:defRPr>
            </a:pPr>
            <a:r>
              <a:rPr lang="en-US" sz="1100" b="1">
                <a:solidFill>
                  <a:schemeClr val="bg1"/>
                </a:solidFill>
              </a:rPr>
              <a:t>Customer Count</a:t>
            </a:r>
          </a:p>
        </c:rich>
      </c:tx>
      <c:layout>
        <c:manualLayout>
          <c:xMode val="edge"/>
          <c:yMode val="edge"/>
          <c:x val="0.19748612830513168"/>
          <c:y val="2.5822927943410959E-2"/>
        </c:manualLayout>
      </c:layout>
      <c:overlay val="0"/>
      <c:spPr>
        <a:solidFill>
          <a:srgbClr val="002060"/>
        </a:solidFill>
        <a:ln>
          <a:noFill/>
        </a:ln>
        <a:effectLst/>
      </c:spPr>
      <c:txPr>
        <a:bodyPr rot="0" spcFirstLastPara="1" vertOverflow="ellipsis" vert="horz" wrap="square" anchor="ctr" anchorCtr="1"/>
        <a:lstStyle/>
        <a:p>
          <a:pPr algn="l">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9971941007374078"/>
          <c:y val="5.9315380488729419E-2"/>
          <c:w val="0.74907074115735528"/>
          <c:h val="0.6792397613854293"/>
        </c:manualLayout>
      </c:layout>
      <c:areaChart>
        <c:grouping val="stacked"/>
        <c:varyColors val="0"/>
        <c:ser>
          <c:idx val="1"/>
          <c:order val="0"/>
          <c:tx>
            <c:strRef>
              <c:f>'Customer Counts'!$C$1</c:f>
              <c:strCache>
                <c:ptCount val="1"/>
                <c:pt idx="0">
                  <c:v> OR Residential </c:v>
                </c:pt>
              </c:strCache>
            </c:strRef>
          </c:tx>
          <c:spPr>
            <a:solidFill>
              <a:schemeClr val="accent1">
                <a:lumMod val="50000"/>
              </a:schemeClr>
            </a:solidFill>
            <a:ln>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Counts'!$C$2:$C$30</c:f>
              <c:numCache>
                <c:formatCode>_(* #,##0_);_(* \(#,##0\);_(* "-"??_);_(@_)</c:formatCode>
                <c:ptCount val="29"/>
                <c:pt idx="0">
                  <c:v>633305.02679604117</c:v>
                </c:pt>
                <c:pt idx="1">
                  <c:v>642297.33764103928</c:v>
                </c:pt>
                <c:pt idx="2">
                  <c:v>652269.55928444793</c:v>
                </c:pt>
                <c:pt idx="3">
                  <c:v>639899.72981771815</c:v>
                </c:pt>
                <c:pt idx="4">
                  <c:v>627529.90035098838</c:v>
                </c:pt>
                <c:pt idx="5">
                  <c:v>615160.0708842586</c:v>
                </c:pt>
                <c:pt idx="6">
                  <c:v>602790.24141752883</c:v>
                </c:pt>
                <c:pt idx="7">
                  <c:v>590420.41195079905</c:v>
                </c:pt>
                <c:pt idx="8">
                  <c:v>578050.58248406928</c:v>
                </c:pt>
                <c:pt idx="9">
                  <c:v>565680.75301733951</c:v>
                </c:pt>
                <c:pt idx="10">
                  <c:v>553310.92355060985</c:v>
                </c:pt>
                <c:pt idx="11">
                  <c:v>540941.09408388007</c:v>
                </c:pt>
                <c:pt idx="12">
                  <c:v>528571.26461715042</c:v>
                </c:pt>
                <c:pt idx="13">
                  <c:v>516201.4351504207</c:v>
                </c:pt>
                <c:pt idx="14">
                  <c:v>503831.60568369098</c:v>
                </c:pt>
                <c:pt idx="15">
                  <c:v>491461.77621696127</c:v>
                </c:pt>
                <c:pt idx="16">
                  <c:v>479091.94675023155</c:v>
                </c:pt>
                <c:pt idx="17">
                  <c:v>466722.11728350184</c:v>
                </c:pt>
                <c:pt idx="18">
                  <c:v>454352.28781677212</c:v>
                </c:pt>
                <c:pt idx="19">
                  <c:v>441982.45835004241</c:v>
                </c:pt>
                <c:pt idx="20">
                  <c:v>429612.62888331269</c:v>
                </c:pt>
                <c:pt idx="21">
                  <c:v>417242.79941658297</c:v>
                </c:pt>
                <c:pt idx="22">
                  <c:v>404872.96994985326</c:v>
                </c:pt>
                <c:pt idx="23">
                  <c:v>392503.14048312354</c:v>
                </c:pt>
                <c:pt idx="24">
                  <c:v>380133.31101639383</c:v>
                </c:pt>
                <c:pt idx="25">
                  <c:v>367763.48154966411</c:v>
                </c:pt>
                <c:pt idx="26">
                  <c:v>355393.65208293439</c:v>
                </c:pt>
                <c:pt idx="27">
                  <c:v>343023.82261620468</c:v>
                </c:pt>
                <c:pt idx="28">
                  <c:v>330653.99314947496</c:v>
                </c:pt>
              </c:numCache>
            </c:numRef>
          </c:val>
          <c:extLst>
            <c:ext xmlns:c16="http://schemas.microsoft.com/office/drawing/2014/chart" uri="{C3380CC4-5D6E-409C-BE32-E72D297353CC}">
              <c16:uniqueId val="{00000000-3E0C-435C-9134-CA1D1AB88B08}"/>
            </c:ext>
          </c:extLst>
        </c:ser>
        <c:ser>
          <c:idx val="2"/>
          <c:order val="1"/>
          <c:tx>
            <c:strRef>
              <c:f>'Customer Counts'!$D$1</c:f>
              <c:strCache>
                <c:ptCount val="1"/>
                <c:pt idx="0">
                  <c:v> OR Commercial </c:v>
                </c:pt>
              </c:strCache>
            </c:strRef>
          </c:tx>
          <c:spPr>
            <a:solidFill>
              <a:schemeClr val="accent1"/>
            </a:solidFill>
            <a:ln>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Counts'!$D$2:$D$30</c:f>
              <c:numCache>
                <c:formatCode>_(* #,##0_);_(* \(#,##0\);_(* "-"??_);_(@_)</c:formatCode>
                <c:ptCount val="29"/>
                <c:pt idx="0">
                  <c:v>60215.080223247081</c:v>
                </c:pt>
                <c:pt idx="1">
                  <c:v>60793.017467300058</c:v>
                </c:pt>
                <c:pt idx="2">
                  <c:v>61379.529285141893</c:v>
                </c:pt>
                <c:pt idx="3">
                  <c:v>60206.067046026081</c:v>
                </c:pt>
                <c:pt idx="4">
                  <c:v>59032.604806910269</c:v>
                </c:pt>
                <c:pt idx="5">
                  <c:v>57859.142567794457</c:v>
                </c:pt>
                <c:pt idx="6">
                  <c:v>56685.680328678645</c:v>
                </c:pt>
                <c:pt idx="7">
                  <c:v>55512.218089562833</c:v>
                </c:pt>
                <c:pt idx="8">
                  <c:v>54338.755850447022</c:v>
                </c:pt>
                <c:pt idx="9">
                  <c:v>53165.29361133121</c:v>
                </c:pt>
                <c:pt idx="10">
                  <c:v>51991.831372215398</c:v>
                </c:pt>
                <c:pt idx="11">
                  <c:v>50818.369133099586</c:v>
                </c:pt>
                <c:pt idx="12">
                  <c:v>49644.906893983774</c:v>
                </c:pt>
                <c:pt idx="13">
                  <c:v>48471.444654867963</c:v>
                </c:pt>
                <c:pt idx="14">
                  <c:v>47297.982415752151</c:v>
                </c:pt>
                <c:pt idx="15">
                  <c:v>46124.520176636339</c:v>
                </c:pt>
                <c:pt idx="16">
                  <c:v>44951.057937520527</c:v>
                </c:pt>
                <c:pt idx="17">
                  <c:v>43777.595698404715</c:v>
                </c:pt>
                <c:pt idx="18">
                  <c:v>42604.133459288903</c:v>
                </c:pt>
                <c:pt idx="19">
                  <c:v>41430.671220173092</c:v>
                </c:pt>
                <c:pt idx="20">
                  <c:v>40257.20898105728</c:v>
                </c:pt>
                <c:pt idx="21">
                  <c:v>39083.746741941468</c:v>
                </c:pt>
                <c:pt idx="22">
                  <c:v>37910.284502825656</c:v>
                </c:pt>
                <c:pt idx="23">
                  <c:v>36736.822263709844</c:v>
                </c:pt>
                <c:pt idx="24">
                  <c:v>35563.360024594032</c:v>
                </c:pt>
                <c:pt idx="25">
                  <c:v>34389.897785478221</c:v>
                </c:pt>
                <c:pt idx="26">
                  <c:v>33216.435546362409</c:v>
                </c:pt>
                <c:pt idx="27">
                  <c:v>32042.973307246597</c:v>
                </c:pt>
                <c:pt idx="28">
                  <c:v>30869.511068130785</c:v>
                </c:pt>
              </c:numCache>
            </c:numRef>
          </c:val>
          <c:extLst>
            <c:ext xmlns:c16="http://schemas.microsoft.com/office/drawing/2014/chart" uri="{C3380CC4-5D6E-409C-BE32-E72D297353CC}">
              <c16:uniqueId val="{00000001-3E0C-435C-9134-CA1D1AB88B08}"/>
            </c:ext>
          </c:extLst>
        </c:ser>
        <c:ser>
          <c:idx val="4"/>
          <c:order val="2"/>
          <c:tx>
            <c:strRef>
              <c:f>'Customer Counts'!$F$1</c:f>
              <c:strCache>
                <c:ptCount val="1"/>
                <c:pt idx="0">
                  <c:v> WA Residential </c:v>
                </c:pt>
              </c:strCache>
            </c:strRef>
          </c:tx>
          <c:spPr>
            <a:solidFill>
              <a:schemeClr val="accent2">
                <a:lumMod val="40000"/>
                <a:lumOff val="60000"/>
              </a:schemeClr>
            </a:solidFill>
            <a:ln w="25400">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Counts'!$F$2:$F$30</c:f>
              <c:numCache>
                <c:formatCode>_(* #,##0_);_(* \(#,##0\);_(* "-"??_);_(@_)</c:formatCode>
                <c:ptCount val="29"/>
                <c:pt idx="0">
                  <c:v>87132.058315087561</c:v>
                </c:pt>
                <c:pt idx="1">
                  <c:v>88521.392002054781</c:v>
                </c:pt>
                <c:pt idx="2">
                  <c:v>90247.271090178663</c:v>
                </c:pt>
                <c:pt idx="3">
                  <c:v>88591.048313959458</c:v>
                </c:pt>
                <c:pt idx="4">
                  <c:v>86934.825537740253</c:v>
                </c:pt>
                <c:pt idx="5">
                  <c:v>85278.602761521048</c:v>
                </c:pt>
                <c:pt idx="6">
                  <c:v>83622.379985301843</c:v>
                </c:pt>
                <c:pt idx="7">
                  <c:v>81966.157209082638</c:v>
                </c:pt>
                <c:pt idx="8">
                  <c:v>80309.934432863432</c:v>
                </c:pt>
                <c:pt idx="9">
                  <c:v>78653.711656644227</c:v>
                </c:pt>
                <c:pt idx="10">
                  <c:v>76997.488880425022</c:v>
                </c:pt>
                <c:pt idx="11">
                  <c:v>75341.266104205817</c:v>
                </c:pt>
                <c:pt idx="12">
                  <c:v>73685.043327986612</c:v>
                </c:pt>
                <c:pt idx="13">
                  <c:v>72028.820551767407</c:v>
                </c:pt>
                <c:pt idx="14">
                  <c:v>70372.597775548202</c:v>
                </c:pt>
                <c:pt idx="15">
                  <c:v>68716.374999328997</c:v>
                </c:pt>
                <c:pt idx="16">
                  <c:v>67060.152223109792</c:v>
                </c:pt>
                <c:pt idx="17">
                  <c:v>65403.929446890586</c:v>
                </c:pt>
                <c:pt idx="18">
                  <c:v>63747.706670671381</c:v>
                </c:pt>
                <c:pt idx="19">
                  <c:v>62091.483894452176</c:v>
                </c:pt>
                <c:pt idx="20">
                  <c:v>60435.261118232971</c:v>
                </c:pt>
                <c:pt idx="21">
                  <c:v>58779.038342013766</c:v>
                </c:pt>
                <c:pt idx="22">
                  <c:v>57122.815565794561</c:v>
                </c:pt>
                <c:pt idx="23">
                  <c:v>55466.592789575356</c:v>
                </c:pt>
                <c:pt idx="24">
                  <c:v>53810.370013356151</c:v>
                </c:pt>
                <c:pt idx="25">
                  <c:v>52154.147237136945</c:v>
                </c:pt>
                <c:pt idx="26">
                  <c:v>50497.92446091774</c:v>
                </c:pt>
                <c:pt idx="27">
                  <c:v>48841.701684698535</c:v>
                </c:pt>
                <c:pt idx="28">
                  <c:v>47185.47890847933</c:v>
                </c:pt>
              </c:numCache>
            </c:numRef>
          </c:val>
          <c:extLst>
            <c:ext xmlns:c16="http://schemas.microsoft.com/office/drawing/2014/chart" uri="{C3380CC4-5D6E-409C-BE32-E72D297353CC}">
              <c16:uniqueId val="{00000002-3E0C-435C-9134-CA1D1AB88B08}"/>
            </c:ext>
          </c:extLst>
        </c:ser>
        <c:ser>
          <c:idx val="5"/>
          <c:order val="3"/>
          <c:tx>
            <c:strRef>
              <c:f>'Customer Counts'!$G$1</c:f>
              <c:strCache>
                <c:ptCount val="1"/>
                <c:pt idx="0">
                  <c:v> WA Commercial </c:v>
                </c:pt>
              </c:strCache>
            </c:strRef>
          </c:tx>
          <c:spPr>
            <a:solidFill>
              <a:schemeClr val="accent2">
                <a:lumMod val="75000"/>
              </a:schemeClr>
            </a:solidFill>
            <a:ln w="25400">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Counts'!$G$2:$G$30</c:f>
              <c:numCache>
                <c:formatCode>_(* #,##0_);_(* \(#,##0\);_(* "-"??_);_(@_)</c:formatCode>
                <c:ptCount val="29"/>
                <c:pt idx="0">
                  <c:v>7418.9937229640291</c:v>
                </c:pt>
                <c:pt idx="1">
                  <c:v>7589.2064585253338</c:v>
                </c:pt>
                <c:pt idx="2">
                  <c:v>7773.0959911715263</c:v>
                </c:pt>
                <c:pt idx="3">
                  <c:v>7629.670810552986</c:v>
                </c:pt>
                <c:pt idx="4">
                  <c:v>7486.2456299344458</c:v>
                </c:pt>
                <c:pt idx="5">
                  <c:v>7342.8204493159055</c:v>
                </c:pt>
                <c:pt idx="6">
                  <c:v>7199.3952686973653</c:v>
                </c:pt>
                <c:pt idx="7">
                  <c:v>7055.970088078825</c:v>
                </c:pt>
                <c:pt idx="8">
                  <c:v>6912.5449074602848</c:v>
                </c:pt>
                <c:pt idx="9">
                  <c:v>6769.1197268417445</c:v>
                </c:pt>
                <c:pt idx="10">
                  <c:v>6625.6945462232043</c:v>
                </c:pt>
                <c:pt idx="11">
                  <c:v>6482.269365604664</c:v>
                </c:pt>
                <c:pt idx="12">
                  <c:v>6338.8441849861238</c:v>
                </c:pt>
                <c:pt idx="13">
                  <c:v>6195.4190043675835</c:v>
                </c:pt>
                <c:pt idx="14">
                  <c:v>6051.9938237490433</c:v>
                </c:pt>
                <c:pt idx="15">
                  <c:v>5908.568643130503</c:v>
                </c:pt>
                <c:pt idx="16">
                  <c:v>5765.1434625119628</c:v>
                </c:pt>
                <c:pt idx="17">
                  <c:v>5621.7182818934225</c:v>
                </c:pt>
                <c:pt idx="18">
                  <c:v>5478.2931012748822</c:v>
                </c:pt>
                <c:pt idx="19">
                  <c:v>5334.867920656342</c:v>
                </c:pt>
                <c:pt idx="20">
                  <c:v>5191.4427400378017</c:v>
                </c:pt>
                <c:pt idx="21">
                  <c:v>5048.0175594192615</c:v>
                </c:pt>
                <c:pt idx="22">
                  <c:v>4904.5923788007212</c:v>
                </c:pt>
                <c:pt idx="23">
                  <c:v>4761.167198182181</c:v>
                </c:pt>
                <c:pt idx="24">
                  <c:v>4617.7420175636398</c:v>
                </c:pt>
                <c:pt idx="25">
                  <c:v>4474.3168369450996</c:v>
                </c:pt>
                <c:pt idx="26">
                  <c:v>4330.8916563265593</c:v>
                </c:pt>
                <c:pt idx="27">
                  <c:v>4187.4664757080182</c:v>
                </c:pt>
                <c:pt idx="28">
                  <c:v>4044.0412950894774</c:v>
                </c:pt>
              </c:numCache>
            </c:numRef>
          </c:val>
          <c:extLst>
            <c:ext xmlns:c16="http://schemas.microsoft.com/office/drawing/2014/chart" uri="{C3380CC4-5D6E-409C-BE32-E72D297353CC}">
              <c16:uniqueId val="{00000003-3E0C-435C-9134-CA1D1AB88B08}"/>
            </c:ext>
          </c:extLst>
        </c:ser>
        <c:dLbls>
          <c:showLegendKey val="0"/>
          <c:showVal val="0"/>
          <c:showCatName val="0"/>
          <c:showSerName val="0"/>
          <c:showPercent val="0"/>
          <c:showBubbleSize val="0"/>
        </c:dLbls>
        <c:axId val="1022638608"/>
        <c:axId val="1022617392"/>
      </c:areaChart>
      <c:lineChart>
        <c:grouping val="standard"/>
        <c:varyColors val="0"/>
        <c:ser>
          <c:idx val="0"/>
          <c:order val="4"/>
          <c:tx>
            <c:v>Reference Case</c:v>
          </c:tx>
          <c:spPr>
            <a:ln w="22225" cap="rnd">
              <a:solidFill>
                <a:schemeClr val="tx1"/>
              </a:solidFill>
              <a:prstDash val="dash"/>
              <a:round/>
            </a:ln>
            <a:effectLst/>
          </c:spPr>
          <c:marker>
            <c:symbol val="none"/>
          </c:marker>
          <c:val>
            <c:numRef>
              <c:f>'Customer Counts'!$I$2:$I$30</c:f>
              <c:numCache>
                <c:formatCode>#,##0</c:formatCode>
                <c:ptCount val="29"/>
                <c:pt idx="0">
                  <c:v>788071.15905733989</c:v>
                </c:pt>
                <c:pt idx="1">
                  <c:v>799200.95356891945</c:v>
                </c:pt>
                <c:pt idx="2">
                  <c:v>811669.45565093996</c:v>
                </c:pt>
                <c:pt idx="3">
                  <c:v>824086.66752194182</c:v>
                </c:pt>
                <c:pt idx="4">
                  <c:v>836971.20593449508</c:v>
                </c:pt>
                <c:pt idx="5">
                  <c:v>849637.1673833899</c:v>
                </c:pt>
                <c:pt idx="6">
                  <c:v>862156.42554444796</c:v>
                </c:pt>
                <c:pt idx="7">
                  <c:v>874544.42089576065</c:v>
                </c:pt>
                <c:pt idx="8">
                  <c:v>886794.11344697746</c:v>
                </c:pt>
                <c:pt idx="9">
                  <c:v>898877.06867187889</c:v>
                </c:pt>
                <c:pt idx="10">
                  <c:v>910535.44451247039</c:v>
                </c:pt>
                <c:pt idx="11">
                  <c:v>921293.7495523789</c:v>
                </c:pt>
                <c:pt idx="12">
                  <c:v>931400.58382594481</c:v>
                </c:pt>
                <c:pt idx="13">
                  <c:v>941379.19883616455</c:v>
                </c:pt>
                <c:pt idx="14">
                  <c:v>951122.51211172587</c:v>
                </c:pt>
                <c:pt idx="15">
                  <c:v>960379.02049907495</c:v>
                </c:pt>
                <c:pt idx="16">
                  <c:v>969243.40881534724</c:v>
                </c:pt>
                <c:pt idx="17">
                  <c:v>977942.21102676226</c:v>
                </c:pt>
                <c:pt idx="18">
                  <c:v>986504.20522953232</c:v>
                </c:pt>
                <c:pt idx="19">
                  <c:v>994950.80180719646</c:v>
                </c:pt>
                <c:pt idx="20">
                  <c:v>1003332.3333807004</c:v>
                </c:pt>
                <c:pt idx="21">
                  <c:v>1011629.986562119</c:v>
                </c:pt>
                <c:pt idx="22">
                  <c:v>1019798.9119379279</c:v>
                </c:pt>
                <c:pt idx="23">
                  <c:v>1027833.4047786167</c:v>
                </c:pt>
                <c:pt idx="24">
                  <c:v>1035734.0553945448</c:v>
                </c:pt>
                <c:pt idx="25">
                  <c:v>1043500.9562537975</c:v>
                </c:pt>
                <c:pt idx="26">
                  <c:v>1051134.4329828476</c:v>
                </c:pt>
                <c:pt idx="27">
                  <c:v>1058634.1371535107</c:v>
                </c:pt>
                <c:pt idx="28">
                  <c:v>1066000.7623186475</c:v>
                </c:pt>
              </c:numCache>
            </c:numRef>
          </c:val>
          <c:smooth val="0"/>
          <c:extLst>
            <c:ext xmlns:c16="http://schemas.microsoft.com/office/drawing/2014/chart" uri="{C3380CC4-5D6E-409C-BE32-E72D297353CC}">
              <c16:uniqueId val="{00000004-3E0C-435C-9134-CA1D1AB88B08}"/>
            </c:ext>
          </c:extLst>
        </c:ser>
        <c:dLbls>
          <c:showLegendKey val="0"/>
          <c:showVal val="0"/>
          <c:showCatName val="0"/>
          <c:showSerName val="0"/>
          <c:showPercent val="0"/>
          <c:showBubbleSize val="0"/>
        </c:dLbls>
        <c:marker val="1"/>
        <c:smooth val="0"/>
        <c:axId val="1022638608"/>
        <c:axId val="1022617392"/>
      </c:line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1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majorUnit val="200000"/>
      </c:valAx>
      <c:spPr>
        <a:noFill/>
        <a:ln>
          <a:noFill/>
        </a:ln>
        <a:effectLst/>
      </c:spPr>
    </c:plotArea>
    <c:legend>
      <c:legendPos val="b"/>
      <c:layout>
        <c:manualLayout>
          <c:xMode val="edge"/>
          <c:yMode val="edge"/>
          <c:x val="0"/>
          <c:y val="0.84958620073355418"/>
          <c:w val="1"/>
          <c:h val="0.14726480096899394"/>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System Resource Stack</a:t>
            </a:r>
            <a:r>
              <a:rPr lang="en-US" b="1" baseline="0">
                <a:solidFill>
                  <a:schemeClr val="bg1"/>
                </a:solidFill>
              </a:rPr>
              <a:t> - </a:t>
            </a:r>
            <a:r>
              <a:rPr lang="en-US" b="1">
                <a:solidFill>
                  <a:schemeClr val="bg1"/>
                </a:solidFill>
              </a:rPr>
              <a:t>Daily</a:t>
            </a:r>
            <a:r>
              <a:rPr lang="en-US" b="1" baseline="0">
                <a:solidFill>
                  <a:schemeClr val="bg1"/>
                </a:solidFill>
              </a:rPr>
              <a:t> Capacity</a:t>
            </a:r>
            <a:endParaRPr lang="en-US" b="1">
              <a:solidFill>
                <a:schemeClr val="bg1"/>
              </a:solidFill>
            </a:endParaRPr>
          </a:p>
        </c:rich>
      </c:tx>
      <c:layout>
        <c:manualLayout>
          <c:xMode val="edge"/>
          <c:yMode val="edge"/>
          <c:x val="0.1190588676415448"/>
          <c:y val="2.9214559386973177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2833796655168553"/>
          <c:y val="0.10601700576540467"/>
          <c:w val="0.59135170603674536"/>
          <c:h val="0.71206219014289884"/>
        </c:manualLayout>
      </c:layout>
      <c:areaChart>
        <c:grouping val="stacked"/>
        <c:varyColors val="0"/>
        <c:ser>
          <c:idx val="9"/>
          <c:order val="1"/>
          <c:tx>
            <c:strRef>
              <c:f>'Capacity Data'!$U$5</c:f>
              <c:strCache>
                <c:ptCount val="1"/>
                <c:pt idx="0">
                  <c:v>Existing Supply-side Capacity</c:v>
                </c:pt>
              </c:strCache>
            </c:strRef>
          </c:tx>
          <c:spPr>
            <a:solidFill>
              <a:schemeClr val="bg2"/>
            </a:solidFill>
            <a:ln w="25400">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Data'!$U$6:$U$34</c15:sqref>
                  </c15:fullRef>
                </c:ext>
              </c:extLst>
              <c:f>('Capacity Data'!$U$6,'Capacity Data'!$U$8:$U$34)</c:f>
              <c:numCache>
                <c:formatCode>_(* #,##0_);_(* \(#,##0\);_(* "-"??_);_(@_)</c:formatCode>
                <c:ptCount val="28"/>
                <c:pt idx="0">
                  <c:v>990934.07850000006</c:v>
                </c:pt>
                <c:pt idx="1">
                  <c:v>990934.07850000006</c:v>
                </c:pt>
                <c:pt idx="2">
                  <c:v>990934.07850000006</c:v>
                </c:pt>
                <c:pt idx="3">
                  <c:v>990934.07850000006</c:v>
                </c:pt>
                <c:pt idx="4">
                  <c:v>799434.07850000006</c:v>
                </c:pt>
                <c:pt idx="5">
                  <c:v>799434.07850000006</c:v>
                </c:pt>
                <c:pt idx="6">
                  <c:v>799434.07850000006</c:v>
                </c:pt>
                <c:pt idx="7">
                  <c:v>799434.07850000006</c:v>
                </c:pt>
                <c:pt idx="8">
                  <c:v>799434.07850000006</c:v>
                </c:pt>
                <c:pt idx="9">
                  <c:v>799434.07850000006</c:v>
                </c:pt>
                <c:pt idx="10">
                  <c:v>799434.07850000006</c:v>
                </c:pt>
                <c:pt idx="11">
                  <c:v>799434.07850000006</c:v>
                </c:pt>
                <c:pt idx="12">
                  <c:v>799434.07850000006</c:v>
                </c:pt>
                <c:pt idx="13">
                  <c:v>799434.07850000006</c:v>
                </c:pt>
                <c:pt idx="14">
                  <c:v>799434.07850000006</c:v>
                </c:pt>
                <c:pt idx="15">
                  <c:v>799434.07850000006</c:v>
                </c:pt>
                <c:pt idx="16">
                  <c:v>799434.07850000006</c:v>
                </c:pt>
                <c:pt idx="17">
                  <c:v>799434.07850000006</c:v>
                </c:pt>
                <c:pt idx="18">
                  <c:v>799434.07850000006</c:v>
                </c:pt>
                <c:pt idx="19">
                  <c:v>799434.07850000006</c:v>
                </c:pt>
                <c:pt idx="20">
                  <c:v>799434.07850000006</c:v>
                </c:pt>
                <c:pt idx="21">
                  <c:v>799434.07850000006</c:v>
                </c:pt>
                <c:pt idx="22">
                  <c:v>799434.07850000006</c:v>
                </c:pt>
                <c:pt idx="23">
                  <c:v>799434.07850000006</c:v>
                </c:pt>
                <c:pt idx="24">
                  <c:v>799434.07850000006</c:v>
                </c:pt>
                <c:pt idx="25">
                  <c:v>799434.07850000006</c:v>
                </c:pt>
                <c:pt idx="26">
                  <c:v>799434.07850000006</c:v>
                </c:pt>
                <c:pt idx="27">
                  <c:v>799434.07850000006</c:v>
                </c:pt>
              </c:numCache>
            </c:numRef>
          </c:val>
          <c:extLst>
            <c:ext xmlns:c16="http://schemas.microsoft.com/office/drawing/2014/chart" uri="{C3380CC4-5D6E-409C-BE32-E72D297353CC}">
              <c16:uniqueId val="{00000000-0790-4BFF-B43F-9FD4751E9AE6}"/>
            </c:ext>
          </c:extLst>
        </c:ser>
        <c:ser>
          <c:idx val="12"/>
          <c:order val="2"/>
          <c:tx>
            <c:strRef>
              <c:f>'Capacity Data'!$W$5</c:f>
              <c:strCache>
                <c:ptCount val="1"/>
                <c:pt idx="0">
                  <c:v>Existing Demand-Response</c:v>
                </c:pt>
              </c:strCache>
            </c:strRef>
          </c:tx>
          <c:spPr>
            <a:solidFill>
              <a:srgbClr val="FFD456"/>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Data'!$W$6:$W$34</c15:sqref>
                  </c15:fullRef>
                </c:ext>
              </c:extLst>
              <c:f>('Capacity Data'!$W$6,'Capacity Data'!$W$8:$W$34)</c:f>
              <c:numCache>
                <c:formatCode>_(* #,##0_);_(* \(#,##0\);_(* "-"??_);_(@_)</c:formatCode>
                <c:ptCount val="28"/>
                <c:pt idx="0">
                  <c:v>24000</c:v>
                </c:pt>
                <c:pt idx="1">
                  <c:v>24000</c:v>
                </c:pt>
                <c:pt idx="2">
                  <c:v>24000</c:v>
                </c:pt>
                <c:pt idx="3">
                  <c:v>24000</c:v>
                </c:pt>
                <c:pt idx="4">
                  <c:v>24000</c:v>
                </c:pt>
                <c:pt idx="5">
                  <c:v>24000</c:v>
                </c:pt>
                <c:pt idx="6">
                  <c:v>24000</c:v>
                </c:pt>
                <c:pt idx="7">
                  <c:v>24000</c:v>
                </c:pt>
                <c:pt idx="8">
                  <c:v>24000</c:v>
                </c:pt>
                <c:pt idx="9">
                  <c:v>24000</c:v>
                </c:pt>
                <c:pt idx="10">
                  <c:v>24000</c:v>
                </c:pt>
                <c:pt idx="11">
                  <c:v>24000</c:v>
                </c:pt>
                <c:pt idx="12">
                  <c:v>24000</c:v>
                </c:pt>
                <c:pt idx="13">
                  <c:v>24000</c:v>
                </c:pt>
                <c:pt idx="14">
                  <c:v>24000</c:v>
                </c:pt>
                <c:pt idx="15">
                  <c:v>24000</c:v>
                </c:pt>
                <c:pt idx="16">
                  <c:v>24000</c:v>
                </c:pt>
                <c:pt idx="17">
                  <c:v>24000</c:v>
                </c:pt>
                <c:pt idx="18">
                  <c:v>24000</c:v>
                </c:pt>
                <c:pt idx="19">
                  <c:v>24000</c:v>
                </c:pt>
                <c:pt idx="20">
                  <c:v>24000</c:v>
                </c:pt>
                <c:pt idx="21">
                  <c:v>24000</c:v>
                </c:pt>
                <c:pt idx="22">
                  <c:v>24000</c:v>
                </c:pt>
                <c:pt idx="23">
                  <c:v>24000</c:v>
                </c:pt>
                <c:pt idx="24">
                  <c:v>24000</c:v>
                </c:pt>
                <c:pt idx="25">
                  <c:v>24000</c:v>
                </c:pt>
                <c:pt idx="26">
                  <c:v>24000</c:v>
                </c:pt>
                <c:pt idx="27">
                  <c:v>24000</c:v>
                </c:pt>
              </c:numCache>
            </c:numRef>
          </c:val>
          <c:extLst>
            <c:ext xmlns:c16="http://schemas.microsoft.com/office/drawing/2014/chart" uri="{C3380CC4-5D6E-409C-BE32-E72D297353CC}">
              <c16:uniqueId val="{00000001-0790-4BFF-B43F-9FD4751E9AE6}"/>
            </c:ext>
          </c:extLst>
        </c:ser>
        <c:ser>
          <c:idx val="1"/>
          <c:order val="3"/>
          <c:tx>
            <c:strRef>
              <c:f>'Capacity Data'!$AC$5</c:f>
              <c:strCache>
                <c:ptCount val="1"/>
                <c:pt idx="0">
                  <c:v>Cold Box</c:v>
                </c:pt>
              </c:strCache>
            </c:strRef>
          </c:tx>
          <c:spPr>
            <a:solidFill>
              <a:srgbClr val="E26714"/>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Data'!$AC$6:$AC$34</c15:sqref>
                  </c15:fullRef>
                </c:ext>
              </c:extLst>
              <c:f>('Capacity Data'!$AC$6,'Capacity Data'!$AC$8:$AC$34)</c:f>
              <c:numCache>
                <c:formatCode>_(* #,##0_);_(* \(#,##0\);_(* "-"??_);_(@_)</c:formatCode>
                <c:ptCount val="28"/>
                <c:pt idx="0">
                  <c:v>0</c:v>
                </c:pt>
                <c:pt idx="1">
                  <c:v>0</c:v>
                </c:pt>
                <c:pt idx="2">
                  <c:v>0</c:v>
                </c:pt>
                <c:pt idx="3">
                  <c:v>0</c:v>
                </c:pt>
                <c:pt idx="4">
                  <c:v>130800.00000057208</c:v>
                </c:pt>
                <c:pt idx="5">
                  <c:v>130800.00000057208</c:v>
                </c:pt>
                <c:pt idx="6">
                  <c:v>130800.00000057208</c:v>
                </c:pt>
                <c:pt idx="7">
                  <c:v>130800.00000057208</c:v>
                </c:pt>
                <c:pt idx="8">
                  <c:v>130800.00000057208</c:v>
                </c:pt>
                <c:pt idx="9">
                  <c:v>130800.00000057208</c:v>
                </c:pt>
                <c:pt idx="10">
                  <c:v>130800.00000057208</c:v>
                </c:pt>
                <c:pt idx="11">
                  <c:v>130800.00000057208</c:v>
                </c:pt>
                <c:pt idx="12">
                  <c:v>130800.00000057208</c:v>
                </c:pt>
                <c:pt idx="13">
                  <c:v>130800.00000057208</c:v>
                </c:pt>
                <c:pt idx="14">
                  <c:v>130800.00000057208</c:v>
                </c:pt>
                <c:pt idx="15">
                  <c:v>130800.00000057208</c:v>
                </c:pt>
                <c:pt idx="16">
                  <c:v>130800.00000057208</c:v>
                </c:pt>
                <c:pt idx="17">
                  <c:v>130800.00000057208</c:v>
                </c:pt>
                <c:pt idx="18">
                  <c:v>130800.00000057208</c:v>
                </c:pt>
                <c:pt idx="19">
                  <c:v>130800.00000057208</c:v>
                </c:pt>
                <c:pt idx="20">
                  <c:v>130800.00000057208</c:v>
                </c:pt>
                <c:pt idx="21">
                  <c:v>130800.00000057208</c:v>
                </c:pt>
                <c:pt idx="22">
                  <c:v>130800.00000057208</c:v>
                </c:pt>
                <c:pt idx="23">
                  <c:v>130800.00000057208</c:v>
                </c:pt>
                <c:pt idx="24">
                  <c:v>130800.00000057208</c:v>
                </c:pt>
                <c:pt idx="25">
                  <c:v>130800.00000057208</c:v>
                </c:pt>
                <c:pt idx="26">
                  <c:v>130800.00000057208</c:v>
                </c:pt>
                <c:pt idx="27">
                  <c:v>130800.00000057208</c:v>
                </c:pt>
              </c:numCache>
            </c:numRef>
          </c:val>
          <c:extLst>
            <c:ext xmlns:c16="http://schemas.microsoft.com/office/drawing/2014/chart" uri="{C3380CC4-5D6E-409C-BE32-E72D297353CC}">
              <c16:uniqueId val="{00000002-0790-4BFF-B43F-9FD4751E9AE6}"/>
            </c:ext>
          </c:extLst>
        </c:ser>
        <c:ser>
          <c:idx val="0"/>
          <c:order val="4"/>
          <c:tx>
            <c:strRef>
              <c:f>'Capacity Data'!$AB$5</c:f>
              <c:strCache>
                <c:ptCount val="1"/>
                <c:pt idx="0">
                  <c:v>Mist Recall</c:v>
                </c:pt>
              </c:strCache>
            </c:strRef>
          </c:tx>
          <c:spPr>
            <a:solidFill>
              <a:srgbClr val="0082B0"/>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Data'!$AB$6:$AB$34</c15:sqref>
                  </c15:fullRef>
                </c:ext>
              </c:extLst>
              <c:f>('Capacity Data'!$AB$6,'Capacity Data'!$AB$8:$AB$34)</c:f>
              <c:numCache>
                <c:formatCode>_(* #,##0_);_(* \(#,##0\);_(* "-"??_);_(@_)</c:formatCode>
                <c:ptCount val="28"/>
                <c:pt idx="0">
                  <c:v>0</c:v>
                </c:pt>
                <c:pt idx="1">
                  <c:v>27022.00348152536</c:v>
                </c:pt>
                <c:pt idx="2">
                  <c:v>27022.00348152536</c:v>
                </c:pt>
                <c:pt idx="3">
                  <c:v>27022.00348152536</c:v>
                </c:pt>
                <c:pt idx="4">
                  <c:v>27022.00348152536</c:v>
                </c:pt>
                <c:pt idx="5">
                  <c:v>27022.00348152536</c:v>
                </c:pt>
                <c:pt idx="6">
                  <c:v>27022.00348152536</c:v>
                </c:pt>
                <c:pt idx="7">
                  <c:v>27022.00348152536</c:v>
                </c:pt>
                <c:pt idx="8">
                  <c:v>27022.00348152536</c:v>
                </c:pt>
                <c:pt idx="9">
                  <c:v>27022.00348152536</c:v>
                </c:pt>
                <c:pt idx="10">
                  <c:v>27022.00348152536</c:v>
                </c:pt>
                <c:pt idx="11">
                  <c:v>27022.00348152536</c:v>
                </c:pt>
                <c:pt idx="12">
                  <c:v>27022.00348152536</c:v>
                </c:pt>
                <c:pt idx="13">
                  <c:v>27022.00348152536</c:v>
                </c:pt>
                <c:pt idx="14">
                  <c:v>27022.00348152536</c:v>
                </c:pt>
                <c:pt idx="15">
                  <c:v>27022.00348152536</c:v>
                </c:pt>
                <c:pt idx="16">
                  <c:v>27022.00348152536</c:v>
                </c:pt>
                <c:pt idx="17">
                  <c:v>27022.00348152536</c:v>
                </c:pt>
                <c:pt idx="18">
                  <c:v>27022.00348152536</c:v>
                </c:pt>
                <c:pt idx="19">
                  <c:v>27022.00348152536</c:v>
                </c:pt>
                <c:pt idx="20">
                  <c:v>27022.00348152536</c:v>
                </c:pt>
                <c:pt idx="21">
                  <c:v>27022.00348152536</c:v>
                </c:pt>
                <c:pt idx="22">
                  <c:v>27022.00348152536</c:v>
                </c:pt>
                <c:pt idx="23">
                  <c:v>27022.00348152536</c:v>
                </c:pt>
                <c:pt idx="24">
                  <c:v>27022.00348152536</c:v>
                </c:pt>
                <c:pt idx="25">
                  <c:v>27022.00348152536</c:v>
                </c:pt>
                <c:pt idx="26">
                  <c:v>27022.00348152536</c:v>
                </c:pt>
                <c:pt idx="27">
                  <c:v>27022.00348152536</c:v>
                </c:pt>
              </c:numCache>
            </c:numRef>
          </c:val>
          <c:extLst>
            <c:ext xmlns:c16="http://schemas.microsoft.com/office/drawing/2014/chart" uri="{C3380CC4-5D6E-409C-BE32-E72D297353CC}">
              <c16:uniqueId val="{00000003-0790-4BFF-B43F-9FD4751E9AE6}"/>
            </c:ext>
          </c:extLst>
        </c:ser>
        <c:dLbls>
          <c:showLegendKey val="0"/>
          <c:showVal val="0"/>
          <c:showCatName val="0"/>
          <c:showSerName val="0"/>
          <c:showPercent val="0"/>
          <c:showBubbleSize val="0"/>
        </c:dLbls>
        <c:axId val="320888351"/>
        <c:axId val="320890015"/>
      </c:areaChart>
      <c:lineChart>
        <c:grouping val="standard"/>
        <c:varyColors val="0"/>
        <c:ser>
          <c:idx val="10"/>
          <c:order val="0"/>
          <c:tx>
            <c:strRef>
              <c:f>'Capacity Data'!$Z$5</c:f>
              <c:strCache>
                <c:ptCount val="1"/>
                <c:pt idx="0">
                  <c:v>Existing Resource Stack</c:v>
                </c:pt>
              </c:strCache>
            </c:strRef>
          </c:tx>
          <c:spPr>
            <a:ln w="22225" cap="sq">
              <a:solidFill>
                <a:schemeClr val="tx1"/>
              </a:solidFill>
              <a:prstDash val="sysDot"/>
              <a:round/>
            </a:ln>
            <a:effectLst/>
          </c:spPr>
          <c:marker>
            <c:symbol val="none"/>
          </c:marke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Data'!$Z$6:$Z$34</c15:sqref>
                  </c15:fullRef>
                </c:ext>
              </c:extLst>
              <c:f>('Capacity Data'!$Z$6,'Capacity Data'!$Z$8:$Z$34)</c:f>
              <c:numCache>
                <c:formatCode>_(* #,##0_);_(* \(#,##0\);_(* "-"??_);_(@_)</c:formatCode>
                <c:ptCount val="28"/>
                <c:pt idx="0">
                  <c:v>1014934.0785000001</c:v>
                </c:pt>
                <c:pt idx="1">
                  <c:v>1014934.0785000001</c:v>
                </c:pt>
                <c:pt idx="2">
                  <c:v>1014934.0785000001</c:v>
                </c:pt>
                <c:pt idx="3">
                  <c:v>1014934.0785000001</c:v>
                </c:pt>
                <c:pt idx="4">
                  <c:v>823434.07850000006</c:v>
                </c:pt>
                <c:pt idx="5">
                  <c:v>823434.07850000006</c:v>
                </c:pt>
                <c:pt idx="6">
                  <c:v>823434.07850000006</c:v>
                </c:pt>
                <c:pt idx="7">
                  <c:v>823434.07850000006</c:v>
                </c:pt>
                <c:pt idx="8">
                  <c:v>823434.07850000006</c:v>
                </c:pt>
                <c:pt idx="9">
                  <c:v>823434.07850000006</c:v>
                </c:pt>
                <c:pt idx="10">
                  <c:v>823434.07850000006</c:v>
                </c:pt>
                <c:pt idx="11">
                  <c:v>823434.07850000006</c:v>
                </c:pt>
                <c:pt idx="12">
                  <c:v>823434.07850000006</c:v>
                </c:pt>
                <c:pt idx="13">
                  <c:v>823434.07850000006</c:v>
                </c:pt>
                <c:pt idx="14">
                  <c:v>823434.07850000006</c:v>
                </c:pt>
                <c:pt idx="15">
                  <c:v>823434.07850000006</c:v>
                </c:pt>
                <c:pt idx="16">
                  <c:v>823434.07850000006</c:v>
                </c:pt>
                <c:pt idx="17">
                  <c:v>823434.07850000006</c:v>
                </c:pt>
                <c:pt idx="18">
                  <c:v>823434.07850000006</c:v>
                </c:pt>
                <c:pt idx="19">
                  <c:v>823434.07850000006</c:v>
                </c:pt>
                <c:pt idx="20">
                  <c:v>823434.07850000006</c:v>
                </c:pt>
                <c:pt idx="21">
                  <c:v>823434.07850000006</c:v>
                </c:pt>
                <c:pt idx="22">
                  <c:v>823434.07850000006</c:v>
                </c:pt>
                <c:pt idx="23">
                  <c:v>823434.07850000006</c:v>
                </c:pt>
                <c:pt idx="24">
                  <c:v>823434.07850000006</c:v>
                </c:pt>
                <c:pt idx="25">
                  <c:v>823434.07850000006</c:v>
                </c:pt>
                <c:pt idx="26">
                  <c:v>823434.07850000006</c:v>
                </c:pt>
                <c:pt idx="27">
                  <c:v>823434.07850000006</c:v>
                </c:pt>
              </c:numCache>
            </c:numRef>
          </c:val>
          <c:smooth val="0"/>
          <c:extLst>
            <c:ext xmlns:c16="http://schemas.microsoft.com/office/drawing/2014/chart" uri="{C3380CC4-5D6E-409C-BE32-E72D297353CC}">
              <c16:uniqueId val="{00000004-0790-4BFF-B43F-9FD4751E9AE6}"/>
            </c:ext>
          </c:extLst>
        </c:ser>
        <c:dLbls>
          <c:showLegendKey val="0"/>
          <c:showVal val="0"/>
          <c:showCatName val="0"/>
          <c:showSerName val="0"/>
          <c:showPercent val="0"/>
          <c:showBubbleSize val="0"/>
        </c:dLbls>
        <c:marker val="1"/>
        <c:smooth val="0"/>
        <c:axId val="320888351"/>
        <c:axId val="320890015"/>
      </c:lineChart>
      <c:catAx>
        <c:axId val="320888351"/>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20890015"/>
        <c:crosses val="autoZero"/>
        <c:auto val="1"/>
        <c:lblAlgn val="ctr"/>
        <c:lblOffset val="100"/>
        <c:noMultiLvlLbl val="0"/>
      </c:catAx>
      <c:valAx>
        <c:axId val="320890015"/>
        <c:scaling>
          <c:orientation val="minMax"/>
          <c:max val="1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Dth / day</a:t>
                </a:r>
              </a:p>
            </c:rich>
          </c:tx>
          <c:layout>
            <c:manualLayout>
              <c:xMode val="edge"/>
              <c:yMode val="edge"/>
              <c:x val="3.7689091540800829E-3"/>
              <c:y val="0.3130148339634717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20888351"/>
        <c:crosses val="autoZero"/>
        <c:crossBetween val="midCat"/>
      </c:valAx>
      <c:spPr>
        <a:noFill/>
        <a:ln>
          <a:solidFill>
            <a:schemeClr val="bg2"/>
          </a:solidFill>
        </a:ln>
        <a:effectLst/>
      </c:spPr>
    </c:plotArea>
    <c:legend>
      <c:legendPos val="r"/>
      <c:layout>
        <c:manualLayout>
          <c:xMode val="edge"/>
          <c:yMode val="edge"/>
          <c:x val="0.72612079740032498"/>
          <c:y val="5.0282881306503366E-2"/>
          <c:w val="0.25800915510561179"/>
          <c:h val="0.91491870807815689"/>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System Resource Stack</a:t>
            </a:r>
            <a:r>
              <a:rPr lang="en-US" b="1" baseline="0">
                <a:solidFill>
                  <a:schemeClr val="bg1"/>
                </a:solidFill>
              </a:rPr>
              <a:t> - </a:t>
            </a:r>
            <a:r>
              <a:rPr lang="en-US" b="1">
                <a:solidFill>
                  <a:schemeClr val="bg1"/>
                </a:solidFill>
              </a:rPr>
              <a:t>Daily</a:t>
            </a:r>
            <a:r>
              <a:rPr lang="en-US" b="1" baseline="0">
                <a:solidFill>
                  <a:schemeClr val="bg1"/>
                </a:solidFill>
              </a:rPr>
              <a:t> Capacity</a:t>
            </a:r>
            <a:endParaRPr lang="en-US" b="1">
              <a:solidFill>
                <a:schemeClr val="bg1"/>
              </a:solidFill>
            </a:endParaRPr>
          </a:p>
        </c:rich>
      </c:tx>
      <c:layout>
        <c:manualLayout>
          <c:xMode val="edge"/>
          <c:yMode val="edge"/>
          <c:x val="0.1190588676415448"/>
          <c:y val="2.9214559386973177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2833796655168553"/>
          <c:y val="0.10601700576540467"/>
          <c:w val="0.59135170603674536"/>
          <c:h val="0.71206219014289884"/>
        </c:manualLayout>
      </c:layout>
      <c:areaChart>
        <c:grouping val="stacked"/>
        <c:varyColors val="0"/>
        <c:ser>
          <c:idx val="9"/>
          <c:order val="1"/>
          <c:tx>
            <c:strRef>
              <c:f>'Capacity Data'!$U$5</c:f>
              <c:strCache>
                <c:ptCount val="1"/>
                <c:pt idx="0">
                  <c:v>Existing Supply-side Capacity</c:v>
                </c:pt>
              </c:strCache>
            </c:strRef>
          </c:tx>
          <c:spPr>
            <a:solidFill>
              <a:schemeClr val="bg2"/>
            </a:solidFill>
            <a:ln w="25400">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Data'!$U$6:$U$34</c15:sqref>
                  </c15:fullRef>
                </c:ext>
              </c:extLst>
              <c:f>('Capacity Data'!$U$6,'Capacity Data'!$U$8:$U$34)</c:f>
              <c:numCache>
                <c:formatCode>_(* #,##0_);_(* \(#,##0\);_(* "-"??_);_(@_)</c:formatCode>
                <c:ptCount val="28"/>
                <c:pt idx="0">
                  <c:v>990934.07850000006</c:v>
                </c:pt>
                <c:pt idx="1">
                  <c:v>990934.07850000006</c:v>
                </c:pt>
                <c:pt idx="2">
                  <c:v>990934.07850000006</c:v>
                </c:pt>
                <c:pt idx="3">
                  <c:v>990934.07850000006</c:v>
                </c:pt>
                <c:pt idx="4">
                  <c:v>799434.07850000006</c:v>
                </c:pt>
                <c:pt idx="5">
                  <c:v>799434.07850000006</c:v>
                </c:pt>
                <c:pt idx="6">
                  <c:v>799434.07850000006</c:v>
                </c:pt>
                <c:pt idx="7">
                  <c:v>799434.07850000006</c:v>
                </c:pt>
                <c:pt idx="8">
                  <c:v>799434.07850000006</c:v>
                </c:pt>
                <c:pt idx="9">
                  <c:v>799434.07850000006</c:v>
                </c:pt>
                <c:pt idx="10">
                  <c:v>799434.07850000006</c:v>
                </c:pt>
                <c:pt idx="11">
                  <c:v>799434.07850000006</c:v>
                </c:pt>
                <c:pt idx="12">
                  <c:v>799434.07850000006</c:v>
                </c:pt>
                <c:pt idx="13">
                  <c:v>799434.07850000006</c:v>
                </c:pt>
                <c:pt idx="14">
                  <c:v>799434.07850000006</c:v>
                </c:pt>
                <c:pt idx="15">
                  <c:v>799434.07850000006</c:v>
                </c:pt>
                <c:pt idx="16">
                  <c:v>799434.07850000006</c:v>
                </c:pt>
                <c:pt idx="17">
                  <c:v>799434.07850000006</c:v>
                </c:pt>
                <c:pt idx="18">
                  <c:v>799434.07850000006</c:v>
                </c:pt>
                <c:pt idx="19">
                  <c:v>799434.07850000006</c:v>
                </c:pt>
                <c:pt idx="20">
                  <c:v>799434.07850000006</c:v>
                </c:pt>
                <c:pt idx="21">
                  <c:v>799434.07850000006</c:v>
                </c:pt>
                <c:pt idx="22">
                  <c:v>799434.07850000006</c:v>
                </c:pt>
                <c:pt idx="23">
                  <c:v>799434.07850000006</c:v>
                </c:pt>
                <c:pt idx="24">
                  <c:v>799434.07850000006</c:v>
                </c:pt>
                <c:pt idx="25">
                  <c:v>799434.07850000006</c:v>
                </c:pt>
                <c:pt idx="26">
                  <c:v>799434.07850000006</c:v>
                </c:pt>
                <c:pt idx="27">
                  <c:v>799434.07850000006</c:v>
                </c:pt>
              </c:numCache>
            </c:numRef>
          </c:val>
          <c:extLst>
            <c:ext xmlns:c16="http://schemas.microsoft.com/office/drawing/2014/chart" uri="{C3380CC4-5D6E-409C-BE32-E72D297353CC}">
              <c16:uniqueId val="{00000000-13CD-4087-BE42-A59F0A8F34F1}"/>
            </c:ext>
          </c:extLst>
        </c:ser>
        <c:ser>
          <c:idx val="12"/>
          <c:order val="2"/>
          <c:tx>
            <c:strRef>
              <c:f>'Capacity Data'!$W$5</c:f>
              <c:strCache>
                <c:ptCount val="1"/>
                <c:pt idx="0">
                  <c:v>Existing Demand-Response</c:v>
                </c:pt>
              </c:strCache>
            </c:strRef>
          </c:tx>
          <c:spPr>
            <a:solidFill>
              <a:srgbClr val="FFD456"/>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Data'!$W$6:$W$34</c15:sqref>
                  </c15:fullRef>
                </c:ext>
              </c:extLst>
              <c:f>('Capacity Data'!$W$6,'Capacity Data'!$W$8:$W$34)</c:f>
              <c:numCache>
                <c:formatCode>_(* #,##0_);_(* \(#,##0\);_(* "-"??_);_(@_)</c:formatCode>
                <c:ptCount val="28"/>
                <c:pt idx="0">
                  <c:v>24000</c:v>
                </c:pt>
                <c:pt idx="1">
                  <c:v>24000</c:v>
                </c:pt>
                <c:pt idx="2">
                  <c:v>24000</c:v>
                </c:pt>
                <c:pt idx="3">
                  <c:v>24000</c:v>
                </c:pt>
                <c:pt idx="4">
                  <c:v>24000</c:v>
                </c:pt>
                <c:pt idx="5">
                  <c:v>24000</c:v>
                </c:pt>
                <c:pt idx="6">
                  <c:v>24000</c:v>
                </c:pt>
                <c:pt idx="7">
                  <c:v>24000</c:v>
                </c:pt>
                <c:pt idx="8">
                  <c:v>24000</c:v>
                </c:pt>
                <c:pt idx="9">
                  <c:v>24000</c:v>
                </c:pt>
                <c:pt idx="10">
                  <c:v>24000</c:v>
                </c:pt>
                <c:pt idx="11">
                  <c:v>24000</c:v>
                </c:pt>
                <c:pt idx="12">
                  <c:v>24000</c:v>
                </c:pt>
                <c:pt idx="13">
                  <c:v>24000</c:v>
                </c:pt>
                <c:pt idx="14">
                  <c:v>24000</c:v>
                </c:pt>
                <c:pt idx="15">
                  <c:v>24000</c:v>
                </c:pt>
                <c:pt idx="16">
                  <c:v>24000</c:v>
                </c:pt>
                <c:pt idx="17">
                  <c:v>24000</c:v>
                </c:pt>
                <c:pt idx="18">
                  <c:v>24000</c:v>
                </c:pt>
                <c:pt idx="19">
                  <c:v>24000</c:v>
                </c:pt>
                <c:pt idx="20">
                  <c:v>24000</c:v>
                </c:pt>
                <c:pt idx="21">
                  <c:v>24000</c:v>
                </c:pt>
                <c:pt idx="22">
                  <c:v>24000</c:v>
                </c:pt>
                <c:pt idx="23">
                  <c:v>24000</c:v>
                </c:pt>
                <c:pt idx="24">
                  <c:v>24000</c:v>
                </c:pt>
                <c:pt idx="25">
                  <c:v>24000</c:v>
                </c:pt>
                <c:pt idx="26">
                  <c:v>24000</c:v>
                </c:pt>
                <c:pt idx="27">
                  <c:v>24000</c:v>
                </c:pt>
              </c:numCache>
            </c:numRef>
          </c:val>
          <c:extLst>
            <c:ext xmlns:c16="http://schemas.microsoft.com/office/drawing/2014/chart" uri="{C3380CC4-5D6E-409C-BE32-E72D297353CC}">
              <c16:uniqueId val="{00000001-13CD-4087-BE42-A59F0A8F34F1}"/>
            </c:ext>
          </c:extLst>
        </c:ser>
        <c:ser>
          <c:idx val="1"/>
          <c:order val="3"/>
          <c:tx>
            <c:strRef>
              <c:f>'Capacity Data'!$AC$5</c:f>
              <c:strCache>
                <c:ptCount val="1"/>
                <c:pt idx="0">
                  <c:v>Cold Box</c:v>
                </c:pt>
              </c:strCache>
            </c:strRef>
          </c:tx>
          <c:spPr>
            <a:solidFill>
              <a:srgbClr val="E26714"/>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Data'!$AC$6:$AC$34</c15:sqref>
                  </c15:fullRef>
                </c:ext>
              </c:extLst>
              <c:f>('Capacity Data'!$AC$6,'Capacity Data'!$AC$8:$AC$34)</c:f>
              <c:numCache>
                <c:formatCode>_(* #,##0_);_(* \(#,##0\);_(* "-"??_);_(@_)</c:formatCode>
                <c:ptCount val="28"/>
                <c:pt idx="0">
                  <c:v>0</c:v>
                </c:pt>
                <c:pt idx="1">
                  <c:v>0</c:v>
                </c:pt>
                <c:pt idx="2">
                  <c:v>0</c:v>
                </c:pt>
                <c:pt idx="3">
                  <c:v>0</c:v>
                </c:pt>
                <c:pt idx="4">
                  <c:v>130800.00000057208</c:v>
                </c:pt>
                <c:pt idx="5">
                  <c:v>130800.00000057208</c:v>
                </c:pt>
                <c:pt idx="6">
                  <c:v>130800.00000057208</c:v>
                </c:pt>
                <c:pt idx="7">
                  <c:v>130800.00000057208</c:v>
                </c:pt>
                <c:pt idx="8">
                  <c:v>130800.00000057208</c:v>
                </c:pt>
                <c:pt idx="9">
                  <c:v>130800.00000057208</c:v>
                </c:pt>
                <c:pt idx="10">
                  <c:v>130800.00000057208</c:v>
                </c:pt>
                <c:pt idx="11">
                  <c:v>130800.00000057208</c:v>
                </c:pt>
                <c:pt idx="12">
                  <c:v>130800.00000057208</c:v>
                </c:pt>
                <c:pt idx="13">
                  <c:v>130800.00000057208</c:v>
                </c:pt>
                <c:pt idx="14">
                  <c:v>130800.00000057208</c:v>
                </c:pt>
                <c:pt idx="15">
                  <c:v>130800.00000057208</c:v>
                </c:pt>
                <c:pt idx="16">
                  <c:v>130800.00000057208</c:v>
                </c:pt>
                <c:pt idx="17">
                  <c:v>130800.00000057208</c:v>
                </c:pt>
                <c:pt idx="18">
                  <c:v>130800.00000057208</c:v>
                </c:pt>
                <c:pt idx="19">
                  <c:v>130800.00000057208</c:v>
                </c:pt>
                <c:pt idx="20">
                  <c:v>130800.00000057208</c:v>
                </c:pt>
                <c:pt idx="21">
                  <c:v>130800.00000057208</c:v>
                </c:pt>
                <c:pt idx="22">
                  <c:v>130800.00000057208</c:v>
                </c:pt>
                <c:pt idx="23">
                  <c:v>130800.00000057208</c:v>
                </c:pt>
                <c:pt idx="24">
                  <c:v>130800.00000057208</c:v>
                </c:pt>
                <c:pt idx="25">
                  <c:v>130800.00000057208</c:v>
                </c:pt>
                <c:pt idx="26">
                  <c:v>130800.00000057208</c:v>
                </c:pt>
                <c:pt idx="27">
                  <c:v>130800.00000057208</c:v>
                </c:pt>
              </c:numCache>
            </c:numRef>
          </c:val>
          <c:extLst>
            <c:ext xmlns:c16="http://schemas.microsoft.com/office/drawing/2014/chart" uri="{C3380CC4-5D6E-409C-BE32-E72D297353CC}">
              <c16:uniqueId val="{00000002-13CD-4087-BE42-A59F0A8F34F1}"/>
            </c:ext>
          </c:extLst>
        </c:ser>
        <c:ser>
          <c:idx val="0"/>
          <c:order val="4"/>
          <c:tx>
            <c:strRef>
              <c:f>'Capacity Data'!$AB$5</c:f>
              <c:strCache>
                <c:ptCount val="1"/>
                <c:pt idx="0">
                  <c:v>Mist Recall</c:v>
                </c:pt>
              </c:strCache>
            </c:strRef>
          </c:tx>
          <c:spPr>
            <a:solidFill>
              <a:srgbClr val="0082B0"/>
            </a:solidFill>
            <a:ln>
              <a:noFill/>
            </a:ln>
            <a:effectLst/>
          </c:spP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Data'!$AB$6:$AB$34</c15:sqref>
                  </c15:fullRef>
                </c:ext>
              </c:extLst>
              <c:f>('Capacity Data'!$AB$6,'Capacity Data'!$AB$8:$AB$34)</c:f>
              <c:numCache>
                <c:formatCode>_(* #,##0_);_(* \(#,##0\);_(* "-"??_);_(@_)</c:formatCode>
                <c:ptCount val="28"/>
                <c:pt idx="0">
                  <c:v>0</c:v>
                </c:pt>
                <c:pt idx="1">
                  <c:v>27022.00348152536</c:v>
                </c:pt>
                <c:pt idx="2">
                  <c:v>27022.00348152536</c:v>
                </c:pt>
                <c:pt idx="3">
                  <c:v>27022.00348152536</c:v>
                </c:pt>
                <c:pt idx="4">
                  <c:v>27022.00348152536</c:v>
                </c:pt>
                <c:pt idx="5">
                  <c:v>27022.00348152536</c:v>
                </c:pt>
                <c:pt idx="6">
                  <c:v>27022.00348152536</c:v>
                </c:pt>
                <c:pt idx="7">
                  <c:v>27022.00348152536</c:v>
                </c:pt>
                <c:pt idx="8">
                  <c:v>27022.00348152536</c:v>
                </c:pt>
                <c:pt idx="9">
                  <c:v>27022.00348152536</c:v>
                </c:pt>
                <c:pt idx="10">
                  <c:v>27022.00348152536</c:v>
                </c:pt>
                <c:pt idx="11">
                  <c:v>27022.00348152536</c:v>
                </c:pt>
                <c:pt idx="12">
                  <c:v>27022.00348152536</c:v>
                </c:pt>
                <c:pt idx="13">
                  <c:v>27022.00348152536</c:v>
                </c:pt>
                <c:pt idx="14">
                  <c:v>27022.00348152536</c:v>
                </c:pt>
                <c:pt idx="15">
                  <c:v>27022.00348152536</c:v>
                </c:pt>
                <c:pt idx="16">
                  <c:v>27022.00348152536</c:v>
                </c:pt>
                <c:pt idx="17">
                  <c:v>27022.00348152536</c:v>
                </c:pt>
                <c:pt idx="18">
                  <c:v>27022.00348152536</c:v>
                </c:pt>
                <c:pt idx="19">
                  <c:v>27022.00348152536</c:v>
                </c:pt>
                <c:pt idx="20">
                  <c:v>27022.00348152536</c:v>
                </c:pt>
                <c:pt idx="21">
                  <c:v>27022.00348152536</c:v>
                </c:pt>
                <c:pt idx="22">
                  <c:v>27022.00348152536</c:v>
                </c:pt>
                <c:pt idx="23">
                  <c:v>27022.00348152536</c:v>
                </c:pt>
                <c:pt idx="24">
                  <c:v>27022.00348152536</c:v>
                </c:pt>
                <c:pt idx="25">
                  <c:v>27022.00348152536</c:v>
                </c:pt>
                <c:pt idx="26">
                  <c:v>27022.00348152536</c:v>
                </c:pt>
                <c:pt idx="27">
                  <c:v>27022.00348152536</c:v>
                </c:pt>
              </c:numCache>
            </c:numRef>
          </c:val>
          <c:extLst>
            <c:ext xmlns:c16="http://schemas.microsoft.com/office/drawing/2014/chart" uri="{C3380CC4-5D6E-409C-BE32-E72D297353CC}">
              <c16:uniqueId val="{00000003-13CD-4087-BE42-A59F0A8F34F1}"/>
            </c:ext>
          </c:extLst>
        </c:ser>
        <c:dLbls>
          <c:showLegendKey val="0"/>
          <c:showVal val="0"/>
          <c:showCatName val="0"/>
          <c:showSerName val="0"/>
          <c:showPercent val="0"/>
          <c:showBubbleSize val="0"/>
        </c:dLbls>
        <c:axId val="320888351"/>
        <c:axId val="320890015"/>
      </c:areaChart>
      <c:lineChart>
        <c:grouping val="standard"/>
        <c:varyColors val="0"/>
        <c:ser>
          <c:idx val="10"/>
          <c:order val="0"/>
          <c:tx>
            <c:strRef>
              <c:f>'Capacity Data'!$Z$5</c:f>
              <c:strCache>
                <c:ptCount val="1"/>
                <c:pt idx="0">
                  <c:v>Existing Resource Stack</c:v>
                </c:pt>
              </c:strCache>
            </c:strRef>
          </c:tx>
          <c:spPr>
            <a:ln w="22225" cap="sq">
              <a:solidFill>
                <a:schemeClr val="tx1"/>
              </a:solidFill>
              <a:prstDash val="sysDot"/>
              <a:round/>
            </a:ln>
            <a:effectLst/>
          </c:spPr>
          <c:marker>
            <c:symbol val="none"/>
          </c:marker>
          <c:cat>
            <c:strRef>
              <c:extLst>
                <c:ext xmlns:c15="http://schemas.microsoft.com/office/drawing/2012/chart" uri="{02D57815-91ED-43cb-92C2-25804820EDAC}">
                  <c15:fullRef>
                    <c15:sqref>'Capacity Data'!$T$6:$T$34</c15:sqref>
                  </c15:fullRef>
                </c:ext>
              </c:extLst>
              <c:f>('Capacity Data'!$T$6,'Capacity Data'!$T$8:$T$34)</c:f>
              <c:strCache>
                <c:ptCount val="28"/>
                <c:pt idx="0">
                  <c:v>2021-22</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pt idx="13">
                  <c:v>2035-36</c:v>
                </c:pt>
                <c:pt idx="14">
                  <c:v>2036-37</c:v>
                </c:pt>
                <c:pt idx="15">
                  <c:v>2037-38</c:v>
                </c:pt>
                <c:pt idx="16">
                  <c:v>2038-39</c:v>
                </c:pt>
                <c:pt idx="17">
                  <c:v>2039-40</c:v>
                </c:pt>
                <c:pt idx="18">
                  <c:v>2040-41</c:v>
                </c:pt>
                <c:pt idx="19">
                  <c:v>2041-42</c:v>
                </c:pt>
                <c:pt idx="20">
                  <c:v>2042-43</c:v>
                </c:pt>
                <c:pt idx="21">
                  <c:v>2043-44</c:v>
                </c:pt>
                <c:pt idx="22">
                  <c:v>2044-45</c:v>
                </c:pt>
                <c:pt idx="23">
                  <c:v>2045-46</c:v>
                </c:pt>
                <c:pt idx="24">
                  <c:v>2046-47</c:v>
                </c:pt>
                <c:pt idx="25">
                  <c:v>2047-48</c:v>
                </c:pt>
                <c:pt idx="26">
                  <c:v>2048-49</c:v>
                </c:pt>
                <c:pt idx="27">
                  <c:v>2049-50</c:v>
                </c:pt>
              </c:strCache>
            </c:strRef>
          </c:cat>
          <c:val>
            <c:numRef>
              <c:extLst>
                <c:ext xmlns:c15="http://schemas.microsoft.com/office/drawing/2012/chart" uri="{02D57815-91ED-43cb-92C2-25804820EDAC}">
                  <c15:fullRef>
                    <c15:sqref>'Capacity Data'!$Z$6:$Z$34</c15:sqref>
                  </c15:fullRef>
                </c:ext>
              </c:extLst>
              <c:f>('Capacity Data'!$Z$6,'Capacity Data'!$Z$8:$Z$34)</c:f>
              <c:numCache>
                <c:formatCode>_(* #,##0_);_(* \(#,##0\);_(* "-"??_);_(@_)</c:formatCode>
                <c:ptCount val="28"/>
                <c:pt idx="0">
                  <c:v>1014934.0785000001</c:v>
                </c:pt>
                <c:pt idx="1">
                  <c:v>1014934.0785000001</c:v>
                </c:pt>
                <c:pt idx="2">
                  <c:v>1014934.0785000001</c:v>
                </c:pt>
                <c:pt idx="3">
                  <c:v>1014934.0785000001</c:v>
                </c:pt>
                <c:pt idx="4">
                  <c:v>823434.07850000006</c:v>
                </c:pt>
                <c:pt idx="5">
                  <c:v>823434.07850000006</c:v>
                </c:pt>
                <c:pt idx="6">
                  <c:v>823434.07850000006</c:v>
                </c:pt>
                <c:pt idx="7">
                  <c:v>823434.07850000006</c:v>
                </c:pt>
                <c:pt idx="8">
                  <c:v>823434.07850000006</c:v>
                </c:pt>
                <c:pt idx="9">
                  <c:v>823434.07850000006</c:v>
                </c:pt>
                <c:pt idx="10">
                  <c:v>823434.07850000006</c:v>
                </c:pt>
                <c:pt idx="11">
                  <c:v>823434.07850000006</c:v>
                </c:pt>
                <c:pt idx="12">
                  <c:v>823434.07850000006</c:v>
                </c:pt>
                <c:pt idx="13">
                  <c:v>823434.07850000006</c:v>
                </c:pt>
                <c:pt idx="14">
                  <c:v>823434.07850000006</c:v>
                </c:pt>
                <c:pt idx="15">
                  <c:v>823434.07850000006</c:v>
                </c:pt>
                <c:pt idx="16">
                  <c:v>823434.07850000006</c:v>
                </c:pt>
                <c:pt idx="17">
                  <c:v>823434.07850000006</c:v>
                </c:pt>
                <c:pt idx="18">
                  <c:v>823434.07850000006</c:v>
                </c:pt>
                <c:pt idx="19">
                  <c:v>823434.07850000006</c:v>
                </c:pt>
                <c:pt idx="20">
                  <c:v>823434.07850000006</c:v>
                </c:pt>
                <c:pt idx="21">
                  <c:v>823434.07850000006</c:v>
                </c:pt>
                <c:pt idx="22">
                  <c:v>823434.07850000006</c:v>
                </c:pt>
                <c:pt idx="23">
                  <c:v>823434.07850000006</c:v>
                </c:pt>
                <c:pt idx="24">
                  <c:v>823434.07850000006</c:v>
                </c:pt>
                <c:pt idx="25">
                  <c:v>823434.07850000006</c:v>
                </c:pt>
                <c:pt idx="26">
                  <c:v>823434.07850000006</c:v>
                </c:pt>
                <c:pt idx="27">
                  <c:v>823434.07850000006</c:v>
                </c:pt>
              </c:numCache>
            </c:numRef>
          </c:val>
          <c:smooth val="0"/>
          <c:extLst>
            <c:ext xmlns:c16="http://schemas.microsoft.com/office/drawing/2014/chart" uri="{C3380CC4-5D6E-409C-BE32-E72D297353CC}">
              <c16:uniqueId val="{00000004-13CD-4087-BE42-A59F0A8F34F1}"/>
            </c:ext>
          </c:extLst>
        </c:ser>
        <c:dLbls>
          <c:showLegendKey val="0"/>
          <c:showVal val="0"/>
          <c:showCatName val="0"/>
          <c:showSerName val="0"/>
          <c:showPercent val="0"/>
          <c:showBubbleSize val="0"/>
        </c:dLbls>
        <c:marker val="1"/>
        <c:smooth val="0"/>
        <c:axId val="320888351"/>
        <c:axId val="320890015"/>
      </c:lineChart>
      <c:catAx>
        <c:axId val="320888351"/>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320890015"/>
        <c:crosses val="autoZero"/>
        <c:auto val="1"/>
        <c:lblAlgn val="ctr"/>
        <c:lblOffset val="100"/>
        <c:noMultiLvlLbl val="0"/>
      </c:catAx>
      <c:valAx>
        <c:axId val="320890015"/>
        <c:scaling>
          <c:orientation val="minMax"/>
          <c:max val="16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Dth / day</a:t>
                </a:r>
              </a:p>
            </c:rich>
          </c:tx>
          <c:layout>
            <c:manualLayout>
              <c:xMode val="edge"/>
              <c:yMode val="edge"/>
              <c:x val="3.7689091540800829E-3"/>
              <c:y val="0.31301483396347174"/>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a:solidFill>
              <a:schemeClr val="accent3"/>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20888351"/>
        <c:crosses val="autoZero"/>
        <c:crossBetween val="midCat"/>
      </c:valAx>
      <c:spPr>
        <a:noFill/>
        <a:ln>
          <a:solidFill>
            <a:schemeClr val="bg2"/>
          </a:solidFill>
        </a:ln>
        <a:effectLst/>
      </c:spPr>
    </c:plotArea>
    <c:legend>
      <c:legendPos val="r"/>
      <c:layout>
        <c:manualLayout>
          <c:xMode val="edge"/>
          <c:yMode val="edge"/>
          <c:x val="0.72612079740032498"/>
          <c:y val="5.0282881306503366E-2"/>
          <c:w val="0.25800915510561179"/>
          <c:h val="0.91491870807815689"/>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'Peak Day Forecast'!$D$2</c:f>
              <c:strCache>
                <c:ptCount val="1"/>
                <c:pt idx="0">
                  <c:v>Reference</c:v>
                </c:pt>
              </c:strCache>
            </c:strRef>
          </c:tx>
          <c:spPr>
            <a:ln w="28575" cap="rnd">
              <a:solidFill>
                <a:schemeClr val="tx1"/>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Forecast'!$D$4:$D$31</c:f>
              <c:numCache>
                <c:formatCode>_(* #,##0_);_(* \(#,##0\);_(* "-"??_);_(@_)</c:formatCode>
                <c:ptCount val="28"/>
                <c:pt idx="0">
                  <c:v>1008708</c:v>
                </c:pt>
                <c:pt idx="1">
                  <c:v>1018191</c:v>
                </c:pt>
                <c:pt idx="2">
                  <c:v>1027864</c:v>
                </c:pt>
                <c:pt idx="3">
                  <c:v>1038545</c:v>
                </c:pt>
                <c:pt idx="4">
                  <c:v>1051101</c:v>
                </c:pt>
                <c:pt idx="5">
                  <c:v>1060815</c:v>
                </c:pt>
                <c:pt idx="6">
                  <c:v>1072524</c:v>
                </c:pt>
                <c:pt idx="7">
                  <c:v>1081316</c:v>
                </c:pt>
                <c:pt idx="8">
                  <c:v>1091507</c:v>
                </c:pt>
                <c:pt idx="9">
                  <c:v>1102273</c:v>
                </c:pt>
                <c:pt idx="10">
                  <c:v>1112746</c:v>
                </c:pt>
                <c:pt idx="11">
                  <c:v>1121629</c:v>
                </c:pt>
                <c:pt idx="12">
                  <c:v>1130124</c:v>
                </c:pt>
                <c:pt idx="13">
                  <c:v>1140104</c:v>
                </c:pt>
                <c:pt idx="14">
                  <c:v>1149011</c:v>
                </c:pt>
                <c:pt idx="15">
                  <c:v>1156416</c:v>
                </c:pt>
                <c:pt idx="16">
                  <c:v>1166190</c:v>
                </c:pt>
                <c:pt idx="17">
                  <c:v>1173967</c:v>
                </c:pt>
                <c:pt idx="18">
                  <c:v>1181592</c:v>
                </c:pt>
                <c:pt idx="19">
                  <c:v>1189893</c:v>
                </c:pt>
                <c:pt idx="20">
                  <c:v>1199026</c:v>
                </c:pt>
                <c:pt idx="21">
                  <c:v>1206813</c:v>
                </c:pt>
                <c:pt idx="22">
                  <c:v>1214623</c:v>
                </c:pt>
                <c:pt idx="23">
                  <c:v>1223090</c:v>
                </c:pt>
                <c:pt idx="24">
                  <c:v>1229438</c:v>
                </c:pt>
                <c:pt idx="25">
                  <c:v>1237217</c:v>
                </c:pt>
                <c:pt idx="26">
                  <c:v>1245282</c:v>
                </c:pt>
                <c:pt idx="27">
                  <c:v>1252729</c:v>
                </c:pt>
              </c:numCache>
            </c:numRef>
          </c:val>
          <c:smooth val="0"/>
          <c:extLst>
            <c:ext xmlns:c16="http://schemas.microsoft.com/office/drawing/2014/chart" uri="{C3380CC4-5D6E-409C-BE32-E72D297353CC}">
              <c16:uniqueId val="{00000000-340E-4DD9-8911-47FD767DDA8F}"/>
            </c:ext>
          </c:extLst>
        </c:ser>
        <c:ser>
          <c:idx val="1"/>
          <c:order val="1"/>
          <c:tx>
            <c:strRef>
              <c:f>'Peak Day Forecast'!$E$2</c:f>
              <c:strCache>
                <c:ptCount val="1"/>
                <c:pt idx="0">
                  <c:v>Scenario 1- Balanced Decarbonization</c:v>
                </c:pt>
              </c:strCache>
            </c:strRef>
          </c:tx>
          <c:spPr>
            <a:ln w="28575" cap="rnd">
              <a:solidFill>
                <a:srgbClr val="00B0F0"/>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Forecast'!$E$4:$E$31</c:f>
              <c:numCache>
                <c:formatCode>_(* #,##0_);_(* \(#,##0\);_(* "-"??_);_(@_)</c:formatCode>
                <c:ptCount val="28"/>
                <c:pt idx="0">
                  <c:v>1008709</c:v>
                </c:pt>
                <c:pt idx="1">
                  <c:v>1010720</c:v>
                </c:pt>
                <c:pt idx="2">
                  <c:v>1011574</c:v>
                </c:pt>
                <c:pt idx="3">
                  <c:v>1012970</c:v>
                </c:pt>
                <c:pt idx="4">
                  <c:v>1015329</c:v>
                </c:pt>
                <c:pt idx="5">
                  <c:v>1014358</c:v>
                </c:pt>
                <c:pt idx="6">
                  <c:v>1014039</c:v>
                </c:pt>
                <c:pt idx="7">
                  <c:v>1010367</c:v>
                </c:pt>
                <c:pt idx="8">
                  <c:v>1008086</c:v>
                </c:pt>
                <c:pt idx="9">
                  <c:v>1005792</c:v>
                </c:pt>
                <c:pt idx="10">
                  <c:v>1002488</c:v>
                </c:pt>
                <c:pt idx="11">
                  <c:v>999298</c:v>
                </c:pt>
                <c:pt idx="12">
                  <c:v>996014</c:v>
                </c:pt>
                <c:pt idx="13">
                  <c:v>993029</c:v>
                </c:pt>
                <c:pt idx="14">
                  <c:v>988199</c:v>
                </c:pt>
                <c:pt idx="15">
                  <c:v>982951</c:v>
                </c:pt>
                <c:pt idx="16">
                  <c:v>980021</c:v>
                </c:pt>
                <c:pt idx="17">
                  <c:v>975624</c:v>
                </c:pt>
                <c:pt idx="18">
                  <c:v>971286</c:v>
                </c:pt>
                <c:pt idx="19">
                  <c:v>970393</c:v>
                </c:pt>
                <c:pt idx="20">
                  <c:v>969442</c:v>
                </c:pt>
                <c:pt idx="21">
                  <c:v>967386</c:v>
                </c:pt>
                <c:pt idx="22">
                  <c:v>964282</c:v>
                </c:pt>
                <c:pt idx="23">
                  <c:v>961832</c:v>
                </c:pt>
                <c:pt idx="24">
                  <c:v>957698</c:v>
                </c:pt>
                <c:pt idx="25">
                  <c:v>955135</c:v>
                </c:pt>
                <c:pt idx="26">
                  <c:v>951368</c:v>
                </c:pt>
                <c:pt idx="27">
                  <c:v>947341</c:v>
                </c:pt>
              </c:numCache>
            </c:numRef>
          </c:val>
          <c:smooth val="0"/>
          <c:extLst>
            <c:ext xmlns:c16="http://schemas.microsoft.com/office/drawing/2014/chart" uri="{C3380CC4-5D6E-409C-BE32-E72D297353CC}">
              <c16:uniqueId val="{00000001-340E-4DD9-8911-47FD767DDA8F}"/>
            </c:ext>
          </c:extLst>
        </c:ser>
        <c:ser>
          <c:idx val="9"/>
          <c:order val="2"/>
          <c:tx>
            <c:strRef>
              <c:f>'Peak Day Forecast'!$F$2</c:f>
              <c:strCache>
                <c:ptCount val="1"/>
                <c:pt idx="0">
                  <c:v>Scenario 2- Carbon Neutral</c:v>
                </c:pt>
              </c:strCache>
            </c:strRef>
          </c:tx>
          <c:spPr>
            <a:ln w="28575" cap="rnd">
              <a:solidFill>
                <a:srgbClr val="3FE424"/>
              </a:solidFill>
              <a:round/>
            </a:ln>
            <a:effectLst/>
          </c:spPr>
          <c:marker>
            <c:symbol val="none"/>
          </c:marker>
          <c:val>
            <c:numRef>
              <c:f>'Peak Day Forecast'!$F$4:$F$31</c:f>
              <c:numCache>
                <c:formatCode>_(* #,##0_);_(* \(#,##0\);_(* "-"??_);_(@_)</c:formatCode>
                <c:ptCount val="28"/>
                <c:pt idx="0">
                  <c:v>1008708</c:v>
                </c:pt>
                <c:pt idx="1">
                  <c:v>1008013</c:v>
                </c:pt>
                <c:pt idx="2">
                  <c:v>1006556</c:v>
                </c:pt>
                <c:pt idx="3">
                  <c:v>1006030</c:v>
                </c:pt>
                <c:pt idx="4">
                  <c:v>1006869</c:v>
                </c:pt>
                <c:pt idx="5">
                  <c:v>1004614</c:v>
                </c:pt>
                <c:pt idx="6">
                  <c:v>1003294</c:v>
                </c:pt>
                <c:pt idx="7">
                  <c:v>998738</c:v>
                </c:pt>
                <c:pt idx="8">
                  <c:v>995008</c:v>
                </c:pt>
                <c:pt idx="9">
                  <c:v>990518</c:v>
                </c:pt>
                <c:pt idx="10">
                  <c:v>984453</c:v>
                </c:pt>
                <c:pt idx="11">
                  <c:v>978003</c:v>
                </c:pt>
                <c:pt idx="12">
                  <c:v>970749</c:v>
                </c:pt>
                <c:pt idx="13">
                  <c:v>962939</c:v>
                </c:pt>
                <c:pt idx="14">
                  <c:v>952918</c:v>
                </c:pt>
                <c:pt idx="15">
                  <c:v>942161</c:v>
                </c:pt>
                <c:pt idx="16">
                  <c:v>933473</c:v>
                </c:pt>
                <c:pt idx="17">
                  <c:v>923133</c:v>
                </c:pt>
                <c:pt idx="18">
                  <c:v>913072</c:v>
                </c:pt>
                <c:pt idx="19">
                  <c:v>906729</c:v>
                </c:pt>
                <c:pt idx="20">
                  <c:v>900301</c:v>
                </c:pt>
                <c:pt idx="21">
                  <c:v>892785</c:v>
                </c:pt>
                <c:pt idx="22">
                  <c:v>884447</c:v>
                </c:pt>
                <c:pt idx="23">
                  <c:v>876719</c:v>
                </c:pt>
                <c:pt idx="24">
                  <c:v>867516</c:v>
                </c:pt>
                <c:pt idx="25">
                  <c:v>859813</c:v>
                </c:pt>
                <c:pt idx="26">
                  <c:v>851080</c:v>
                </c:pt>
                <c:pt idx="27">
                  <c:v>842042</c:v>
                </c:pt>
              </c:numCache>
            </c:numRef>
          </c:val>
          <c:smooth val="0"/>
          <c:extLst>
            <c:ext xmlns:c16="http://schemas.microsoft.com/office/drawing/2014/chart" uri="{C3380CC4-5D6E-409C-BE32-E72D297353CC}">
              <c16:uniqueId val="{00000002-340E-4DD9-8911-47FD767DDA8F}"/>
            </c:ext>
          </c:extLst>
        </c:ser>
        <c:ser>
          <c:idx val="2"/>
          <c:order val="3"/>
          <c:tx>
            <c:strRef>
              <c:f>'Peak Day Forecast'!$G$2</c:f>
              <c:strCache>
                <c:ptCount val="1"/>
                <c:pt idx="0">
                  <c:v>Scenario 3- Dual-Fuel Heating</c:v>
                </c:pt>
              </c:strCache>
            </c:strRef>
          </c:tx>
          <c:spPr>
            <a:ln w="28575" cap="rnd">
              <a:solidFill>
                <a:srgbClr val="00B0F0"/>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Forecast'!$G$4:$G$31</c:f>
              <c:numCache>
                <c:formatCode>_(* #,##0_);_(* \(#,##0\);_(* "-"??_);_(@_)</c:formatCode>
                <c:ptCount val="28"/>
                <c:pt idx="0">
                  <c:v>1008709</c:v>
                </c:pt>
                <c:pt idx="1">
                  <c:v>1010720</c:v>
                </c:pt>
                <c:pt idx="2">
                  <c:v>1012252</c:v>
                </c:pt>
                <c:pt idx="3">
                  <c:v>1015004</c:v>
                </c:pt>
                <c:pt idx="4">
                  <c:v>1019437</c:v>
                </c:pt>
                <c:pt idx="5">
                  <c:v>1021126</c:v>
                </c:pt>
                <c:pt idx="6">
                  <c:v>1024060</c:v>
                </c:pt>
                <c:pt idx="7">
                  <c:v>1024172</c:v>
                </c:pt>
                <c:pt idx="8">
                  <c:v>1025592</c:v>
                </c:pt>
                <c:pt idx="9">
                  <c:v>1026869</c:v>
                </c:pt>
                <c:pt idx="10">
                  <c:v>1026990</c:v>
                </c:pt>
                <c:pt idx="11">
                  <c:v>1027140</c:v>
                </c:pt>
                <c:pt idx="12">
                  <c:v>1027118</c:v>
                </c:pt>
                <c:pt idx="13">
                  <c:v>1027307</c:v>
                </c:pt>
                <c:pt idx="14">
                  <c:v>1025480</c:v>
                </c:pt>
                <c:pt idx="15">
                  <c:v>1023110</c:v>
                </c:pt>
                <c:pt idx="16">
                  <c:v>1023077</c:v>
                </c:pt>
                <c:pt idx="17">
                  <c:v>1021413</c:v>
                </c:pt>
                <c:pt idx="18">
                  <c:v>1019739</c:v>
                </c:pt>
                <c:pt idx="19">
                  <c:v>1021633</c:v>
                </c:pt>
                <c:pt idx="20">
                  <c:v>1023430</c:v>
                </c:pt>
                <c:pt idx="21">
                  <c:v>1024001</c:v>
                </c:pt>
                <c:pt idx="22">
                  <c:v>1023445</c:v>
                </c:pt>
                <c:pt idx="23">
                  <c:v>1023534</c:v>
                </c:pt>
                <c:pt idx="24">
                  <c:v>1021775</c:v>
                </c:pt>
                <c:pt idx="25">
                  <c:v>1021647</c:v>
                </c:pt>
                <c:pt idx="26">
                  <c:v>1020236</c:v>
                </c:pt>
                <c:pt idx="27">
                  <c:v>1018346</c:v>
                </c:pt>
              </c:numCache>
            </c:numRef>
          </c:val>
          <c:smooth val="0"/>
          <c:extLst>
            <c:ext xmlns:c16="http://schemas.microsoft.com/office/drawing/2014/chart" uri="{C3380CC4-5D6E-409C-BE32-E72D297353CC}">
              <c16:uniqueId val="{00000003-340E-4DD9-8911-47FD767DDA8F}"/>
            </c:ext>
          </c:extLst>
        </c:ser>
        <c:ser>
          <c:idx val="3"/>
          <c:order val="4"/>
          <c:tx>
            <c:strRef>
              <c:f>'Peak Day Forecast'!$H$2</c:f>
              <c:strCache>
                <c:ptCount val="1"/>
                <c:pt idx="0">
                  <c:v>Scenario 4- New Gas Customer Moratorium</c:v>
                </c:pt>
              </c:strCache>
            </c:strRef>
          </c:tx>
          <c:spPr>
            <a:ln w="28575" cap="rnd">
              <a:solidFill>
                <a:schemeClr val="accent4"/>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Forecast'!$H$4:$H$31</c:f>
              <c:numCache>
                <c:formatCode>_(* #,##0_);_(* \(#,##0\);_(* "-"??_);_(@_)</c:formatCode>
                <c:ptCount val="28"/>
                <c:pt idx="0">
                  <c:v>1008709</c:v>
                </c:pt>
                <c:pt idx="1">
                  <c:v>1010720</c:v>
                </c:pt>
                <c:pt idx="2">
                  <c:v>997832</c:v>
                </c:pt>
                <c:pt idx="3">
                  <c:v>985146</c:v>
                </c:pt>
                <c:pt idx="4">
                  <c:v>974156</c:v>
                </c:pt>
                <c:pt idx="5">
                  <c:v>960585</c:v>
                </c:pt>
                <c:pt idx="6">
                  <c:v>948233</c:v>
                </c:pt>
                <c:pt idx="7">
                  <c:v>933842</c:v>
                </c:pt>
                <c:pt idx="8">
                  <c:v>921272</c:v>
                </c:pt>
                <c:pt idx="9">
                  <c:v>909993</c:v>
                </c:pt>
                <c:pt idx="10">
                  <c:v>899077</c:v>
                </c:pt>
                <c:pt idx="11">
                  <c:v>888343</c:v>
                </c:pt>
                <c:pt idx="12">
                  <c:v>877960</c:v>
                </c:pt>
                <c:pt idx="13">
                  <c:v>869125</c:v>
                </c:pt>
                <c:pt idx="14">
                  <c:v>859615</c:v>
                </c:pt>
                <c:pt idx="15">
                  <c:v>849848</c:v>
                </c:pt>
                <c:pt idx="16">
                  <c:v>842105</c:v>
                </c:pt>
                <c:pt idx="17">
                  <c:v>833321</c:v>
                </c:pt>
                <c:pt idx="18">
                  <c:v>824426</c:v>
                </c:pt>
                <c:pt idx="19">
                  <c:v>817036</c:v>
                </c:pt>
                <c:pt idx="20">
                  <c:v>810195</c:v>
                </c:pt>
                <c:pt idx="21">
                  <c:v>802698</c:v>
                </c:pt>
                <c:pt idx="22">
                  <c:v>794900</c:v>
                </c:pt>
                <c:pt idx="23">
                  <c:v>787787</c:v>
                </c:pt>
                <c:pt idx="24">
                  <c:v>779530</c:v>
                </c:pt>
                <c:pt idx="25">
                  <c:v>772750</c:v>
                </c:pt>
                <c:pt idx="26">
                  <c:v>765689</c:v>
                </c:pt>
                <c:pt idx="27">
                  <c:v>758596</c:v>
                </c:pt>
              </c:numCache>
            </c:numRef>
          </c:val>
          <c:smooth val="0"/>
          <c:extLst>
            <c:ext xmlns:c16="http://schemas.microsoft.com/office/drawing/2014/chart" uri="{C3380CC4-5D6E-409C-BE32-E72D297353CC}">
              <c16:uniqueId val="{00000004-340E-4DD9-8911-47FD767DDA8F}"/>
            </c:ext>
          </c:extLst>
        </c:ser>
        <c:ser>
          <c:idx val="4"/>
          <c:order val="5"/>
          <c:tx>
            <c:strRef>
              <c:f>'Peak Day Forecast'!$I$2</c:f>
              <c:strCache>
                <c:ptCount val="1"/>
                <c:pt idx="0">
                  <c:v>Scenario 5- Aggressive Building Electrification</c:v>
                </c:pt>
              </c:strCache>
            </c:strRef>
          </c:tx>
          <c:spPr>
            <a:ln w="28575" cap="rnd">
              <a:solidFill>
                <a:schemeClr val="accent2"/>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Forecast'!$I$4:$I$31</c:f>
              <c:numCache>
                <c:formatCode>_(* #,##0_);_(* \(#,##0\);_(* "-"??_);_(@_)</c:formatCode>
                <c:ptCount val="28"/>
                <c:pt idx="0">
                  <c:v>1008708</c:v>
                </c:pt>
                <c:pt idx="1">
                  <c:v>1017804</c:v>
                </c:pt>
                <c:pt idx="2">
                  <c:v>997645</c:v>
                </c:pt>
                <c:pt idx="3">
                  <c:v>978203</c:v>
                </c:pt>
                <c:pt idx="4">
                  <c:v>960909</c:v>
                </c:pt>
                <c:pt idx="5">
                  <c:v>941520</c:v>
                </c:pt>
                <c:pt idx="6">
                  <c:v>923767</c:v>
                </c:pt>
                <c:pt idx="7">
                  <c:v>903812</c:v>
                </c:pt>
                <c:pt idx="8">
                  <c:v>885219</c:v>
                </c:pt>
                <c:pt idx="9">
                  <c:v>867586</c:v>
                </c:pt>
                <c:pt idx="10">
                  <c:v>849890</c:v>
                </c:pt>
                <c:pt idx="11">
                  <c:v>831527</c:v>
                </c:pt>
                <c:pt idx="12">
                  <c:v>812964</c:v>
                </c:pt>
                <c:pt idx="13">
                  <c:v>795768</c:v>
                </c:pt>
                <c:pt idx="14">
                  <c:v>777792</c:v>
                </c:pt>
                <c:pt idx="15">
                  <c:v>759251</c:v>
                </c:pt>
                <c:pt idx="16">
                  <c:v>742399</c:v>
                </c:pt>
                <c:pt idx="17">
                  <c:v>724441</c:v>
                </c:pt>
                <c:pt idx="18">
                  <c:v>706140</c:v>
                </c:pt>
                <c:pt idx="19">
                  <c:v>688401</c:v>
                </c:pt>
                <c:pt idx="20">
                  <c:v>671121</c:v>
                </c:pt>
                <c:pt idx="21">
                  <c:v>653213</c:v>
                </c:pt>
                <c:pt idx="22">
                  <c:v>635105</c:v>
                </c:pt>
                <c:pt idx="23">
                  <c:v>617503</c:v>
                </c:pt>
                <c:pt idx="24">
                  <c:v>598871</c:v>
                </c:pt>
                <c:pt idx="25">
                  <c:v>581096</c:v>
                </c:pt>
                <c:pt idx="26">
                  <c:v>563274</c:v>
                </c:pt>
                <c:pt idx="27">
                  <c:v>545291</c:v>
                </c:pt>
              </c:numCache>
            </c:numRef>
          </c:val>
          <c:smooth val="0"/>
          <c:extLst>
            <c:ext xmlns:c16="http://schemas.microsoft.com/office/drawing/2014/chart" uri="{C3380CC4-5D6E-409C-BE32-E72D297353CC}">
              <c16:uniqueId val="{00000005-340E-4DD9-8911-47FD767DDA8F}"/>
            </c:ext>
          </c:extLst>
        </c:ser>
        <c:ser>
          <c:idx val="5"/>
          <c:order val="6"/>
          <c:tx>
            <c:strRef>
              <c:f>'Peak Day Forecast'!$J$2</c:f>
              <c:strCache>
                <c:ptCount val="1"/>
                <c:pt idx="0">
                  <c:v>Scenario 6- Full Building Electrification</c:v>
                </c:pt>
              </c:strCache>
            </c:strRef>
          </c:tx>
          <c:spPr>
            <a:ln w="28575" cap="rnd">
              <a:solidFill>
                <a:srgbClr val="DC3C90"/>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Forecast'!$J$4:$J$31</c:f>
              <c:numCache>
                <c:formatCode>_(* #,##0_);_(* \(#,##0\);_(* "-"??_);_(@_)</c:formatCode>
                <c:ptCount val="28"/>
                <c:pt idx="0">
                  <c:v>1008708</c:v>
                </c:pt>
                <c:pt idx="1">
                  <c:v>984991</c:v>
                </c:pt>
                <c:pt idx="2">
                  <c:v>946244</c:v>
                </c:pt>
                <c:pt idx="3">
                  <c:v>908252</c:v>
                </c:pt>
                <c:pt idx="4">
                  <c:v>872203</c:v>
                </c:pt>
                <c:pt idx="5">
                  <c:v>834291</c:v>
                </c:pt>
                <c:pt idx="6">
                  <c:v>797818</c:v>
                </c:pt>
                <c:pt idx="7">
                  <c:v>759531</c:v>
                </c:pt>
                <c:pt idx="8">
                  <c:v>722445</c:v>
                </c:pt>
                <c:pt idx="9">
                  <c:v>686172</c:v>
                </c:pt>
                <c:pt idx="10">
                  <c:v>649798</c:v>
                </c:pt>
                <c:pt idx="11">
                  <c:v>612948</c:v>
                </c:pt>
                <c:pt idx="12">
                  <c:v>575985</c:v>
                </c:pt>
                <c:pt idx="13">
                  <c:v>540003</c:v>
                </c:pt>
                <c:pt idx="14">
                  <c:v>503429</c:v>
                </c:pt>
                <c:pt idx="15">
                  <c:v>466541</c:v>
                </c:pt>
                <c:pt idx="16">
                  <c:v>430653</c:v>
                </c:pt>
                <c:pt idx="17">
                  <c:v>394125</c:v>
                </c:pt>
                <c:pt idx="18">
                  <c:v>357375</c:v>
                </c:pt>
                <c:pt idx="19">
                  <c:v>320934</c:v>
                </c:pt>
                <c:pt idx="20">
                  <c:v>284660</c:v>
                </c:pt>
                <c:pt idx="21">
                  <c:v>248122</c:v>
                </c:pt>
                <c:pt idx="22">
                  <c:v>211456</c:v>
                </c:pt>
                <c:pt idx="23">
                  <c:v>174960</c:v>
                </c:pt>
                <c:pt idx="24">
                  <c:v>138202</c:v>
                </c:pt>
                <c:pt idx="25">
                  <c:v>135986</c:v>
                </c:pt>
                <c:pt idx="26">
                  <c:v>133710</c:v>
                </c:pt>
                <c:pt idx="27">
                  <c:v>131398</c:v>
                </c:pt>
              </c:numCache>
            </c:numRef>
          </c:val>
          <c:smooth val="0"/>
          <c:extLst>
            <c:ext xmlns:c16="http://schemas.microsoft.com/office/drawing/2014/chart" uri="{C3380CC4-5D6E-409C-BE32-E72D297353CC}">
              <c16:uniqueId val="{00000006-340E-4DD9-8911-47FD767DDA8F}"/>
            </c:ext>
          </c:extLst>
        </c:ser>
        <c:ser>
          <c:idx val="6"/>
          <c:order val="7"/>
          <c:tx>
            <c:strRef>
              <c:f>'Peak Day Forecast'!$K$2</c:f>
              <c:strCache>
                <c:ptCount val="1"/>
                <c:pt idx="0">
                  <c:v>Scenario 7- RNG and H2 Policy Support</c:v>
                </c:pt>
              </c:strCache>
            </c:strRef>
          </c:tx>
          <c:spPr>
            <a:ln w="28575" cap="rnd">
              <a:solidFill>
                <a:srgbClr val="00B0F0"/>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Forecast'!$K$4:$K$31</c:f>
              <c:numCache>
                <c:formatCode>_(* #,##0_);_(* \(#,##0\);_(* "-"??_);_(@_)</c:formatCode>
                <c:ptCount val="28"/>
                <c:pt idx="0">
                  <c:v>1008709</c:v>
                </c:pt>
                <c:pt idx="1">
                  <c:v>1010720</c:v>
                </c:pt>
                <c:pt idx="2">
                  <c:v>1011574</c:v>
                </c:pt>
                <c:pt idx="3">
                  <c:v>1012970</c:v>
                </c:pt>
                <c:pt idx="4">
                  <c:v>1015406</c:v>
                </c:pt>
                <c:pt idx="5">
                  <c:v>1014510</c:v>
                </c:pt>
                <c:pt idx="6">
                  <c:v>1014263</c:v>
                </c:pt>
                <c:pt idx="7">
                  <c:v>1010653</c:v>
                </c:pt>
                <c:pt idx="8">
                  <c:v>1008433</c:v>
                </c:pt>
                <c:pt idx="9">
                  <c:v>1006199</c:v>
                </c:pt>
                <c:pt idx="10">
                  <c:v>1002953</c:v>
                </c:pt>
                <c:pt idx="11">
                  <c:v>999820</c:v>
                </c:pt>
                <c:pt idx="12">
                  <c:v>996592</c:v>
                </c:pt>
                <c:pt idx="13">
                  <c:v>993663</c:v>
                </c:pt>
                <c:pt idx="14">
                  <c:v>988886</c:v>
                </c:pt>
                <c:pt idx="15">
                  <c:v>983690</c:v>
                </c:pt>
                <c:pt idx="16">
                  <c:v>980813</c:v>
                </c:pt>
                <c:pt idx="17">
                  <c:v>976466</c:v>
                </c:pt>
                <c:pt idx="18">
                  <c:v>972176</c:v>
                </c:pt>
                <c:pt idx="19">
                  <c:v>971331</c:v>
                </c:pt>
                <c:pt idx="20">
                  <c:v>970428</c:v>
                </c:pt>
                <c:pt idx="21">
                  <c:v>968418</c:v>
                </c:pt>
                <c:pt idx="22">
                  <c:v>965358</c:v>
                </c:pt>
                <c:pt idx="23">
                  <c:v>962952</c:v>
                </c:pt>
                <c:pt idx="24">
                  <c:v>958859</c:v>
                </c:pt>
                <c:pt idx="25">
                  <c:v>956338</c:v>
                </c:pt>
                <c:pt idx="26">
                  <c:v>952612</c:v>
                </c:pt>
                <c:pt idx="27">
                  <c:v>948626</c:v>
                </c:pt>
              </c:numCache>
            </c:numRef>
          </c:val>
          <c:smooth val="0"/>
          <c:extLst>
            <c:ext xmlns:c16="http://schemas.microsoft.com/office/drawing/2014/chart" uri="{C3380CC4-5D6E-409C-BE32-E72D297353CC}">
              <c16:uniqueId val="{00000007-340E-4DD9-8911-47FD767DDA8F}"/>
            </c:ext>
          </c:extLst>
        </c:ser>
        <c:ser>
          <c:idx val="7"/>
          <c:order val="8"/>
          <c:tx>
            <c:strRef>
              <c:f>'Peak Day Forecast'!$L$2</c:f>
              <c:strCache>
                <c:ptCount val="1"/>
                <c:pt idx="0">
                  <c:v>Scenario 8- Limited RNG</c:v>
                </c:pt>
              </c:strCache>
            </c:strRef>
          </c:tx>
          <c:spPr>
            <a:ln w="28575" cap="rnd">
              <a:solidFill>
                <a:srgbClr val="00B0F0"/>
              </a:solidFill>
              <a:round/>
            </a:ln>
            <a:effectLst/>
          </c:spPr>
          <c:marker>
            <c:symbol val="none"/>
          </c:marker>
          <c:cat>
            <c:numRef>
              <c:f>'Peak Day Forecast'!$A$4:$A$31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Day Forecast'!$L$4:$L$31</c:f>
              <c:numCache>
                <c:formatCode>_(* #,##0_);_(* \(#,##0\);_(* "-"??_);_(@_)</c:formatCode>
                <c:ptCount val="28"/>
                <c:pt idx="0">
                  <c:v>1008709</c:v>
                </c:pt>
                <c:pt idx="1">
                  <c:v>1010720</c:v>
                </c:pt>
                <c:pt idx="2">
                  <c:v>1011516</c:v>
                </c:pt>
                <c:pt idx="3">
                  <c:v>1012857</c:v>
                </c:pt>
                <c:pt idx="4">
                  <c:v>1015237</c:v>
                </c:pt>
                <c:pt idx="5">
                  <c:v>1014287</c:v>
                </c:pt>
                <c:pt idx="6">
                  <c:v>1013988</c:v>
                </c:pt>
                <c:pt idx="7">
                  <c:v>1010337</c:v>
                </c:pt>
                <c:pt idx="8">
                  <c:v>1008076</c:v>
                </c:pt>
                <c:pt idx="9">
                  <c:v>1005802</c:v>
                </c:pt>
                <c:pt idx="10">
                  <c:v>1002516</c:v>
                </c:pt>
                <c:pt idx="11">
                  <c:v>999345</c:v>
                </c:pt>
                <c:pt idx="12">
                  <c:v>996079</c:v>
                </c:pt>
                <c:pt idx="13">
                  <c:v>993112</c:v>
                </c:pt>
                <c:pt idx="14">
                  <c:v>988299</c:v>
                </c:pt>
                <c:pt idx="15">
                  <c:v>983068</c:v>
                </c:pt>
                <c:pt idx="16">
                  <c:v>980156</c:v>
                </c:pt>
                <c:pt idx="17">
                  <c:v>975775</c:v>
                </c:pt>
                <c:pt idx="18">
                  <c:v>971453</c:v>
                </c:pt>
                <c:pt idx="19">
                  <c:v>970575</c:v>
                </c:pt>
                <c:pt idx="20">
                  <c:v>969641</c:v>
                </c:pt>
                <c:pt idx="21">
                  <c:v>967600</c:v>
                </c:pt>
                <c:pt idx="22">
                  <c:v>964510</c:v>
                </c:pt>
                <c:pt idx="23">
                  <c:v>962075</c:v>
                </c:pt>
                <c:pt idx="24">
                  <c:v>957954</c:v>
                </c:pt>
                <c:pt idx="25">
                  <c:v>955405</c:v>
                </c:pt>
                <c:pt idx="26">
                  <c:v>951651</c:v>
                </c:pt>
                <c:pt idx="27">
                  <c:v>947638</c:v>
                </c:pt>
              </c:numCache>
            </c:numRef>
          </c:val>
          <c:smooth val="0"/>
          <c:extLst>
            <c:ext xmlns:c16="http://schemas.microsoft.com/office/drawing/2014/chart" uri="{C3380CC4-5D6E-409C-BE32-E72D297353CC}">
              <c16:uniqueId val="{00000008-340E-4DD9-8911-47FD767DDA8F}"/>
            </c:ext>
          </c:extLst>
        </c:ser>
        <c:ser>
          <c:idx val="8"/>
          <c:order val="9"/>
          <c:tx>
            <c:strRef>
              <c:f>'Peak Day Forecast'!$M$2</c:f>
              <c:strCache>
                <c:ptCount val="1"/>
                <c:pt idx="0">
                  <c:v>Scenario 9- Supply-Focused Decarbonization</c:v>
                </c:pt>
              </c:strCache>
            </c:strRef>
          </c:tx>
          <c:spPr>
            <a:ln w="28575" cap="rnd">
              <a:solidFill>
                <a:srgbClr val="4F7157"/>
              </a:solidFill>
              <a:round/>
            </a:ln>
            <a:effectLst/>
          </c:spPr>
          <c:marker>
            <c:symbol val="none"/>
          </c:marker>
          <c:val>
            <c:numRef>
              <c:f>'Peak Day Forecast'!$M$4:$M$31</c:f>
              <c:numCache>
                <c:formatCode>_(* #,##0_);_(* \(#,##0\);_(* "-"??_);_(@_)</c:formatCode>
                <c:ptCount val="28"/>
                <c:pt idx="0">
                  <c:v>1008709</c:v>
                </c:pt>
                <c:pt idx="1">
                  <c:v>1010714</c:v>
                </c:pt>
                <c:pt idx="2">
                  <c:v>1012239</c:v>
                </c:pt>
                <c:pt idx="3">
                  <c:v>1014983</c:v>
                </c:pt>
                <c:pt idx="4">
                  <c:v>1019407</c:v>
                </c:pt>
                <c:pt idx="5">
                  <c:v>1021098</c:v>
                </c:pt>
                <c:pt idx="6">
                  <c:v>1024034</c:v>
                </c:pt>
                <c:pt idx="7">
                  <c:v>1024147</c:v>
                </c:pt>
                <c:pt idx="8">
                  <c:v>1025569</c:v>
                </c:pt>
                <c:pt idx="9">
                  <c:v>1026846</c:v>
                </c:pt>
                <c:pt idx="10">
                  <c:v>1026969</c:v>
                </c:pt>
                <c:pt idx="11">
                  <c:v>1027121</c:v>
                </c:pt>
                <c:pt idx="12">
                  <c:v>1027100</c:v>
                </c:pt>
                <c:pt idx="13">
                  <c:v>1027290</c:v>
                </c:pt>
                <c:pt idx="14">
                  <c:v>1025464</c:v>
                </c:pt>
                <c:pt idx="15">
                  <c:v>1023096</c:v>
                </c:pt>
                <c:pt idx="16">
                  <c:v>1023064</c:v>
                </c:pt>
                <c:pt idx="17">
                  <c:v>1021401</c:v>
                </c:pt>
                <c:pt idx="18">
                  <c:v>1019728</c:v>
                </c:pt>
                <c:pt idx="19">
                  <c:v>1021624</c:v>
                </c:pt>
                <c:pt idx="20">
                  <c:v>1023422</c:v>
                </c:pt>
                <c:pt idx="21">
                  <c:v>1023994</c:v>
                </c:pt>
                <c:pt idx="22">
                  <c:v>1023439</c:v>
                </c:pt>
                <c:pt idx="23">
                  <c:v>1023530</c:v>
                </c:pt>
                <c:pt idx="24">
                  <c:v>1021772</c:v>
                </c:pt>
                <c:pt idx="25">
                  <c:v>1021644</c:v>
                </c:pt>
                <c:pt idx="26">
                  <c:v>1020235</c:v>
                </c:pt>
                <c:pt idx="27">
                  <c:v>1018346</c:v>
                </c:pt>
              </c:numCache>
            </c:numRef>
          </c:val>
          <c:smooth val="0"/>
          <c:extLst>
            <c:ext xmlns:c16="http://schemas.microsoft.com/office/drawing/2014/chart" uri="{C3380CC4-5D6E-409C-BE32-E72D297353CC}">
              <c16:uniqueId val="{00000009-340E-4DD9-8911-47FD767DDA8F}"/>
            </c:ext>
          </c:extLst>
        </c:ser>
        <c:dLbls>
          <c:showLegendKey val="0"/>
          <c:showVal val="0"/>
          <c:showCatName val="0"/>
          <c:showSerName val="0"/>
          <c:showPercent val="0"/>
          <c:showBubbleSize val="0"/>
        </c:dLbls>
        <c:smooth val="0"/>
        <c:axId val="923974847"/>
        <c:axId val="923972767"/>
      </c:lineChart>
      <c:catAx>
        <c:axId val="923974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23972767"/>
        <c:crosses val="autoZero"/>
        <c:auto val="1"/>
        <c:lblAlgn val="ctr"/>
        <c:lblOffset val="100"/>
        <c:noMultiLvlLbl val="0"/>
      </c:catAx>
      <c:valAx>
        <c:axId val="923972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Total Resource Capaicty (Dth/day)</a:t>
                </a:r>
                <a:endParaRPr lang="en-US" sz="1200">
                  <a:effectLst/>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923974847"/>
        <c:crosses val="autoZero"/>
        <c:crossBetween val="between"/>
      </c:valAx>
      <c:spPr>
        <a:noFill/>
        <a:ln>
          <a:noFill/>
        </a:ln>
        <a:effectLst/>
      </c:spPr>
    </c:plotArea>
    <c:legend>
      <c:legendPos val="b"/>
      <c:layout>
        <c:manualLayout>
          <c:xMode val="edge"/>
          <c:yMode val="edge"/>
          <c:x val="9.3433652830073096E-3"/>
          <c:y val="0.78785194464328323"/>
          <c:w val="0.98354372277513658"/>
          <c:h val="0.184370277578939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System Peak Day Load</a:t>
            </a:r>
          </a:p>
        </c:rich>
      </c:tx>
      <c:layout>
        <c:manualLayout>
          <c:xMode val="edge"/>
          <c:yMode val="edge"/>
          <c:x val="0.12078693226316219"/>
          <c:y val="4.1293615554437446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2506110564304462"/>
          <c:y val="0.11124611713135746"/>
          <c:w val="0.64770081474190722"/>
          <c:h val="0.71084379255224672"/>
        </c:manualLayout>
      </c:layout>
      <c:areaChart>
        <c:grouping val="stacked"/>
        <c:varyColors val="0"/>
        <c:ser>
          <c:idx val="1"/>
          <c:order val="0"/>
          <c:tx>
            <c:strRef>
              <c:f>'Peak Load'!$C$1</c:f>
              <c:strCache>
                <c:ptCount val="1"/>
                <c:pt idx="0">
                  <c:v> Residential Firm Sales </c:v>
                </c:pt>
              </c:strCache>
            </c:strRef>
          </c:tx>
          <c:spPr>
            <a:solidFill>
              <a:schemeClr val="accent2">
                <a:lumMod val="75000"/>
              </a:schemeClr>
            </a:solidFill>
            <a:ln>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Load'!$C$2:$C$29</c:f>
              <c:numCache>
                <c:formatCode>_(* #,##0_);_(* \(#,##0\);_(* "-"??_);_(@_)</c:formatCode>
                <c:ptCount val="28"/>
                <c:pt idx="0">
                  <c:v>675285.24944850127</c:v>
                </c:pt>
                <c:pt idx="1">
                  <c:v>683035.04424212803</c:v>
                </c:pt>
                <c:pt idx="2">
                  <c:v>668994.24872736156</c:v>
                </c:pt>
                <c:pt idx="3">
                  <c:v>655265.39557912352</c:v>
                </c:pt>
                <c:pt idx="4">
                  <c:v>643017.05406154983</c:v>
                </c:pt>
                <c:pt idx="5">
                  <c:v>629084.65612968011</c:v>
                </c:pt>
                <c:pt idx="6">
                  <c:v>616530.78223896504</c:v>
                </c:pt>
                <c:pt idx="7">
                  <c:v>602199.07037465367</c:v>
                </c:pt>
                <c:pt idx="8">
                  <c:v>588786.98148952774</c:v>
                </c:pt>
                <c:pt idx="9">
                  <c:v>575879.10665229254</c:v>
                </c:pt>
                <c:pt idx="10">
                  <c:v>563154.82563091174</c:v>
                </c:pt>
                <c:pt idx="11">
                  <c:v>549814.57132979191</c:v>
                </c:pt>
                <c:pt idx="12">
                  <c:v>536326.45820868271</c:v>
                </c:pt>
                <c:pt idx="13">
                  <c:v>523665.73151343816</c:v>
                </c:pt>
                <c:pt idx="14">
                  <c:v>510689.63078732864</c:v>
                </c:pt>
                <c:pt idx="15">
                  <c:v>497213.56936227845</c:v>
                </c:pt>
                <c:pt idx="16">
                  <c:v>484914.83561294491</c:v>
                </c:pt>
                <c:pt idx="17">
                  <c:v>471752.33149769017</c:v>
                </c:pt>
                <c:pt idx="18">
                  <c:v>458558.83810555283</c:v>
                </c:pt>
                <c:pt idx="19">
                  <c:v>445649.86129454989</c:v>
                </c:pt>
                <c:pt idx="20">
                  <c:v>433057.5562465993</c:v>
                </c:pt>
                <c:pt idx="21">
                  <c:v>419956.87419573002</c:v>
                </c:pt>
                <c:pt idx="22">
                  <c:v>406901.57514616742</c:v>
                </c:pt>
                <c:pt idx="23">
                  <c:v>394108.89940205455</c:v>
                </c:pt>
                <c:pt idx="24">
                  <c:v>380630.92018181068</c:v>
                </c:pt>
                <c:pt idx="25">
                  <c:v>367665.05240265094</c:v>
                </c:pt>
                <c:pt idx="26">
                  <c:v>354819.72264545679</c:v>
                </c:pt>
                <c:pt idx="27">
                  <c:v>341802.9701930891</c:v>
                </c:pt>
              </c:numCache>
            </c:numRef>
          </c:val>
          <c:extLst>
            <c:ext xmlns:c16="http://schemas.microsoft.com/office/drawing/2014/chart" uri="{C3380CC4-5D6E-409C-BE32-E72D297353CC}">
              <c16:uniqueId val="{00000000-91C1-44E7-BFC7-B54E0483E340}"/>
            </c:ext>
          </c:extLst>
        </c:ser>
        <c:ser>
          <c:idx val="2"/>
          <c:order val="1"/>
          <c:tx>
            <c:strRef>
              <c:f>'Peak Load'!$D$1</c:f>
              <c:strCache>
                <c:ptCount val="1"/>
                <c:pt idx="0">
                  <c:v> Commercial Firm Sales </c:v>
                </c:pt>
              </c:strCache>
            </c:strRef>
          </c:tx>
          <c:spPr>
            <a:solidFill>
              <a:schemeClr val="accent2">
                <a:lumMod val="60000"/>
                <a:lumOff val="40000"/>
              </a:schemeClr>
            </a:solidFill>
            <a:ln>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Load'!$D$2:$D$29</c:f>
              <c:numCache>
                <c:formatCode>_(* #,##0_);_(* \(#,##0\);_(* "-"??_);_(@_)</c:formatCode>
                <c:ptCount val="28"/>
                <c:pt idx="0">
                  <c:v>266510.45250805264</c:v>
                </c:pt>
                <c:pt idx="1">
                  <c:v>269506.54524411878</c:v>
                </c:pt>
                <c:pt idx="2">
                  <c:v>264006.69033221982</c:v>
                </c:pt>
                <c:pt idx="3">
                  <c:v>258629.89100494282</c:v>
                </c:pt>
                <c:pt idx="4">
                  <c:v>253837.64421579699</c:v>
                </c:pt>
                <c:pt idx="5">
                  <c:v>248380.37948055775</c:v>
                </c:pt>
                <c:pt idx="6">
                  <c:v>243467.52822751441</c:v>
                </c:pt>
                <c:pt idx="7">
                  <c:v>237852.36563617853</c:v>
                </c:pt>
                <c:pt idx="8">
                  <c:v>232600.40396146345</c:v>
                </c:pt>
                <c:pt idx="9">
                  <c:v>227547.65201464458</c:v>
                </c:pt>
                <c:pt idx="10">
                  <c:v>222567.48177531915</c:v>
                </c:pt>
                <c:pt idx="11">
                  <c:v>217343.82218376439</c:v>
                </c:pt>
                <c:pt idx="12">
                  <c:v>212061.63723752685</c:v>
                </c:pt>
                <c:pt idx="13">
                  <c:v>207106.61568236092</c:v>
                </c:pt>
                <c:pt idx="14">
                  <c:v>202026.88356408256</c:v>
                </c:pt>
                <c:pt idx="15">
                  <c:v>196749.31513041622</c:v>
                </c:pt>
                <c:pt idx="16">
                  <c:v>191937.63712797588</c:v>
                </c:pt>
                <c:pt idx="17">
                  <c:v>186784.12519723474</c:v>
                </c:pt>
                <c:pt idx="18">
                  <c:v>181618.30110246208</c:v>
                </c:pt>
                <c:pt idx="19">
                  <c:v>176565.13260624433</c:v>
                </c:pt>
                <c:pt idx="20">
                  <c:v>171637.4620836488</c:v>
                </c:pt>
                <c:pt idx="21">
                  <c:v>166508.37699736489</c:v>
                </c:pt>
                <c:pt idx="22">
                  <c:v>161397.2546042194</c:v>
                </c:pt>
                <c:pt idx="23">
                  <c:v>156390.28567700641</c:v>
                </c:pt>
                <c:pt idx="24">
                  <c:v>151111.42358236908</c:v>
                </c:pt>
                <c:pt idx="25">
                  <c:v>146035.70329341461</c:v>
                </c:pt>
                <c:pt idx="26">
                  <c:v>141007.85915240884</c:v>
                </c:pt>
                <c:pt idx="27">
                  <c:v>135911.94184010342</c:v>
                </c:pt>
              </c:numCache>
            </c:numRef>
          </c:val>
          <c:extLst>
            <c:ext xmlns:c16="http://schemas.microsoft.com/office/drawing/2014/chart" uri="{C3380CC4-5D6E-409C-BE32-E72D297353CC}">
              <c16:uniqueId val="{00000001-91C1-44E7-BFC7-B54E0483E340}"/>
            </c:ext>
          </c:extLst>
        </c:ser>
        <c:ser>
          <c:idx val="4"/>
          <c:order val="2"/>
          <c:tx>
            <c:strRef>
              <c:f>'Peak Load'!$E$1</c:f>
              <c:strCache>
                <c:ptCount val="1"/>
                <c:pt idx="0">
                  <c:v> Industrial Firm Sales </c:v>
                </c:pt>
              </c:strCache>
            </c:strRef>
          </c:tx>
          <c:spPr>
            <a:solidFill>
              <a:schemeClr val="accent2">
                <a:lumMod val="20000"/>
                <a:lumOff val="80000"/>
              </a:schemeClr>
            </a:solidFill>
            <a:ln w="25400">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Load'!$E$2:$E$29</c:f>
              <c:numCache>
                <c:formatCode>_(* #,##0_);_(* \(#,##0\);_(* "-"??_);_(@_)</c:formatCode>
                <c:ptCount val="28"/>
                <c:pt idx="0">
                  <c:v>66912.368352393794</c:v>
                </c:pt>
                <c:pt idx="1">
                  <c:v>65261.928245920222</c:v>
                </c:pt>
                <c:pt idx="2">
                  <c:v>63118.427936236607</c:v>
                </c:pt>
                <c:pt idx="3">
                  <c:v>61259.670117732487</c:v>
                </c:pt>
                <c:pt idx="4">
                  <c:v>59476.771479973075</c:v>
                </c:pt>
                <c:pt idx="5">
                  <c:v>57960.523526621633</c:v>
                </c:pt>
                <c:pt idx="6">
                  <c:v>56145.527010719699</c:v>
                </c:pt>
                <c:pt idx="7">
                  <c:v>54643.608187572798</c:v>
                </c:pt>
                <c:pt idx="8">
                  <c:v>53210.598420818715</c:v>
                </c:pt>
                <c:pt idx="9">
                  <c:v>52026.733226558543</c:v>
                </c:pt>
                <c:pt idx="10">
                  <c:v>50519.416311718931</c:v>
                </c:pt>
                <c:pt idx="11">
                  <c:v>49218.518274007278</c:v>
                </c:pt>
                <c:pt idx="12">
                  <c:v>47931.751042839926</c:v>
                </c:pt>
                <c:pt idx="13">
                  <c:v>46832.479817478481</c:v>
                </c:pt>
                <c:pt idx="14">
                  <c:v>45402.665810353297</c:v>
                </c:pt>
                <c:pt idx="15">
                  <c:v>44125.978288228129</c:v>
                </c:pt>
                <c:pt idx="16">
                  <c:v>42845.847750023298</c:v>
                </c:pt>
                <c:pt idx="17">
                  <c:v>41703.102914749936</c:v>
                </c:pt>
                <c:pt idx="18">
                  <c:v>40265.005972799641</c:v>
                </c:pt>
                <c:pt idx="19">
                  <c:v>38974.514692959463</c:v>
                </c:pt>
                <c:pt idx="20">
                  <c:v>37680.123359844059</c:v>
                </c:pt>
                <c:pt idx="21">
                  <c:v>36500.439672392647</c:v>
                </c:pt>
                <c:pt idx="22">
                  <c:v>35055.644168408413</c:v>
                </c:pt>
                <c:pt idx="23">
                  <c:v>33728.378000834957</c:v>
                </c:pt>
                <c:pt idx="24">
                  <c:v>32387.323232522671</c:v>
                </c:pt>
                <c:pt idx="25">
                  <c:v>31145.742050310189</c:v>
                </c:pt>
                <c:pt idx="26">
                  <c:v>29676.163877782819</c:v>
                </c:pt>
                <c:pt idx="27">
                  <c:v>28302.952217812708</c:v>
                </c:pt>
              </c:numCache>
            </c:numRef>
          </c:val>
          <c:extLst>
            <c:ext xmlns:c16="http://schemas.microsoft.com/office/drawing/2014/chart" uri="{C3380CC4-5D6E-409C-BE32-E72D297353CC}">
              <c16:uniqueId val="{00000002-91C1-44E7-BFC7-B54E0483E340}"/>
            </c:ext>
          </c:extLst>
        </c:ser>
        <c:dLbls>
          <c:showLegendKey val="0"/>
          <c:showVal val="0"/>
          <c:showCatName val="0"/>
          <c:showSerName val="0"/>
          <c:showPercent val="0"/>
          <c:showBubbleSize val="0"/>
        </c:dLbls>
        <c:axId val="1022638608"/>
        <c:axId val="1022617392"/>
      </c:areaChart>
      <c:lineChart>
        <c:grouping val="standard"/>
        <c:varyColors val="0"/>
        <c:ser>
          <c:idx val="0"/>
          <c:order val="3"/>
          <c:tx>
            <c:strRef>
              <c:f>'Peak Load'!$F$1</c:f>
              <c:strCache>
                <c:ptCount val="1"/>
                <c:pt idx="0">
                  <c:v> Reference Case </c:v>
                </c:pt>
              </c:strCache>
            </c:strRef>
          </c:tx>
          <c:spPr>
            <a:ln w="28575" cap="rnd">
              <a:solidFill>
                <a:schemeClr val="tx1"/>
              </a:solidFill>
              <a:prstDash val="dash"/>
              <a:round/>
            </a:ln>
            <a:effectLst/>
          </c:spPr>
          <c:marker>
            <c:symbol val="none"/>
          </c:marke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Load'!$F$2:$F$29</c:f>
              <c:numCache>
                <c:formatCode>#,##0</c:formatCode>
                <c:ptCount val="28"/>
                <c:pt idx="0">
                  <c:v>1008708.0703089478</c:v>
                </c:pt>
                <c:pt idx="1">
                  <c:v>1018190.9885531166</c:v>
                </c:pt>
                <c:pt idx="2">
                  <c:v>1027863.9112472036</c:v>
                </c:pt>
                <c:pt idx="3">
                  <c:v>1038545.3429191861</c:v>
                </c:pt>
                <c:pt idx="4">
                  <c:v>1051100.7819269882</c:v>
                </c:pt>
                <c:pt idx="5">
                  <c:v>1060814.7781622466</c:v>
                </c:pt>
                <c:pt idx="6">
                  <c:v>1072523.6442844223</c:v>
                </c:pt>
                <c:pt idx="7">
                  <c:v>1081316.4839979326</c:v>
                </c:pt>
                <c:pt idx="8">
                  <c:v>1091507.0816769446</c:v>
                </c:pt>
                <c:pt idx="9">
                  <c:v>1102272.6376432604</c:v>
                </c:pt>
                <c:pt idx="10">
                  <c:v>1112746.0192551964</c:v>
                </c:pt>
                <c:pt idx="11">
                  <c:v>1121628.8899807509</c:v>
                </c:pt>
                <c:pt idx="12">
                  <c:v>1130124.402974413</c:v>
                </c:pt>
                <c:pt idx="13">
                  <c:v>1140103.6255616422</c:v>
                </c:pt>
                <c:pt idx="14">
                  <c:v>1149011.2680296244</c:v>
                </c:pt>
                <c:pt idx="15">
                  <c:v>1156415.769170675</c:v>
                </c:pt>
                <c:pt idx="16">
                  <c:v>1166190.1808318449</c:v>
                </c:pt>
                <c:pt idx="17">
                  <c:v>1173967.2768141432</c:v>
                </c:pt>
                <c:pt idx="18">
                  <c:v>1181591.1110625812</c:v>
                </c:pt>
                <c:pt idx="19">
                  <c:v>1189892.8322329591</c:v>
                </c:pt>
                <c:pt idx="20">
                  <c:v>1199026.5283889992</c:v>
                </c:pt>
                <c:pt idx="21">
                  <c:v>1206812.7853317969</c:v>
                </c:pt>
                <c:pt idx="22">
                  <c:v>1214622.1978399795</c:v>
                </c:pt>
                <c:pt idx="23">
                  <c:v>1223089.5932740062</c:v>
                </c:pt>
                <c:pt idx="24">
                  <c:v>1229437.1878805831</c:v>
                </c:pt>
                <c:pt idx="25">
                  <c:v>1237217.3813300719</c:v>
                </c:pt>
                <c:pt idx="26">
                  <c:v>1245281.7186654748</c:v>
                </c:pt>
                <c:pt idx="27">
                  <c:v>1252729.3689475965</c:v>
                </c:pt>
              </c:numCache>
            </c:numRef>
          </c:val>
          <c:smooth val="0"/>
          <c:extLst>
            <c:ext xmlns:c16="http://schemas.microsoft.com/office/drawing/2014/chart" uri="{C3380CC4-5D6E-409C-BE32-E72D297353CC}">
              <c16:uniqueId val="{00000003-91C1-44E7-BFC7-B54E0483E340}"/>
            </c:ext>
          </c:extLst>
        </c:ser>
        <c:ser>
          <c:idx val="3"/>
          <c:order val="4"/>
          <c:tx>
            <c:strRef>
              <c:f>'Peak Load'!$AR$1</c:f>
              <c:strCache>
                <c:ptCount val="1"/>
                <c:pt idx="0">
                  <c:v>Exisiting Resource Stack</c:v>
                </c:pt>
              </c:strCache>
            </c:strRef>
          </c:tx>
          <c:spPr>
            <a:ln w="28575" cap="rnd">
              <a:solidFill>
                <a:srgbClr val="C00000"/>
              </a:solidFill>
              <a:round/>
            </a:ln>
            <a:effectLst/>
          </c:spPr>
          <c:marker>
            <c:symbol val="none"/>
          </c:marke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Load'!$AR$2:$AR$29</c:f>
              <c:numCache>
                <c:formatCode>General</c:formatCode>
                <c:ptCount val="28"/>
                <c:pt idx="0">
                  <c:v>1010934.0785000001</c:v>
                </c:pt>
                <c:pt idx="1">
                  <c:v>990934.07850000006</c:v>
                </c:pt>
                <c:pt idx="2">
                  <c:v>990934.07850000006</c:v>
                </c:pt>
                <c:pt idx="3">
                  <c:v>990934.07850000006</c:v>
                </c:pt>
                <c:pt idx="4">
                  <c:v>990934.07850000006</c:v>
                </c:pt>
                <c:pt idx="5">
                  <c:v>799434.07850000006</c:v>
                </c:pt>
                <c:pt idx="6">
                  <c:v>799434.07850000006</c:v>
                </c:pt>
                <c:pt idx="7">
                  <c:v>799434.07850000006</c:v>
                </c:pt>
                <c:pt idx="8">
                  <c:v>799434.07850000006</c:v>
                </c:pt>
                <c:pt idx="9">
                  <c:v>799434.07850000006</c:v>
                </c:pt>
                <c:pt idx="10">
                  <c:v>799434.07850000006</c:v>
                </c:pt>
                <c:pt idx="11">
                  <c:v>799434.07850000006</c:v>
                </c:pt>
                <c:pt idx="12">
                  <c:v>799434.07850000006</c:v>
                </c:pt>
                <c:pt idx="13">
                  <c:v>799434.07850000006</c:v>
                </c:pt>
                <c:pt idx="14">
                  <c:v>799434.07850000006</c:v>
                </c:pt>
                <c:pt idx="15">
                  <c:v>799434.07850000006</c:v>
                </c:pt>
                <c:pt idx="16">
                  <c:v>799434.07850000006</c:v>
                </c:pt>
                <c:pt idx="17">
                  <c:v>799434.07850000006</c:v>
                </c:pt>
                <c:pt idx="18">
                  <c:v>799434.07850000006</c:v>
                </c:pt>
                <c:pt idx="19">
                  <c:v>799434.07850000006</c:v>
                </c:pt>
                <c:pt idx="20">
                  <c:v>799434.07850000006</c:v>
                </c:pt>
                <c:pt idx="21">
                  <c:v>799434.07850000006</c:v>
                </c:pt>
                <c:pt idx="22">
                  <c:v>799434.07850000006</c:v>
                </c:pt>
                <c:pt idx="23">
                  <c:v>799434.07850000006</c:v>
                </c:pt>
                <c:pt idx="24">
                  <c:v>799434.07850000006</c:v>
                </c:pt>
                <c:pt idx="25">
                  <c:v>799434.07850000006</c:v>
                </c:pt>
                <c:pt idx="26">
                  <c:v>799434.07850000006</c:v>
                </c:pt>
                <c:pt idx="27">
                  <c:v>799434.07850000006</c:v>
                </c:pt>
              </c:numCache>
            </c:numRef>
          </c:val>
          <c:smooth val="0"/>
          <c:extLst>
            <c:ext xmlns:c16="http://schemas.microsoft.com/office/drawing/2014/chart" uri="{C3380CC4-5D6E-409C-BE32-E72D297353CC}">
              <c16:uniqueId val="{00000004-91C1-44E7-BFC7-B54E0483E340}"/>
            </c:ext>
          </c:extLst>
        </c:ser>
        <c:dLbls>
          <c:showLegendKey val="0"/>
          <c:showVal val="0"/>
          <c:showCatName val="0"/>
          <c:showSerName val="0"/>
          <c:showPercent val="0"/>
          <c:showBubbleSize val="0"/>
        </c:dLbls>
        <c:marker val="1"/>
        <c:smooth val="0"/>
        <c:axId val="1022638608"/>
        <c:axId val="1022617392"/>
      </c:line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4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Firm Sales (Dth/day)</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legend>
      <c:legendPos val="b"/>
      <c:layout>
        <c:manualLayout>
          <c:xMode val="edge"/>
          <c:yMode val="edge"/>
          <c:x val="0.77820086942257216"/>
          <c:y val="2.5003700195370321E-2"/>
          <c:w val="0.20193025814290155"/>
          <c:h val="0.91331367296193244"/>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Oregon Deliveries</a:t>
            </a:r>
          </a:p>
        </c:rich>
      </c:tx>
      <c:layout>
        <c:manualLayout>
          <c:xMode val="edge"/>
          <c:yMode val="edge"/>
          <c:x val="9.5348809958843622E-2"/>
          <c:y val="4.0435426073964324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9.5333371490557456E-2"/>
          <c:y val="0.10875313448272497"/>
          <c:w val="0.67885762722027343"/>
          <c:h val="0.75025970266727815"/>
        </c:manualLayout>
      </c:layout>
      <c:areaChart>
        <c:grouping val="stacked"/>
        <c:varyColors val="0"/>
        <c:ser>
          <c:idx val="0"/>
          <c:order val="0"/>
          <c:tx>
            <c:strRef>
              <c:f>'Annual Load'!$C$1</c:f>
              <c:strCache>
                <c:ptCount val="1"/>
                <c:pt idx="0">
                  <c:v> Residential </c:v>
                </c:pt>
              </c:strCache>
            </c:strRef>
          </c:tx>
          <c:spPr>
            <a:solidFill>
              <a:schemeClr val="accent2">
                <a:lumMod val="75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Load'!$C$2:$C$30</c:f>
              <c:numCache>
                <c:formatCode>_(* #,##0_);_(* \(#,##0\);_(* "-"??_);_(@_)</c:formatCode>
                <c:ptCount val="29"/>
                <c:pt idx="0">
                  <c:v>39259732.435937501</c:v>
                </c:pt>
                <c:pt idx="1">
                  <c:v>39521790.262500003</c:v>
                </c:pt>
                <c:pt idx="2">
                  <c:v>40049305.065624997</c:v>
                </c:pt>
                <c:pt idx="3">
                  <c:v>39545706.128124997</c:v>
                </c:pt>
                <c:pt idx="4">
                  <c:v>38658845.887500003</c:v>
                </c:pt>
                <c:pt idx="5">
                  <c:v>37775335.198437497</c:v>
                </c:pt>
                <c:pt idx="6">
                  <c:v>37118177.262500003</c:v>
                </c:pt>
                <c:pt idx="7">
                  <c:v>36013656.315624997</c:v>
                </c:pt>
                <c:pt idx="8">
                  <c:v>35142535.237499997</c:v>
                </c:pt>
                <c:pt idx="9">
                  <c:v>34272806.839062497</c:v>
                </c:pt>
                <c:pt idx="10">
                  <c:v>33623377.5703125</c:v>
                </c:pt>
                <c:pt idx="11">
                  <c:v>32561399.778124999</c:v>
                </c:pt>
                <c:pt idx="12">
                  <c:v>31701956.649999999</c:v>
                </c:pt>
                <c:pt idx="13">
                  <c:v>30858097.485937499</c:v>
                </c:pt>
                <c:pt idx="14">
                  <c:v>30198516.317968749</c:v>
                </c:pt>
                <c:pt idx="15">
                  <c:v>29173893.729687501</c:v>
                </c:pt>
                <c:pt idx="16">
                  <c:v>28341031.557812501</c:v>
                </c:pt>
                <c:pt idx="17">
                  <c:v>27512360.882031251</c:v>
                </c:pt>
                <c:pt idx="18">
                  <c:v>26852168.880468749</c:v>
                </c:pt>
                <c:pt idx="19">
                  <c:v>25871688.582812499</c:v>
                </c:pt>
                <c:pt idx="20">
                  <c:v>25057191.999218751</c:v>
                </c:pt>
                <c:pt idx="21">
                  <c:v>24242690.771093749</c:v>
                </c:pt>
                <c:pt idx="22">
                  <c:v>23583350.021093749</c:v>
                </c:pt>
                <c:pt idx="23">
                  <c:v>22637942.731249999</c:v>
                </c:pt>
                <c:pt idx="24">
                  <c:v>21843523.728906251</c:v>
                </c:pt>
                <c:pt idx="25">
                  <c:v>21054836.712499999</c:v>
                </c:pt>
                <c:pt idx="26">
                  <c:v>20398888.028124999</c:v>
                </c:pt>
                <c:pt idx="27">
                  <c:v>19493826.421875</c:v>
                </c:pt>
                <c:pt idx="28">
                  <c:v>18719161.02734375</c:v>
                </c:pt>
              </c:numCache>
            </c:numRef>
          </c:val>
          <c:extLst>
            <c:ext xmlns:c16="http://schemas.microsoft.com/office/drawing/2014/chart" uri="{C3380CC4-5D6E-409C-BE32-E72D297353CC}">
              <c16:uniqueId val="{00000000-B633-4C85-9F2D-12021E858B62}"/>
            </c:ext>
          </c:extLst>
        </c:ser>
        <c:ser>
          <c:idx val="1"/>
          <c:order val="1"/>
          <c:tx>
            <c:strRef>
              <c:f>'Annual Load'!$D$1</c:f>
              <c:strCache>
                <c:ptCount val="1"/>
                <c:pt idx="0">
                  <c:v> Small Commercial </c:v>
                </c:pt>
              </c:strCache>
            </c:strRef>
          </c:tx>
          <c:spPr>
            <a:solidFill>
              <a:schemeClr val="accent2">
                <a:lumMod val="60000"/>
                <a:lumOff val="4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Load'!$D$2:$D$30</c:f>
              <c:numCache>
                <c:formatCode>_(* #,##0_);_(* \(#,##0\);_(* "-"??_);_(@_)</c:formatCode>
                <c:ptCount val="29"/>
                <c:pt idx="0">
                  <c:v>16907226.653906249</c:v>
                </c:pt>
                <c:pt idx="1">
                  <c:v>16869467.220312499</c:v>
                </c:pt>
                <c:pt idx="2">
                  <c:v>17217660.239062499</c:v>
                </c:pt>
                <c:pt idx="3">
                  <c:v>17074080.082812499</c:v>
                </c:pt>
                <c:pt idx="4">
                  <c:v>16706250.9609375</c:v>
                </c:pt>
                <c:pt idx="5">
                  <c:v>16339822.4125</c:v>
                </c:pt>
                <c:pt idx="6">
                  <c:v>16065153.4296875</c:v>
                </c:pt>
                <c:pt idx="7">
                  <c:v>15608593.07421875</c:v>
                </c:pt>
                <c:pt idx="8">
                  <c:v>15246859.66015625</c:v>
                </c:pt>
                <c:pt idx="9">
                  <c:v>14885509.58828125</c:v>
                </c:pt>
                <c:pt idx="10">
                  <c:v>14614232.2265625</c:v>
                </c:pt>
                <c:pt idx="11">
                  <c:v>14173944.93125</c:v>
                </c:pt>
                <c:pt idx="12">
                  <c:v>13817047.55625</c:v>
                </c:pt>
                <c:pt idx="13">
                  <c:v>13466043.83359375</c:v>
                </c:pt>
                <c:pt idx="14">
                  <c:v>13190677.79140625</c:v>
                </c:pt>
                <c:pt idx="15">
                  <c:v>12765430.28671875</c:v>
                </c:pt>
                <c:pt idx="16">
                  <c:v>12418646.51953125</c:v>
                </c:pt>
                <c:pt idx="17">
                  <c:v>12073752.93125</c:v>
                </c:pt>
                <c:pt idx="18">
                  <c:v>11797921.56484375</c:v>
                </c:pt>
                <c:pt idx="19">
                  <c:v>11390103.39609375</c:v>
                </c:pt>
                <c:pt idx="20">
                  <c:v>11050739.0640625</c:v>
                </c:pt>
                <c:pt idx="21">
                  <c:v>10711090.553906251</c:v>
                </c:pt>
                <c:pt idx="22">
                  <c:v>10435726.047656249</c:v>
                </c:pt>
                <c:pt idx="23">
                  <c:v>10041583.128125001</c:v>
                </c:pt>
                <c:pt idx="24">
                  <c:v>9709980.8656249996</c:v>
                </c:pt>
                <c:pt idx="25">
                  <c:v>9380505.7390624993</c:v>
                </c:pt>
                <c:pt idx="26">
                  <c:v>9106259.7992187496</c:v>
                </c:pt>
                <c:pt idx="27">
                  <c:v>8727944.3515625</c:v>
                </c:pt>
                <c:pt idx="28">
                  <c:v>8404123.0984374993</c:v>
                </c:pt>
              </c:numCache>
            </c:numRef>
          </c:val>
          <c:extLst>
            <c:ext xmlns:c16="http://schemas.microsoft.com/office/drawing/2014/chart" uri="{C3380CC4-5D6E-409C-BE32-E72D297353CC}">
              <c16:uniqueId val="{00000001-B633-4C85-9F2D-12021E858B62}"/>
            </c:ext>
          </c:extLst>
        </c:ser>
        <c:ser>
          <c:idx val="2"/>
          <c:order val="2"/>
          <c:tx>
            <c:strRef>
              <c:f>'Annual Load'!$E$1</c:f>
              <c:strCache>
                <c:ptCount val="1"/>
                <c:pt idx="0">
                  <c:v> Industrial &amp; Large Com </c:v>
                </c:pt>
              </c:strCache>
            </c:strRef>
          </c:tx>
          <c:spPr>
            <a:solidFill>
              <a:schemeClr val="accent2">
                <a:lumMod val="20000"/>
                <a:lumOff val="8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Load'!$E$2:$E$30</c:f>
              <c:numCache>
                <c:formatCode>_(* #,##0_);_(* \(#,##0\);_(* "-"??_);_(@_)</c:formatCode>
                <c:ptCount val="29"/>
                <c:pt idx="0">
                  <c:v>16040843.699999999</c:v>
                </c:pt>
                <c:pt idx="1">
                  <c:v>15700684.793749999</c:v>
                </c:pt>
                <c:pt idx="2">
                  <c:v>15345901.010937501</c:v>
                </c:pt>
                <c:pt idx="3">
                  <c:v>14771130.3828125</c:v>
                </c:pt>
                <c:pt idx="4">
                  <c:v>14326496.4296875</c:v>
                </c:pt>
                <c:pt idx="5">
                  <c:v>13900053.112500001</c:v>
                </c:pt>
                <c:pt idx="6">
                  <c:v>13594934.321875</c:v>
                </c:pt>
                <c:pt idx="7">
                  <c:v>13109825.653124999</c:v>
                </c:pt>
                <c:pt idx="8">
                  <c:v>12758055.5703125</c:v>
                </c:pt>
                <c:pt idx="9">
                  <c:v>12423242.84375</c:v>
                </c:pt>
                <c:pt idx="10">
                  <c:v>12197719.1625</c:v>
                </c:pt>
                <c:pt idx="11">
                  <c:v>11797515.370312501</c:v>
                </c:pt>
                <c:pt idx="12">
                  <c:v>11496652.621874999</c:v>
                </c:pt>
                <c:pt idx="13">
                  <c:v>11199443.557812501</c:v>
                </c:pt>
                <c:pt idx="14">
                  <c:v>10990715.290625</c:v>
                </c:pt>
                <c:pt idx="15">
                  <c:v>10614642.515625</c:v>
                </c:pt>
                <c:pt idx="16">
                  <c:v>10319506.964062501</c:v>
                </c:pt>
                <c:pt idx="17">
                  <c:v>10022070.731249999</c:v>
                </c:pt>
                <c:pt idx="18">
                  <c:v>9797501.1203125007</c:v>
                </c:pt>
                <c:pt idx="19">
                  <c:v>9423230.9921875</c:v>
                </c:pt>
                <c:pt idx="20">
                  <c:v>9123109.0500000007</c:v>
                </c:pt>
                <c:pt idx="21">
                  <c:v>8821521.8265624996</c:v>
                </c:pt>
                <c:pt idx="22">
                  <c:v>8582090.6296874993</c:v>
                </c:pt>
                <c:pt idx="23">
                  <c:v>8209720.8265624996</c:v>
                </c:pt>
                <c:pt idx="24">
                  <c:v>7899432.3562500002</c:v>
                </c:pt>
                <c:pt idx="25">
                  <c:v>7586160.4710937496</c:v>
                </c:pt>
                <c:pt idx="26">
                  <c:v>7325369.234375</c:v>
                </c:pt>
                <c:pt idx="27">
                  <c:v>6950502.69140625</c:v>
                </c:pt>
                <c:pt idx="28">
                  <c:v>6628037.4171874998</c:v>
                </c:pt>
              </c:numCache>
            </c:numRef>
          </c:val>
          <c:extLst>
            <c:ext xmlns:c16="http://schemas.microsoft.com/office/drawing/2014/chart" uri="{C3380CC4-5D6E-409C-BE32-E72D297353CC}">
              <c16:uniqueId val="{00000002-B633-4C85-9F2D-12021E858B62}"/>
            </c:ext>
          </c:extLst>
        </c:ser>
        <c:ser>
          <c:idx val="3"/>
          <c:order val="3"/>
          <c:tx>
            <c:strRef>
              <c:f>'Annual Load'!$F$1</c:f>
              <c:strCache>
                <c:ptCount val="1"/>
                <c:pt idx="0">
                  <c:v> Transport </c:v>
                </c:pt>
              </c:strCache>
            </c:strRef>
          </c:tx>
          <c:spPr>
            <a:solidFill>
              <a:schemeClr val="accent2">
                <a:lumMod val="5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Load'!$F$2:$F$30</c:f>
              <c:numCache>
                <c:formatCode>_(* #,##0_);_(* \(#,##0\);_(* "-"??_);_(@_)</c:formatCode>
                <c:ptCount val="29"/>
                <c:pt idx="0">
                  <c:v>35984083.143749997</c:v>
                </c:pt>
                <c:pt idx="1">
                  <c:v>35257075.924999997</c:v>
                </c:pt>
                <c:pt idx="2">
                  <c:v>34438066.268749997</c:v>
                </c:pt>
                <c:pt idx="3">
                  <c:v>33105266.518750001</c:v>
                </c:pt>
                <c:pt idx="4">
                  <c:v>32050466.5625</c:v>
                </c:pt>
                <c:pt idx="5">
                  <c:v>31000917.893750001</c:v>
                </c:pt>
                <c:pt idx="6">
                  <c:v>30158936.918749999</c:v>
                </c:pt>
                <c:pt idx="7">
                  <c:v>28946124.993749999</c:v>
                </c:pt>
                <c:pt idx="8">
                  <c:v>27947733.118749999</c:v>
                </c:pt>
                <c:pt idx="9">
                  <c:v>26947394.28125</c:v>
                </c:pt>
                <c:pt idx="10">
                  <c:v>26135623.043749999</c:v>
                </c:pt>
                <c:pt idx="11">
                  <c:v>25007968.587499999</c:v>
                </c:pt>
                <c:pt idx="12">
                  <c:v>24071937.262499999</c:v>
                </c:pt>
                <c:pt idx="13">
                  <c:v>23158856.881250001</c:v>
                </c:pt>
                <c:pt idx="14">
                  <c:v>22422933.168749999</c:v>
                </c:pt>
                <c:pt idx="15">
                  <c:v>21421753.359375</c:v>
                </c:pt>
                <c:pt idx="16">
                  <c:v>20584837.203125</c:v>
                </c:pt>
                <c:pt idx="17">
                  <c:v>19761835.296875</c:v>
                </c:pt>
                <c:pt idx="18">
                  <c:v>19082213.087499999</c:v>
                </c:pt>
                <c:pt idx="19">
                  <c:v>18168768.34375</c:v>
                </c:pt>
                <c:pt idx="20">
                  <c:v>17388908.778124999</c:v>
                </c:pt>
                <c:pt idx="21">
                  <c:v>16616890.237500001</c:v>
                </c:pt>
                <c:pt idx="22">
                  <c:v>15963649.018750001</c:v>
                </c:pt>
                <c:pt idx="23">
                  <c:v>15129470.321875</c:v>
                </c:pt>
                <c:pt idx="24">
                  <c:v>14405382.65625</c:v>
                </c:pt>
                <c:pt idx="25">
                  <c:v>13686714.356249999</c:v>
                </c:pt>
                <c:pt idx="26">
                  <c:v>13064737.084375</c:v>
                </c:pt>
                <c:pt idx="27">
                  <c:v>12281286.415625</c:v>
                </c:pt>
                <c:pt idx="28">
                  <c:v>11589528.36875</c:v>
                </c:pt>
              </c:numCache>
            </c:numRef>
          </c:val>
          <c:extLst>
            <c:ext xmlns:c16="http://schemas.microsoft.com/office/drawing/2014/chart" uri="{C3380CC4-5D6E-409C-BE32-E72D297353CC}">
              <c16:uniqueId val="{00000003-B633-4C85-9F2D-12021E858B62}"/>
            </c:ext>
          </c:extLst>
        </c:ser>
        <c:dLbls>
          <c:showLegendKey val="0"/>
          <c:showVal val="0"/>
          <c:showCatName val="0"/>
          <c:showSerName val="0"/>
          <c:showPercent val="0"/>
          <c:showBubbleSize val="0"/>
        </c:dLbls>
        <c:axId val="1235421311"/>
        <c:axId val="1235411327"/>
      </c:areaChart>
      <c:lineChart>
        <c:grouping val="standard"/>
        <c:varyColors val="0"/>
        <c:ser>
          <c:idx val="8"/>
          <c:order val="4"/>
          <c:tx>
            <c:strRef>
              <c:f>'Annual Load'!$K$1</c:f>
              <c:strCache>
                <c:ptCount val="1"/>
                <c:pt idx="0">
                  <c:v> Reference </c:v>
                </c:pt>
              </c:strCache>
            </c:strRef>
          </c:tx>
          <c:spPr>
            <a:ln w="28575" cap="rnd">
              <a:solidFill>
                <a:sysClr val="windowText" lastClr="000000"/>
              </a:solidFill>
              <a:prstDash val="sysDash"/>
              <a:round/>
            </a:ln>
            <a:effectLst/>
          </c:spPr>
          <c:marker>
            <c:symbol val="none"/>
          </c:marke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Load'!$K$2:$K$30</c:f>
              <c:numCache>
                <c:formatCode>#,##0</c:formatCode>
                <c:ptCount val="29"/>
                <c:pt idx="0">
                  <c:v>108133671.3875</c:v>
                </c:pt>
                <c:pt idx="1">
                  <c:v>108261093.71875</c:v>
                </c:pt>
                <c:pt idx="2">
                  <c:v>108887311.94374999</c:v>
                </c:pt>
                <c:pt idx="3">
                  <c:v>108069493.33125</c:v>
                </c:pt>
                <c:pt idx="4">
                  <c:v>108047955.02500001</c:v>
                </c:pt>
                <c:pt idx="5">
                  <c:v>108031793.21875</c:v>
                </c:pt>
                <c:pt idx="6">
                  <c:v>108669914.53125</c:v>
                </c:pt>
                <c:pt idx="7">
                  <c:v>107928142.05625001</c:v>
                </c:pt>
                <c:pt idx="8">
                  <c:v>107899349.375</c:v>
                </c:pt>
                <c:pt idx="9">
                  <c:v>107855921.5</c:v>
                </c:pt>
                <c:pt idx="10">
                  <c:v>108528074.65625</c:v>
                </c:pt>
                <c:pt idx="11">
                  <c:v>107802832.2</c:v>
                </c:pt>
                <c:pt idx="12">
                  <c:v>107730430.14375</c:v>
                </c:pt>
                <c:pt idx="13">
                  <c:v>107675714.425</c:v>
                </c:pt>
                <c:pt idx="14">
                  <c:v>108324477.95</c:v>
                </c:pt>
                <c:pt idx="15">
                  <c:v>107601972.54375</c:v>
                </c:pt>
                <c:pt idx="16">
                  <c:v>107549130.21875</c:v>
                </c:pt>
                <c:pt idx="17">
                  <c:v>107471070.6375</c:v>
                </c:pt>
                <c:pt idx="18">
                  <c:v>108072374.16249999</c:v>
                </c:pt>
                <c:pt idx="19">
                  <c:v>107316665.15625</c:v>
                </c:pt>
                <c:pt idx="20">
                  <c:v>107241325.075</c:v>
                </c:pt>
                <c:pt idx="21">
                  <c:v>107156034.7375</c:v>
                </c:pt>
                <c:pt idx="22">
                  <c:v>107772899.59999999</c:v>
                </c:pt>
                <c:pt idx="23">
                  <c:v>107053507.625</c:v>
                </c:pt>
                <c:pt idx="24">
                  <c:v>107009641.1125</c:v>
                </c:pt>
                <c:pt idx="25">
                  <c:v>106956277.425</c:v>
                </c:pt>
                <c:pt idx="26">
                  <c:v>107600088.03125</c:v>
                </c:pt>
                <c:pt idx="27">
                  <c:v>106881438.03125</c:v>
                </c:pt>
                <c:pt idx="28">
                  <c:v>106833590.36875001</c:v>
                </c:pt>
              </c:numCache>
            </c:numRef>
          </c:val>
          <c:smooth val="0"/>
          <c:extLst>
            <c:ext xmlns:c16="http://schemas.microsoft.com/office/drawing/2014/chart" uri="{C3380CC4-5D6E-409C-BE32-E72D297353CC}">
              <c16:uniqueId val="{00000004-B633-4C85-9F2D-12021E858B62}"/>
            </c:ext>
          </c:extLst>
        </c:ser>
        <c:ser>
          <c:idx val="4"/>
          <c:order val="5"/>
          <c:tx>
            <c:strRef>
              <c:f>'Annual Load'!$L$1</c:f>
              <c:strCache>
                <c:ptCount val="1"/>
                <c:pt idx="0">
                  <c:v> CPP Emissions Cap </c:v>
                </c:pt>
              </c:strCache>
            </c:strRef>
          </c:tx>
          <c:spPr>
            <a:ln w="28575" cap="rnd">
              <a:solidFill>
                <a:srgbClr val="47FB69"/>
              </a:solidFill>
              <a:prstDash val="sysDash"/>
              <a:round/>
            </a:ln>
            <a:effectLst/>
          </c:spPr>
          <c:marker>
            <c:symbol val="none"/>
          </c:marker>
          <c:val>
            <c:numRef>
              <c:f>'Annual Load'!$L$2:$L$30</c:f>
              <c:numCache>
                <c:formatCode>#,##0</c:formatCode>
                <c:ptCount val="29"/>
                <c:pt idx="0">
                  <c:v>111686254.94257203</c:v>
                </c:pt>
                <c:pt idx="1">
                  <c:v>107390629.7524731</c:v>
                </c:pt>
                <c:pt idx="2">
                  <c:v>103095004.56237417</c:v>
                </c:pt>
                <c:pt idx="3">
                  <c:v>98799379.372275248</c:v>
                </c:pt>
                <c:pt idx="4">
                  <c:v>94503754.182176322</c:v>
                </c:pt>
                <c:pt idx="5">
                  <c:v>90208128.992077395</c:v>
                </c:pt>
                <c:pt idx="6">
                  <c:v>85912503.801978469</c:v>
                </c:pt>
                <c:pt idx="7">
                  <c:v>81616878.611879542</c:v>
                </c:pt>
                <c:pt idx="8">
                  <c:v>77321253.421780616</c:v>
                </c:pt>
                <c:pt idx="9">
                  <c:v>73025628.23168169</c:v>
                </c:pt>
                <c:pt idx="10">
                  <c:v>68730003.041582763</c:v>
                </c:pt>
                <c:pt idx="11">
                  <c:v>64434377.851483829</c:v>
                </c:pt>
                <c:pt idx="12">
                  <c:v>60138752.661384903</c:v>
                </c:pt>
                <c:pt idx="13">
                  <c:v>55843127.471286014</c:v>
                </c:pt>
                <c:pt idx="14">
                  <c:v>52864827.339484088</c:v>
                </c:pt>
                <c:pt idx="15">
                  <c:v>49886527.20768217</c:v>
                </c:pt>
                <c:pt idx="16">
                  <c:v>46908227.075880252</c:v>
                </c:pt>
                <c:pt idx="17">
                  <c:v>43929926.944078326</c:v>
                </c:pt>
                <c:pt idx="18">
                  <c:v>40951626.812276408</c:v>
                </c:pt>
                <c:pt idx="19">
                  <c:v>37973326.68047449</c:v>
                </c:pt>
                <c:pt idx="20">
                  <c:v>34995026.548672564</c:v>
                </c:pt>
                <c:pt idx="21">
                  <c:v>32016726.416870646</c:v>
                </c:pt>
                <c:pt idx="22">
                  <c:v>29038426.285068724</c:v>
                </c:pt>
                <c:pt idx="23">
                  <c:v>26060126.153266802</c:v>
                </c:pt>
                <c:pt idx="24">
                  <c:v>23081826.021464881</c:v>
                </c:pt>
                <c:pt idx="25">
                  <c:v>20103525.889662959</c:v>
                </c:pt>
                <c:pt idx="26">
                  <c:v>17125225.757861041</c:v>
                </c:pt>
                <c:pt idx="27">
                  <c:v>14146925.626059119</c:v>
                </c:pt>
                <c:pt idx="28">
                  <c:v>11168625.494257204</c:v>
                </c:pt>
              </c:numCache>
            </c:numRef>
          </c:val>
          <c:smooth val="0"/>
          <c:extLst>
            <c:ext xmlns:c16="http://schemas.microsoft.com/office/drawing/2014/chart" uri="{C3380CC4-5D6E-409C-BE32-E72D297353CC}">
              <c16:uniqueId val="{00000005-B633-4C85-9F2D-12021E858B62}"/>
            </c:ext>
          </c:extLst>
        </c:ser>
        <c:dLbls>
          <c:showLegendKey val="0"/>
          <c:showVal val="0"/>
          <c:showCatName val="0"/>
          <c:showSerName val="0"/>
          <c:showPercent val="0"/>
          <c:showBubbleSize val="0"/>
        </c:dLbls>
        <c:marker val="1"/>
        <c:smooth val="0"/>
        <c:axId val="1235421311"/>
        <c:axId val="1235411327"/>
      </c:lineChart>
      <c:catAx>
        <c:axId val="12354213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11327"/>
        <c:crosses val="autoZero"/>
        <c:auto val="1"/>
        <c:lblAlgn val="ctr"/>
        <c:lblOffset val="100"/>
        <c:tickLblSkip val="2"/>
        <c:noMultiLvlLbl val="0"/>
      </c:catAx>
      <c:valAx>
        <c:axId val="123541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Million Dth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1311"/>
        <c:crosses val="autoZero"/>
        <c:crossBetween val="midCat"/>
        <c:dispUnits>
          <c:builtInUnit val="millions"/>
        </c:dispUnits>
      </c:valAx>
      <c:spPr>
        <a:noFill/>
        <a:ln>
          <a:noFill/>
        </a:ln>
        <a:effectLst/>
      </c:spPr>
    </c:plotArea>
    <c:legend>
      <c:legendPos val="b"/>
      <c:layout>
        <c:manualLayout>
          <c:xMode val="edge"/>
          <c:yMode val="edge"/>
          <c:x val="0.78098763393922721"/>
          <c:y val="3.97670217408733E-2"/>
          <c:w val="0.21678524709553515"/>
          <c:h val="0.92760029959873613"/>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Washington Deliveries</a:t>
            </a:r>
          </a:p>
        </c:rich>
      </c:tx>
      <c:layout>
        <c:manualLayout>
          <c:xMode val="edge"/>
          <c:yMode val="edge"/>
          <c:x val="8.5221249043990643E-2"/>
          <c:y val="4.0435426073964324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5006561679790024E-2"/>
          <c:y val="0.10049208532948252"/>
          <c:w val="0.69457041417540633"/>
          <c:h val="0.7426038612462269"/>
        </c:manualLayout>
      </c:layout>
      <c:areaChart>
        <c:grouping val="stacked"/>
        <c:varyColors val="0"/>
        <c:ser>
          <c:idx val="0"/>
          <c:order val="0"/>
          <c:tx>
            <c:strRef>
              <c:f>'Annual Load'!$C$1</c:f>
              <c:strCache>
                <c:ptCount val="1"/>
                <c:pt idx="0">
                  <c:v> Residential </c:v>
                </c:pt>
              </c:strCache>
            </c:strRef>
          </c:tx>
          <c:spPr>
            <a:solidFill>
              <a:schemeClr val="accent2">
                <a:lumMod val="75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Load'!$C$33:$C$61</c15:sqref>
                  </c15:fullRef>
                </c:ext>
              </c:extLst>
              <c:f>'Annual Load'!$C$34:$C$61</c:f>
              <c:numCache>
                <c:formatCode>_(* #,##0_);_(* \(#,##0\);_(* "-"??_);_(@_)</c:formatCode>
                <c:ptCount val="28"/>
                <c:pt idx="0">
                  <c:v>5684843.0167968748</c:v>
                </c:pt>
                <c:pt idx="1">
                  <c:v>5771312.1539062504</c:v>
                </c:pt>
                <c:pt idx="2">
                  <c:v>5708197.4353515627</c:v>
                </c:pt>
                <c:pt idx="3">
                  <c:v>5581590.9582031248</c:v>
                </c:pt>
                <c:pt idx="4">
                  <c:v>5455728.587890625</c:v>
                </c:pt>
                <c:pt idx="5">
                  <c:v>5363389.7423828123</c:v>
                </c:pt>
                <c:pt idx="6">
                  <c:v>5206031.8130859379</c:v>
                </c:pt>
                <c:pt idx="7">
                  <c:v>5082013.4865234373</c:v>
                </c:pt>
                <c:pt idx="8">
                  <c:v>4958642.7775390623</c:v>
                </c:pt>
                <c:pt idx="9">
                  <c:v>4865078.3560546879</c:v>
                </c:pt>
                <c:pt idx="10">
                  <c:v>4713463.0451171873</c:v>
                </c:pt>
                <c:pt idx="11">
                  <c:v>4592417.7632812504</c:v>
                </c:pt>
                <c:pt idx="12">
                  <c:v>4472052.603515625</c:v>
                </c:pt>
                <c:pt idx="13">
                  <c:v>4379254.7462890623</c:v>
                </c:pt>
                <c:pt idx="14">
                  <c:v>4233323.5408203127</c:v>
                </c:pt>
                <c:pt idx="15">
                  <c:v>4115029.7531249998</c:v>
                </c:pt>
                <c:pt idx="16">
                  <c:v>3997444.490234375</c:v>
                </c:pt>
                <c:pt idx="17">
                  <c:v>3903711.3306640624</c:v>
                </c:pt>
                <c:pt idx="18">
                  <c:v>3763449.62109375</c:v>
                </c:pt>
                <c:pt idx="19">
                  <c:v>3647955.1589843752</c:v>
                </c:pt>
                <c:pt idx="20">
                  <c:v>3533148.5003906251</c:v>
                </c:pt>
                <c:pt idx="21">
                  <c:v>3440335.21875</c:v>
                </c:pt>
                <c:pt idx="22">
                  <c:v>3305495.7835937501</c:v>
                </c:pt>
                <c:pt idx="23">
                  <c:v>3192810.4310546876</c:v>
                </c:pt>
                <c:pt idx="24">
                  <c:v>3080654.8343750001</c:v>
                </c:pt>
                <c:pt idx="25">
                  <c:v>2987917.9761718749</c:v>
                </c:pt>
                <c:pt idx="26">
                  <c:v>2858402.8185546873</c:v>
                </c:pt>
                <c:pt idx="27">
                  <c:v>2748559.2813476562</c:v>
                </c:pt>
              </c:numCache>
            </c:numRef>
          </c:val>
          <c:extLst>
            <c:ext xmlns:c16="http://schemas.microsoft.com/office/drawing/2014/chart" uri="{C3380CC4-5D6E-409C-BE32-E72D297353CC}">
              <c16:uniqueId val="{00000000-5C25-4823-98FA-1060AB906F5F}"/>
            </c:ext>
          </c:extLst>
        </c:ser>
        <c:ser>
          <c:idx val="1"/>
          <c:order val="1"/>
          <c:tx>
            <c:strRef>
              <c:f>'Annual Load'!$D$1</c:f>
              <c:strCache>
                <c:ptCount val="1"/>
                <c:pt idx="0">
                  <c:v> Small Commercial </c:v>
                </c:pt>
              </c:strCache>
            </c:strRef>
          </c:tx>
          <c:spPr>
            <a:solidFill>
              <a:schemeClr val="accent2">
                <a:lumMod val="60000"/>
                <a:lumOff val="4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Load'!$D$33:$D$61</c15:sqref>
                  </c15:fullRef>
                </c:ext>
              </c:extLst>
              <c:f>'Annual Load'!$D$34:$D$61</c:f>
              <c:numCache>
                <c:formatCode>_(* #,##0_);_(* \(#,##0\);_(* "-"??_);_(@_)</c:formatCode>
                <c:ptCount val="28"/>
                <c:pt idx="0">
                  <c:v>2064710.0810546875</c:v>
                </c:pt>
                <c:pt idx="1">
                  <c:v>2100422.0972656249</c:v>
                </c:pt>
                <c:pt idx="2">
                  <c:v>2079394.3804687499</c:v>
                </c:pt>
                <c:pt idx="3">
                  <c:v>2034074.2536132813</c:v>
                </c:pt>
                <c:pt idx="4">
                  <c:v>1989000.1434570313</c:v>
                </c:pt>
                <c:pt idx="5">
                  <c:v>1955238.1078125001</c:v>
                </c:pt>
                <c:pt idx="6">
                  <c:v>1899537.5465820313</c:v>
                </c:pt>
                <c:pt idx="7">
                  <c:v>1855080.8040039062</c:v>
                </c:pt>
                <c:pt idx="8">
                  <c:v>1810882.1482421875</c:v>
                </c:pt>
                <c:pt idx="9">
                  <c:v>1776751.2290039063</c:v>
                </c:pt>
                <c:pt idx="10">
                  <c:v>1723023.118359375</c:v>
                </c:pt>
                <c:pt idx="11">
                  <c:v>1679595.7765625</c:v>
                </c:pt>
                <c:pt idx="12">
                  <c:v>1636399.7222656249</c:v>
                </c:pt>
                <c:pt idx="13">
                  <c:v>1602479.1137695313</c:v>
                </c:pt>
                <c:pt idx="14">
                  <c:v>1550709.8682617187</c:v>
                </c:pt>
                <c:pt idx="15">
                  <c:v>1508227.50859375</c:v>
                </c:pt>
                <c:pt idx="16">
                  <c:v>1465985.1436523437</c:v>
                </c:pt>
                <c:pt idx="17">
                  <c:v>1431751.0958007812</c:v>
                </c:pt>
                <c:pt idx="18">
                  <c:v>1381924.0287109376</c:v>
                </c:pt>
                <c:pt idx="19">
                  <c:v>1340392.9826171875</c:v>
                </c:pt>
                <c:pt idx="20">
                  <c:v>1299095.4606445313</c:v>
                </c:pt>
                <c:pt idx="21">
                  <c:v>1265144.8915039063</c:v>
                </c:pt>
                <c:pt idx="22">
                  <c:v>1217165.1557617188</c:v>
                </c:pt>
                <c:pt idx="23">
                  <c:v>1176594.8965820312</c:v>
                </c:pt>
                <c:pt idx="24">
                  <c:v>1136225.517578125</c:v>
                </c:pt>
                <c:pt idx="25">
                  <c:v>1102298.1478515626</c:v>
                </c:pt>
                <c:pt idx="26">
                  <c:v>1056189.0897460938</c:v>
                </c:pt>
                <c:pt idx="27">
                  <c:v>1016582.0021484375</c:v>
                </c:pt>
              </c:numCache>
            </c:numRef>
          </c:val>
          <c:extLst>
            <c:ext xmlns:c16="http://schemas.microsoft.com/office/drawing/2014/chart" uri="{C3380CC4-5D6E-409C-BE32-E72D297353CC}">
              <c16:uniqueId val="{00000001-5C25-4823-98FA-1060AB906F5F}"/>
            </c:ext>
          </c:extLst>
        </c:ser>
        <c:ser>
          <c:idx val="2"/>
          <c:order val="2"/>
          <c:tx>
            <c:strRef>
              <c:f>'Annual Load'!$E$1</c:f>
              <c:strCache>
                <c:ptCount val="1"/>
                <c:pt idx="0">
                  <c:v> Industrial &amp; Large Com </c:v>
                </c:pt>
              </c:strCache>
            </c:strRef>
          </c:tx>
          <c:spPr>
            <a:solidFill>
              <a:schemeClr val="accent2">
                <a:lumMod val="20000"/>
                <a:lumOff val="8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Load'!$E$33:$E$61</c15:sqref>
                  </c15:fullRef>
                </c:ext>
              </c:extLst>
              <c:f>'Annual Load'!$E$34:$E$61</c:f>
              <c:numCache>
                <c:formatCode>_(* #,##0_);_(* \(#,##0\);_(* "-"??_);_(@_)</c:formatCode>
                <c:ptCount val="28"/>
                <c:pt idx="0">
                  <c:v>931752.38222656248</c:v>
                </c:pt>
                <c:pt idx="1">
                  <c:v>910123.13583984377</c:v>
                </c:pt>
                <c:pt idx="2">
                  <c:v>875563.31679687498</c:v>
                </c:pt>
                <c:pt idx="3">
                  <c:v>849332.6201171875</c:v>
                </c:pt>
                <c:pt idx="4">
                  <c:v>823131.8069335937</c:v>
                </c:pt>
                <c:pt idx="5">
                  <c:v>803968.41982421873</c:v>
                </c:pt>
                <c:pt idx="6">
                  <c:v>771998.31074218755</c:v>
                </c:pt>
                <c:pt idx="7">
                  <c:v>747341.8118164062</c:v>
                </c:pt>
                <c:pt idx="8">
                  <c:v>722746.38662109373</c:v>
                </c:pt>
                <c:pt idx="9">
                  <c:v>704355.33066406252</c:v>
                </c:pt>
                <c:pt idx="10">
                  <c:v>674543.8577148437</c:v>
                </c:pt>
                <c:pt idx="11">
                  <c:v>650925.8157226562</c:v>
                </c:pt>
                <c:pt idx="12">
                  <c:v>627671.30771484377</c:v>
                </c:pt>
                <c:pt idx="13">
                  <c:v>609811.27773437498</c:v>
                </c:pt>
                <c:pt idx="14">
                  <c:v>582229.6838867187</c:v>
                </c:pt>
                <c:pt idx="15">
                  <c:v>560022.66943359375</c:v>
                </c:pt>
                <c:pt idx="16">
                  <c:v>538124.3743164062</c:v>
                </c:pt>
                <c:pt idx="17">
                  <c:v>520831.71396484377</c:v>
                </c:pt>
                <c:pt idx="18">
                  <c:v>495224.96171875001</c:v>
                </c:pt>
                <c:pt idx="19">
                  <c:v>474550.04326171876</c:v>
                </c:pt>
                <c:pt idx="20">
                  <c:v>454096.03012695315</c:v>
                </c:pt>
                <c:pt idx="21">
                  <c:v>437478.29453125002</c:v>
                </c:pt>
                <c:pt idx="22">
                  <c:v>413867.5650878906</c:v>
                </c:pt>
                <c:pt idx="23">
                  <c:v>394082.80673828127</c:v>
                </c:pt>
                <c:pt idx="24">
                  <c:v>374522.4651855469</c:v>
                </c:pt>
                <c:pt idx="25">
                  <c:v>358129.28999023436</c:v>
                </c:pt>
                <c:pt idx="26">
                  <c:v>336041.54570312501</c:v>
                </c:pt>
                <c:pt idx="27">
                  <c:v>317109.82304687501</c:v>
                </c:pt>
              </c:numCache>
            </c:numRef>
          </c:val>
          <c:extLst>
            <c:ext xmlns:c16="http://schemas.microsoft.com/office/drawing/2014/chart" uri="{C3380CC4-5D6E-409C-BE32-E72D297353CC}">
              <c16:uniqueId val="{00000002-5C25-4823-98FA-1060AB906F5F}"/>
            </c:ext>
          </c:extLst>
        </c:ser>
        <c:ser>
          <c:idx val="3"/>
          <c:order val="3"/>
          <c:tx>
            <c:strRef>
              <c:f>'Annual Load'!$F$1</c:f>
              <c:strCache>
                <c:ptCount val="1"/>
                <c:pt idx="0">
                  <c:v> Transport </c:v>
                </c:pt>
              </c:strCache>
            </c:strRef>
          </c:tx>
          <c:spPr>
            <a:solidFill>
              <a:schemeClr val="accent2">
                <a:lumMod val="5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Load'!$F$33:$F$61</c15:sqref>
                  </c15:fullRef>
                </c:ext>
              </c:extLst>
              <c:f>'Annual Load'!$F$34:$F$61</c:f>
              <c:numCache>
                <c:formatCode>_(* #,##0_);_(* \(#,##0\);_(* "-"??_);_(@_)</c:formatCode>
                <c:ptCount val="28"/>
                <c:pt idx="0">
                  <c:v>1694387.46171875</c:v>
                </c:pt>
                <c:pt idx="1">
                  <c:v>1653689.653125</c:v>
                </c:pt>
                <c:pt idx="2">
                  <c:v>1588782.998046875</c:v>
                </c:pt>
                <c:pt idx="3">
                  <c:v>1536541.360546875</c:v>
                </c:pt>
                <c:pt idx="4">
                  <c:v>1483752.905078125</c:v>
                </c:pt>
                <c:pt idx="5">
                  <c:v>1440148.778515625</c:v>
                </c:pt>
                <c:pt idx="6">
                  <c:v>1379852.6371093751</c:v>
                </c:pt>
                <c:pt idx="7">
                  <c:v>1329828.568359375</c:v>
                </c:pt>
                <c:pt idx="8">
                  <c:v>1280067.6253906251</c:v>
                </c:pt>
                <c:pt idx="9">
                  <c:v>1238891.970703125</c:v>
                </c:pt>
                <c:pt idx="10">
                  <c:v>1183426.1033203125</c:v>
                </c:pt>
                <c:pt idx="11">
                  <c:v>1136597.0958984375</c:v>
                </c:pt>
                <c:pt idx="12">
                  <c:v>1090891.8173828125</c:v>
                </c:pt>
                <c:pt idx="13">
                  <c:v>1052751.2990234375</c:v>
                </c:pt>
                <c:pt idx="14">
                  <c:v>1002647.4193359375</c:v>
                </c:pt>
                <c:pt idx="15">
                  <c:v>960027.89687499998</c:v>
                </c:pt>
                <c:pt idx="16">
                  <c:v>918457.08164062502</c:v>
                </c:pt>
                <c:pt idx="17">
                  <c:v>883304.60429687495</c:v>
                </c:pt>
                <c:pt idx="18">
                  <c:v>838185.21074218745</c:v>
                </c:pt>
                <c:pt idx="19">
                  <c:v>799371.14218750002</c:v>
                </c:pt>
                <c:pt idx="20">
                  <c:v>761395.13027343748</c:v>
                </c:pt>
                <c:pt idx="21">
                  <c:v>728689.87617187505</c:v>
                </c:pt>
                <c:pt idx="22">
                  <c:v>689187.79140624998</c:v>
                </c:pt>
                <c:pt idx="23">
                  <c:v>654760.1555664062</c:v>
                </c:pt>
                <c:pt idx="24">
                  <c:v>620914.3118164062</c:v>
                </c:pt>
                <c:pt idx="25">
                  <c:v>591310.93642578123</c:v>
                </c:pt>
                <c:pt idx="26">
                  <c:v>554829.84843749995</c:v>
                </c:pt>
                <c:pt idx="27">
                  <c:v>522549.34873046877</c:v>
                </c:pt>
              </c:numCache>
            </c:numRef>
          </c:val>
          <c:extLst>
            <c:ext xmlns:c16="http://schemas.microsoft.com/office/drawing/2014/chart" uri="{C3380CC4-5D6E-409C-BE32-E72D297353CC}">
              <c16:uniqueId val="{00000003-5C25-4823-98FA-1060AB906F5F}"/>
            </c:ext>
          </c:extLst>
        </c:ser>
        <c:dLbls>
          <c:showLegendKey val="0"/>
          <c:showVal val="0"/>
          <c:showCatName val="0"/>
          <c:showSerName val="0"/>
          <c:showPercent val="0"/>
          <c:showBubbleSize val="0"/>
        </c:dLbls>
        <c:axId val="1235421311"/>
        <c:axId val="1235411327"/>
      </c:areaChart>
      <c:lineChart>
        <c:grouping val="standard"/>
        <c:varyColors val="0"/>
        <c:ser>
          <c:idx val="8"/>
          <c:order val="4"/>
          <c:tx>
            <c:strRef>
              <c:f>'Annual Load'!$K$1</c:f>
              <c:strCache>
                <c:ptCount val="1"/>
                <c:pt idx="0">
                  <c:v> Reference </c:v>
                </c:pt>
              </c:strCache>
            </c:strRef>
          </c:tx>
          <c:spPr>
            <a:ln w="28575" cap="rnd">
              <a:solidFill>
                <a:schemeClr val="tx1"/>
              </a:solidFill>
              <a:prstDash val="sysDash"/>
              <a:round/>
            </a:ln>
            <a:effectLst/>
          </c:spPr>
          <c:marker>
            <c:symbol val="none"/>
          </c:marker>
          <c:cat>
            <c:numRef>
              <c:extLst>
                <c:ext xmlns:c15="http://schemas.microsoft.com/office/drawing/2012/chart" uri="{02D57815-91ED-43cb-92C2-25804820EDAC}">
                  <c15:fullRef>
                    <c15:sqref>'Annual Load'!$B$2:$B$30</c15:sqref>
                  </c15:fullRef>
                </c:ext>
              </c:extLst>
              <c:f>'Annual Load'!$B$3:$B$30</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Load'!$K$33:$K$61</c15:sqref>
                  </c15:fullRef>
                </c:ext>
              </c:extLst>
              <c:f>'Annual Load'!$K$34:$K$61</c:f>
              <c:numCache>
                <c:formatCode>#,##0</c:formatCode>
                <c:ptCount val="28"/>
                <c:pt idx="0">
                  <c:v>10433199.61484375</c:v>
                </c:pt>
                <c:pt idx="1">
                  <c:v>10550344.709375</c:v>
                </c:pt>
                <c:pt idx="2">
                  <c:v>10551660.895703126</c:v>
                </c:pt>
                <c:pt idx="3">
                  <c:v>10621391.649609376</c:v>
                </c:pt>
                <c:pt idx="4">
                  <c:v>10687634.512109375</c:v>
                </c:pt>
                <c:pt idx="5">
                  <c:v>10819084.438671876</c:v>
                </c:pt>
                <c:pt idx="6">
                  <c:v>10816741.703906249</c:v>
                </c:pt>
                <c:pt idx="7">
                  <c:v>10881599.446484376</c:v>
                </c:pt>
                <c:pt idx="8">
                  <c:v>10944526.273046875</c:v>
                </c:pt>
                <c:pt idx="9">
                  <c:v>11073674.473828126</c:v>
                </c:pt>
                <c:pt idx="10">
                  <c:v>11066953.923828125</c:v>
                </c:pt>
                <c:pt idx="11">
                  <c:v>11127917.818359375</c:v>
                </c:pt>
                <c:pt idx="12">
                  <c:v>11188311.013671875</c:v>
                </c:pt>
                <c:pt idx="13">
                  <c:v>11317572.966796875</c:v>
                </c:pt>
                <c:pt idx="14">
                  <c:v>11306632.990625</c:v>
                </c:pt>
                <c:pt idx="15">
                  <c:v>11364052.164843749</c:v>
                </c:pt>
                <c:pt idx="16">
                  <c:v>11420347.237890625</c:v>
                </c:pt>
                <c:pt idx="17">
                  <c:v>11544819.29296875</c:v>
                </c:pt>
                <c:pt idx="18">
                  <c:v>11528991.098046875</c:v>
                </c:pt>
                <c:pt idx="19">
                  <c:v>11584356.344140625</c:v>
                </c:pt>
                <c:pt idx="20">
                  <c:v>11639340.499609375</c:v>
                </c:pt>
                <c:pt idx="21">
                  <c:v>11766186.651171874</c:v>
                </c:pt>
                <c:pt idx="22">
                  <c:v>11747729.817578126</c:v>
                </c:pt>
                <c:pt idx="23">
                  <c:v>11801430.981249999</c:v>
                </c:pt>
                <c:pt idx="24">
                  <c:v>11854184.005078126</c:v>
                </c:pt>
                <c:pt idx="25">
                  <c:v>11980294.20859375</c:v>
                </c:pt>
                <c:pt idx="26">
                  <c:v>11957845.741015624</c:v>
                </c:pt>
                <c:pt idx="27">
                  <c:v>12009553.25</c:v>
                </c:pt>
              </c:numCache>
            </c:numRef>
          </c:val>
          <c:smooth val="0"/>
          <c:extLst>
            <c:ext xmlns:c16="http://schemas.microsoft.com/office/drawing/2014/chart" uri="{C3380CC4-5D6E-409C-BE32-E72D297353CC}">
              <c16:uniqueId val="{00000004-5C25-4823-98FA-1060AB906F5F}"/>
            </c:ext>
          </c:extLst>
        </c:ser>
        <c:ser>
          <c:idx val="4"/>
          <c:order val="5"/>
          <c:tx>
            <c:strRef>
              <c:f>'Annual Load'!$L$32</c:f>
              <c:strCache>
                <c:ptCount val="1"/>
                <c:pt idx="0">
                  <c:v> CCA Allowance Allocation </c:v>
                </c:pt>
              </c:strCache>
            </c:strRef>
          </c:tx>
          <c:spPr>
            <a:ln w="28575" cap="rnd">
              <a:solidFill>
                <a:srgbClr val="47FB69"/>
              </a:solidFill>
              <a:prstDash val="sysDash"/>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'Annual Load'!$L$33:$L$61</c15:sqref>
                  </c15:fullRef>
                </c:ext>
              </c:extLst>
              <c:f>'Annual Load'!$L$34:$L$61</c:f>
              <c:numCache>
                <c:formatCode>#,##0</c:formatCode>
                <c:ptCount val="28"/>
                <c:pt idx="0">
                  <c:v>8702094.8165123314</c:v>
                </c:pt>
                <c:pt idx="1">
                  <c:v>8092948.1793564688</c:v>
                </c:pt>
                <c:pt idx="2">
                  <c:v>7526441.8068015166</c:v>
                </c:pt>
                <c:pt idx="3">
                  <c:v>6999590.8803254114</c:v>
                </c:pt>
                <c:pt idx="4">
                  <c:v>6509619.5187026327</c:v>
                </c:pt>
                <c:pt idx="5">
                  <c:v>6053946.1523934491</c:v>
                </c:pt>
                <c:pt idx="6">
                  <c:v>5630169.9217259092</c:v>
                </c:pt>
                <c:pt idx="7">
                  <c:v>5236058.0272050956</c:v>
                </c:pt>
                <c:pt idx="8">
                  <c:v>5141808.9827154037</c:v>
                </c:pt>
                <c:pt idx="9">
                  <c:v>5049256.421026526</c:v>
                </c:pt>
                <c:pt idx="10">
                  <c:v>4958369.8054480478</c:v>
                </c:pt>
                <c:pt idx="11">
                  <c:v>4869119.1489499835</c:v>
                </c:pt>
                <c:pt idx="12">
                  <c:v>4781475.0042688837</c:v>
                </c:pt>
                <c:pt idx="13">
                  <c:v>4695408.4541920433</c:v>
                </c:pt>
                <c:pt idx="14">
                  <c:v>4610891.1020165859</c:v>
                </c:pt>
                <c:pt idx="15">
                  <c:v>4527895.0621802881</c:v>
                </c:pt>
                <c:pt idx="16">
                  <c:v>4446392.951061042</c:v>
                </c:pt>
                <c:pt idx="17">
                  <c:v>4366357.8779419437</c:v>
                </c:pt>
                <c:pt idx="18">
                  <c:v>4287763.4361389885</c:v>
                </c:pt>
                <c:pt idx="19">
                  <c:v>4210583.6942884866</c:v>
                </c:pt>
                <c:pt idx="20">
                  <c:v>4101108.5182369859</c:v>
                </c:pt>
                <c:pt idx="21">
                  <c:v>3994479.6967628244</c:v>
                </c:pt>
                <c:pt idx="22">
                  <c:v>3890623.2246469907</c:v>
                </c:pt>
                <c:pt idx="23">
                  <c:v>3789467.0208061687</c:v>
                </c:pt>
                <c:pt idx="24">
                  <c:v>3690940.8782652076</c:v>
                </c:pt>
                <c:pt idx="25">
                  <c:v>3594976.4154303125</c:v>
                </c:pt>
                <c:pt idx="26">
                  <c:v>3501507.0286291242</c:v>
                </c:pt>
                <c:pt idx="27">
                  <c:v>3410467.8458847674</c:v>
                </c:pt>
              </c:numCache>
            </c:numRef>
          </c:val>
          <c:smooth val="0"/>
          <c:extLst>
            <c:ext xmlns:c16="http://schemas.microsoft.com/office/drawing/2014/chart" uri="{C3380CC4-5D6E-409C-BE32-E72D297353CC}">
              <c16:uniqueId val="{00000005-5C25-4823-98FA-1060AB906F5F}"/>
            </c:ext>
          </c:extLst>
        </c:ser>
        <c:dLbls>
          <c:showLegendKey val="0"/>
          <c:showVal val="0"/>
          <c:showCatName val="0"/>
          <c:showSerName val="0"/>
          <c:showPercent val="0"/>
          <c:showBubbleSize val="0"/>
        </c:dLbls>
        <c:marker val="1"/>
        <c:smooth val="0"/>
        <c:axId val="1235421311"/>
        <c:axId val="1235411327"/>
      </c:lineChart>
      <c:catAx>
        <c:axId val="12354213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11327"/>
        <c:crosses val="autoZero"/>
        <c:auto val="1"/>
        <c:lblAlgn val="ctr"/>
        <c:lblOffset val="100"/>
        <c:tickLblSkip val="2"/>
        <c:noMultiLvlLbl val="0"/>
      </c:catAx>
      <c:valAx>
        <c:axId val="123541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Million Dth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1311"/>
        <c:crosses val="autoZero"/>
        <c:crossBetween val="midCat"/>
        <c:dispUnits>
          <c:builtInUnit val="millions"/>
        </c:dispUnits>
      </c:valAx>
      <c:spPr>
        <a:noFill/>
        <a:ln>
          <a:noFill/>
        </a:ln>
        <a:effectLst/>
      </c:spPr>
    </c:plotArea>
    <c:legend>
      <c:legendPos val="r"/>
      <c:layout>
        <c:manualLayout>
          <c:xMode val="edge"/>
          <c:yMode val="edge"/>
          <c:x val="0.78208302540406327"/>
          <c:y val="4.9913261736181547E-2"/>
          <c:w val="0.20416001724494182"/>
          <c:h val="0.88874698537350483"/>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Oregon</a:t>
            </a:r>
          </a:p>
        </c:rich>
      </c:tx>
      <c:layout>
        <c:manualLayout>
          <c:xMode val="edge"/>
          <c:yMode val="edge"/>
          <c:x val="0.15150984466860151"/>
          <c:y val="8.2703164815740241E-4"/>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5270747406574178"/>
          <c:y val="0.11068156588022651"/>
          <c:w val="0.79950599925009358"/>
          <c:h val="0.74918193258282861"/>
        </c:manualLayout>
      </c:layout>
      <c:scatterChart>
        <c:scatterStyle val="lineMarker"/>
        <c:varyColors val="0"/>
        <c:ser>
          <c:idx val="0"/>
          <c:order val="0"/>
          <c:tx>
            <c:strRef>
              <c:f>'Oregon Bill Impacts'!$BV$1</c:f>
              <c:strCache>
                <c:ptCount val="1"/>
                <c:pt idx="0">
                  <c:v>Actual History</c:v>
                </c:pt>
              </c:strCache>
            </c:strRef>
          </c:tx>
          <c:spPr>
            <a:ln w="38100" cap="rnd">
              <a:solidFill>
                <a:schemeClr val="tx1"/>
              </a:solidFill>
              <a:round/>
            </a:ln>
            <a:effectLst/>
          </c:spPr>
          <c:marker>
            <c:symbol val="none"/>
          </c:marker>
          <c:xVal>
            <c:numRef>
              <c:f>'Oregon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'Oregon Bill Impacts'!$BV$2:$BV$19</c:f>
              <c:numCache>
                <c:formatCode>"$"#,##0</c:formatCode>
                <c:ptCount val="18"/>
                <c:pt idx="0">
                  <c:v>1095.9646682932164</c:v>
                </c:pt>
                <c:pt idx="1">
                  <c:v>1225.972447958844</c:v>
                </c:pt>
                <c:pt idx="2">
                  <c:v>1263.2042329852618</c:v>
                </c:pt>
                <c:pt idx="3">
                  <c:v>1179.3627164317263</c:v>
                </c:pt>
                <c:pt idx="4">
                  <c:v>1325.0184080159611</c:v>
                </c:pt>
                <c:pt idx="5">
                  <c:v>947.34100129494436</c:v>
                </c:pt>
                <c:pt idx="6">
                  <c:v>1014.0143943885107</c:v>
                </c:pt>
                <c:pt idx="7">
                  <c:v>912.74275686951137</c:v>
                </c:pt>
                <c:pt idx="8">
                  <c:v>877.12734228683905</c:v>
                </c:pt>
                <c:pt idx="9">
                  <c:v>797.05228157849047</c:v>
                </c:pt>
                <c:pt idx="10">
                  <c:v>739.02947764403564</c:v>
                </c:pt>
                <c:pt idx="11">
                  <c:v>721.27643905182106</c:v>
                </c:pt>
                <c:pt idx="12">
                  <c:v>808.39890220156258</c:v>
                </c:pt>
                <c:pt idx="13">
                  <c:v>656.59939316963823</c:v>
                </c:pt>
                <c:pt idx="14">
                  <c:v>680.3485859851761</c:v>
                </c:pt>
                <c:pt idx="15">
                  <c:v>665.9295822951367</c:v>
                </c:pt>
                <c:pt idx="16">
                  <c:v>664</c:v>
                </c:pt>
                <c:pt idx="17">
                  <c:v>841.11827103329449</c:v>
                </c:pt>
              </c:numCache>
            </c:numRef>
          </c:yVal>
          <c:smooth val="0"/>
          <c:extLst>
            <c:ext xmlns:c16="http://schemas.microsoft.com/office/drawing/2014/chart" uri="{C3380CC4-5D6E-409C-BE32-E72D297353CC}">
              <c16:uniqueId val="{00000000-C9A9-4BFC-8AB7-658A65AF3781}"/>
            </c:ext>
          </c:extLst>
        </c:ser>
        <c:ser>
          <c:idx val="1"/>
          <c:order val="1"/>
          <c:tx>
            <c:v>No Decarbonization Reference</c:v>
          </c:tx>
          <c:spPr>
            <a:ln w="38100" cap="rnd">
              <a:solidFill>
                <a:schemeClr val="tx1"/>
              </a:solidFill>
              <a:prstDash val="dash"/>
              <a:round/>
            </a:ln>
            <a:effectLst/>
          </c:spPr>
          <c:marker>
            <c:symbol val="none"/>
          </c:marker>
          <c:xVal>
            <c:numRef>
              <c:f>'Oregon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Impacts'!$AX$2:$AX$30</c:f>
              <c:numCache>
                <c:formatCode>"$"#,##0</c:formatCode>
                <c:ptCount val="29"/>
                <c:pt idx="0">
                  <c:v>841.11827103329449</c:v>
                </c:pt>
                <c:pt idx="1">
                  <c:v>811.83806892980283</c:v>
                </c:pt>
                <c:pt idx="2">
                  <c:v>759.77468733650142</c:v>
                </c:pt>
                <c:pt idx="3">
                  <c:v>755.41226208471096</c:v>
                </c:pt>
                <c:pt idx="4">
                  <c:v>785.90330068939556</c:v>
                </c:pt>
                <c:pt idx="5">
                  <c:v>796.48140073635921</c:v>
                </c:pt>
                <c:pt idx="6">
                  <c:v>785.55318394160724</c:v>
                </c:pt>
                <c:pt idx="7">
                  <c:v>758.25526531232276</c:v>
                </c:pt>
                <c:pt idx="8">
                  <c:v>738.67748188348639</c:v>
                </c:pt>
                <c:pt idx="9">
                  <c:v>736.04488383577632</c:v>
                </c:pt>
                <c:pt idx="10">
                  <c:v>736.78829207315937</c:v>
                </c:pt>
                <c:pt idx="11">
                  <c:v>733.17191911495206</c:v>
                </c:pt>
                <c:pt idx="12">
                  <c:v>731.60166077657107</c:v>
                </c:pt>
                <c:pt idx="13">
                  <c:v>728.71171311716239</c:v>
                </c:pt>
                <c:pt idx="14">
                  <c:v>729.8555365095591</c:v>
                </c:pt>
                <c:pt idx="15">
                  <c:v>726.52297787516557</c:v>
                </c:pt>
                <c:pt idx="16">
                  <c:v>724.33412253646088</c:v>
                </c:pt>
                <c:pt idx="17">
                  <c:v>725.28054570601068</c:v>
                </c:pt>
                <c:pt idx="18">
                  <c:v>734.24406682394522</c:v>
                </c:pt>
                <c:pt idx="19">
                  <c:v>734.15991442943539</c:v>
                </c:pt>
                <c:pt idx="20">
                  <c:v>731.77805089199364</c:v>
                </c:pt>
                <c:pt idx="21">
                  <c:v>726.68834764336248</c:v>
                </c:pt>
                <c:pt idx="22">
                  <c:v>735.19580921280908</c:v>
                </c:pt>
                <c:pt idx="23">
                  <c:v>735.52678011417481</c:v>
                </c:pt>
                <c:pt idx="24">
                  <c:v>734.33958559566668</c:v>
                </c:pt>
                <c:pt idx="25">
                  <c:v>735.68796287735188</c:v>
                </c:pt>
                <c:pt idx="26">
                  <c:v>743.66837517391002</c:v>
                </c:pt>
                <c:pt idx="27">
                  <c:v>746.1059147193298</c:v>
                </c:pt>
                <c:pt idx="28">
                  <c:v>754.14904840776921</c:v>
                </c:pt>
              </c:numCache>
            </c:numRef>
          </c:yVal>
          <c:smooth val="0"/>
          <c:extLst>
            <c:ext xmlns:c16="http://schemas.microsoft.com/office/drawing/2014/chart" uri="{C3380CC4-5D6E-409C-BE32-E72D297353CC}">
              <c16:uniqueId val="{00000001-C9A9-4BFC-8AB7-658A65AF3781}"/>
            </c:ext>
          </c:extLst>
        </c:ser>
        <c:ser>
          <c:idx val="2"/>
          <c:order val="2"/>
          <c:tx>
            <c:strRef>
              <c:f>'Oregon Bill Impacts'!$BZ$1</c:f>
              <c:strCache>
                <c:ptCount val="1"/>
                <c:pt idx="0">
                  <c:v>With Decarbonization</c:v>
                </c:pt>
              </c:strCache>
            </c:strRef>
          </c:tx>
          <c:spPr>
            <a:ln w="38100" cap="rnd">
              <a:solidFill>
                <a:srgbClr val="00B050"/>
              </a:solidFill>
              <a:prstDash val="sysDash"/>
              <a:round/>
            </a:ln>
            <a:effectLst/>
          </c:spPr>
          <c:marker>
            <c:symbol val="none"/>
          </c:marker>
          <c:xVal>
            <c:numRef>
              <c:f>'Oregon Bill Impacts'!$CC$2:$CC$30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Impacts'!$BZ$2:$BZ$30</c:f>
              <c:numCache>
                <c:formatCode>"$"#,##0</c:formatCode>
                <c:ptCount val="29"/>
                <c:pt idx="0">
                  <c:v>847.53911256862887</c:v>
                </c:pt>
                <c:pt idx="1">
                  <c:v>853.8643306779901</c:v>
                </c:pt>
                <c:pt idx="2">
                  <c:v>817.59591740918495</c:v>
                </c:pt>
                <c:pt idx="3">
                  <c:v>836.08564293360621</c:v>
                </c:pt>
                <c:pt idx="4">
                  <c:v>893.85625018228518</c:v>
                </c:pt>
                <c:pt idx="5">
                  <c:v>936.56973524192961</c:v>
                </c:pt>
                <c:pt idx="6">
                  <c:v>966.07371775718809</c:v>
                </c:pt>
                <c:pt idx="7">
                  <c:v>973.35671707762504</c:v>
                </c:pt>
                <c:pt idx="8">
                  <c:v>992.93484098239969</c:v>
                </c:pt>
                <c:pt idx="9">
                  <c:v>1033.6849464021911</c:v>
                </c:pt>
                <c:pt idx="10">
                  <c:v>1082.8349108722705</c:v>
                </c:pt>
                <c:pt idx="11">
                  <c:v>1126.1630402471699</c:v>
                </c:pt>
                <c:pt idx="12">
                  <c:v>1177.2243689478046</c:v>
                </c:pt>
                <c:pt idx="13">
                  <c:v>1231.5165222784244</c:v>
                </c:pt>
                <c:pt idx="14">
                  <c:v>1291.2241741836299</c:v>
                </c:pt>
                <c:pt idx="15">
                  <c:v>1345.7558646571649</c:v>
                </c:pt>
                <c:pt idx="16">
                  <c:v>1410.9509282853639</c:v>
                </c:pt>
                <c:pt idx="17">
                  <c:v>1485.2664720147172</c:v>
                </c:pt>
                <c:pt idx="18">
                  <c:v>1576.411525954594</c:v>
                </c:pt>
                <c:pt idx="19">
                  <c:v>1671.9812701783781</c:v>
                </c:pt>
                <c:pt idx="20">
                  <c:v>1772.1606438526946</c:v>
                </c:pt>
                <c:pt idx="21">
                  <c:v>1883.0541387986921</c:v>
                </c:pt>
                <c:pt idx="22">
                  <c:v>2039.6309446431424</c:v>
                </c:pt>
                <c:pt idx="23">
                  <c:v>2195.8667121352732</c:v>
                </c:pt>
                <c:pt idx="24">
                  <c:v>2379.4415382089146</c:v>
                </c:pt>
                <c:pt idx="25">
                  <c:v>2602.2427130647438</c:v>
                </c:pt>
                <c:pt idx="26">
                  <c:v>2887.8605565068478</c:v>
                </c:pt>
                <c:pt idx="27">
                  <c:v>3229.8135541532915</c:v>
                </c:pt>
                <c:pt idx="28">
                  <c:v>3687.2345527255284</c:v>
                </c:pt>
              </c:numCache>
            </c:numRef>
          </c:yVal>
          <c:smooth val="0"/>
          <c:extLst>
            <c:ext xmlns:c16="http://schemas.microsoft.com/office/drawing/2014/chart" uri="{C3380CC4-5D6E-409C-BE32-E72D297353CC}">
              <c16:uniqueId val="{00000002-C9A9-4BFC-8AB7-658A65AF3781}"/>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majorUnit val="5"/>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Washington</a:t>
            </a:r>
            <a:r>
              <a:rPr lang="en-US" sz="1200" b="1">
                <a:solidFill>
                  <a:schemeClr val="bg1"/>
                </a:solidFill>
              </a:rPr>
              <a:t> </a:t>
            </a:r>
          </a:p>
        </c:rich>
      </c:tx>
      <c:layout>
        <c:manualLayout>
          <c:xMode val="edge"/>
          <c:yMode val="edge"/>
          <c:x val="0.15801378454314166"/>
          <c:y val="4.2314589735490918E-2"/>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5965754280714911"/>
          <c:y val="0.11829319814110689"/>
          <c:w val="0.79255593050868645"/>
          <c:h val="0.72874507874015748"/>
        </c:manualLayout>
      </c:layout>
      <c:scatterChart>
        <c:scatterStyle val="lineMarker"/>
        <c:varyColors val="0"/>
        <c:ser>
          <c:idx val="0"/>
          <c:order val="0"/>
          <c:tx>
            <c:strRef>
              <c:f>'Washington Bill Impacts'!$BV$1</c:f>
              <c:strCache>
                <c:ptCount val="1"/>
                <c:pt idx="0">
                  <c:v>Actual History</c:v>
                </c:pt>
              </c:strCache>
            </c:strRef>
          </c:tx>
          <c:spPr>
            <a:ln w="38100" cap="rnd">
              <a:solidFill>
                <a:schemeClr val="tx1"/>
              </a:solidFill>
              <a:round/>
            </a:ln>
            <a:effectLst/>
          </c:spPr>
          <c:marker>
            <c:symbol val="none"/>
          </c:marker>
          <c:xVal>
            <c:numRef>
              <c:f>'Washington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'Washington Bill Impacts'!$BV$2:$BV$19</c:f>
              <c:numCache>
                <c:formatCode>"$"#,##0</c:formatCode>
                <c:ptCount val="18"/>
                <c:pt idx="0">
                  <c:v>1078.9909517546125</c:v>
                </c:pt>
                <c:pt idx="1">
                  <c:v>1173.520907567455</c:v>
                </c:pt>
                <c:pt idx="2">
                  <c:v>1204.1400860756708</c:v>
                </c:pt>
                <c:pt idx="3">
                  <c:v>1104.4038310483381</c:v>
                </c:pt>
                <c:pt idx="4">
                  <c:v>1341.5283869983891</c:v>
                </c:pt>
                <c:pt idx="5">
                  <c:v>1199.1738883264741</c:v>
                </c:pt>
                <c:pt idx="6">
                  <c:v>1018.0996837387607</c:v>
                </c:pt>
                <c:pt idx="7">
                  <c:v>894.70350278877538</c:v>
                </c:pt>
                <c:pt idx="8">
                  <c:v>845.56474154617013</c:v>
                </c:pt>
                <c:pt idx="9">
                  <c:v>767.46085137821638</c:v>
                </c:pt>
                <c:pt idx="10">
                  <c:v>739.29717233644146</c:v>
                </c:pt>
                <c:pt idx="11">
                  <c:v>664.32735262355322</c:v>
                </c:pt>
                <c:pt idx="12">
                  <c:v>753.66987775764551</c:v>
                </c:pt>
                <c:pt idx="13">
                  <c:v>632.92428662675661</c:v>
                </c:pt>
                <c:pt idx="14">
                  <c:v>636.06250066157088</c:v>
                </c:pt>
                <c:pt idx="15">
                  <c:v>643.68279815281073</c:v>
                </c:pt>
                <c:pt idx="16">
                  <c:v>667</c:v>
                </c:pt>
                <c:pt idx="17">
                  <c:v>848.86456590037983</c:v>
                </c:pt>
              </c:numCache>
            </c:numRef>
          </c:yVal>
          <c:smooth val="0"/>
          <c:extLst>
            <c:ext xmlns:c16="http://schemas.microsoft.com/office/drawing/2014/chart" uri="{C3380CC4-5D6E-409C-BE32-E72D297353CC}">
              <c16:uniqueId val="{00000000-FDC4-4062-8527-041175184EA3}"/>
            </c:ext>
          </c:extLst>
        </c:ser>
        <c:ser>
          <c:idx val="1"/>
          <c:order val="1"/>
          <c:tx>
            <c:v>No Decarbonization Reference</c:v>
          </c:tx>
          <c:spPr>
            <a:ln w="38100" cap="rnd">
              <a:solidFill>
                <a:schemeClr val="tx1"/>
              </a:solidFill>
              <a:prstDash val="dash"/>
              <a:round/>
            </a:ln>
            <a:effectLst/>
          </c:spPr>
          <c:marker>
            <c:symbol val="none"/>
          </c:marker>
          <c:xVal>
            <c:numRef>
              <c:f>'Washington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Impacts'!$AX$2:$AX$30</c:f>
              <c:numCache>
                <c:formatCode>"$"#,##0</c:formatCode>
                <c:ptCount val="29"/>
                <c:pt idx="0">
                  <c:v>848.86456590037983</c:v>
                </c:pt>
                <c:pt idx="1">
                  <c:v>821.12639078450138</c:v>
                </c:pt>
                <c:pt idx="2">
                  <c:v>767.61342474246817</c:v>
                </c:pt>
                <c:pt idx="3">
                  <c:v>764.06285989233652</c:v>
                </c:pt>
                <c:pt idx="4">
                  <c:v>796.78752528317762</c:v>
                </c:pt>
                <c:pt idx="5">
                  <c:v>809.07284644193453</c:v>
                </c:pt>
                <c:pt idx="6">
                  <c:v>798.89054466948346</c:v>
                </c:pt>
                <c:pt idx="7">
                  <c:v>771.2936296079713</c:v>
                </c:pt>
                <c:pt idx="8">
                  <c:v>751.63896175453533</c:v>
                </c:pt>
                <c:pt idx="9">
                  <c:v>749.90316562052499</c:v>
                </c:pt>
                <c:pt idx="10">
                  <c:v>751.66916041257241</c:v>
                </c:pt>
                <c:pt idx="11">
                  <c:v>748.81267092268206</c:v>
                </c:pt>
                <c:pt idx="12">
                  <c:v>748.11825170575014</c:v>
                </c:pt>
                <c:pt idx="13">
                  <c:v>745.81151794082587</c:v>
                </c:pt>
                <c:pt idx="14">
                  <c:v>747.93767446745346</c:v>
                </c:pt>
                <c:pt idx="15">
                  <c:v>745.15927748222396</c:v>
                </c:pt>
                <c:pt idx="16">
                  <c:v>743.58231149464643</c:v>
                </c:pt>
                <c:pt idx="17">
                  <c:v>745.43368215656244</c:v>
                </c:pt>
                <c:pt idx="18">
                  <c:v>756.14863153907152</c:v>
                </c:pt>
                <c:pt idx="19">
                  <c:v>756.90214956230147</c:v>
                </c:pt>
                <c:pt idx="20">
                  <c:v>755.15443781342412</c:v>
                </c:pt>
                <c:pt idx="21">
                  <c:v>750.41924994521219</c:v>
                </c:pt>
                <c:pt idx="22">
                  <c:v>760.82630549446208</c:v>
                </c:pt>
                <c:pt idx="23">
                  <c:v>762.07529842309214</c:v>
                </c:pt>
                <c:pt idx="24">
                  <c:v>761.66633805589811</c:v>
                </c:pt>
                <c:pt idx="25">
                  <c:v>764.09932618637401</c:v>
                </c:pt>
                <c:pt idx="26">
                  <c:v>774.02492504683187</c:v>
                </c:pt>
                <c:pt idx="27">
                  <c:v>777.57246818408498</c:v>
                </c:pt>
                <c:pt idx="28">
                  <c:v>787.60693686547972</c:v>
                </c:pt>
              </c:numCache>
            </c:numRef>
          </c:yVal>
          <c:smooth val="0"/>
          <c:extLst>
            <c:ext xmlns:c16="http://schemas.microsoft.com/office/drawing/2014/chart" uri="{C3380CC4-5D6E-409C-BE32-E72D297353CC}">
              <c16:uniqueId val="{00000001-FDC4-4062-8527-041175184EA3}"/>
            </c:ext>
          </c:extLst>
        </c:ser>
        <c:ser>
          <c:idx val="2"/>
          <c:order val="2"/>
          <c:tx>
            <c:strRef>
              <c:f>'Washington Bill Impacts'!$BZ$1</c:f>
              <c:strCache>
                <c:ptCount val="1"/>
                <c:pt idx="0">
                  <c:v>With Decarbonization</c:v>
                </c:pt>
              </c:strCache>
            </c:strRef>
          </c:tx>
          <c:spPr>
            <a:ln w="38100" cap="rnd">
              <a:solidFill>
                <a:srgbClr val="00B050"/>
              </a:solidFill>
              <a:prstDash val="sysDash"/>
              <a:round/>
            </a:ln>
            <a:effectLst/>
          </c:spPr>
          <c:marker>
            <c:symbol val="none"/>
          </c:marker>
          <c:xVal>
            <c:numRef>
              <c:f>'Washington Bill Impacts'!$BY$2:$BY$30</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Impacts'!$BZ$2:$BZ$30</c:f>
              <c:numCache>
                <c:formatCode>"$"#,##0</c:formatCode>
                <c:ptCount val="29"/>
                <c:pt idx="0">
                  <c:v>860.29008449591413</c:v>
                </c:pt>
                <c:pt idx="1">
                  <c:v>896.37441727332623</c:v>
                </c:pt>
                <c:pt idx="2">
                  <c:v>860.49599157324656</c:v>
                </c:pt>
                <c:pt idx="3">
                  <c:v>892.37184066711143</c:v>
                </c:pt>
                <c:pt idx="4">
                  <c:v>966.49514747273793</c:v>
                </c:pt>
                <c:pt idx="5">
                  <c:v>990.28826851458791</c:v>
                </c:pt>
                <c:pt idx="6">
                  <c:v>1043.9007462385744</c:v>
                </c:pt>
                <c:pt idx="7">
                  <c:v>1056.3314698245367</c:v>
                </c:pt>
                <c:pt idx="8">
                  <c:v>1079.8503519753658</c:v>
                </c:pt>
                <c:pt idx="9">
                  <c:v>1082.2469190361755</c:v>
                </c:pt>
                <c:pt idx="10">
                  <c:v>1162.8483459205449</c:v>
                </c:pt>
                <c:pt idx="11">
                  <c:v>1202.2930320703224</c:v>
                </c:pt>
                <c:pt idx="12">
                  <c:v>1247.7783723455934</c:v>
                </c:pt>
                <c:pt idx="13">
                  <c:v>1244.1902281344192</c:v>
                </c:pt>
                <c:pt idx="14">
                  <c:v>1346.0644477902545</c:v>
                </c:pt>
                <c:pt idx="15">
                  <c:v>1395.2400449710942</c:v>
                </c:pt>
                <c:pt idx="16">
                  <c:v>1453.2161874957642</c:v>
                </c:pt>
                <c:pt idx="17">
                  <c:v>1483.7782251335393</c:v>
                </c:pt>
                <c:pt idx="18">
                  <c:v>1585.2076003637851</c:v>
                </c:pt>
                <c:pt idx="19">
                  <c:v>1679.995043895517</c:v>
                </c:pt>
                <c:pt idx="20">
                  <c:v>1767.0543939565337</c:v>
                </c:pt>
                <c:pt idx="21">
                  <c:v>1847.8394211261109</c:v>
                </c:pt>
                <c:pt idx="22">
                  <c:v>1984.4989743660462</c:v>
                </c:pt>
                <c:pt idx="23">
                  <c:v>2130.3769082638823</c:v>
                </c:pt>
                <c:pt idx="24">
                  <c:v>2300.7904749476866</c:v>
                </c:pt>
                <c:pt idx="25">
                  <c:v>2508.7373722620473</c:v>
                </c:pt>
                <c:pt idx="26">
                  <c:v>2781.1053107298576</c:v>
                </c:pt>
                <c:pt idx="27">
                  <c:v>3113.2058891284287</c:v>
                </c:pt>
                <c:pt idx="28">
                  <c:v>3559.3083864174523</c:v>
                </c:pt>
              </c:numCache>
            </c:numRef>
          </c:yVal>
          <c:smooth val="0"/>
          <c:extLst>
            <c:ext xmlns:c16="http://schemas.microsoft.com/office/drawing/2014/chart" uri="{C3380CC4-5D6E-409C-BE32-E72D297353CC}">
              <c16:uniqueId val="{00000002-FDC4-4062-8527-041175184EA3}"/>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majorUnit val="5"/>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Oregon </a:t>
            </a:r>
          </a:p>
        </c:rich>
      </c:tx>
      <c:layout>
        <c:manualLayout>
          <c:xMode val="edge"/>
          <c:yMode val="edge"/>
          <c:x val="0.12523436014864864"/>
          <c:y val="1.2218791515014538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4415048118985124"/>
          <c:y val="0.10655205360977045"/>
          <c:w val="0.82529396325459314"/>
          <c:h val="0.74777045982296997"/>
        </c:manualLayout>
      </c:layout>
      <c:scatterChart>
        <c:scatterStyle val="lineMarker"/>
        <c:varyColors val="0"/>
        <c:ser>
          <c:idx val="0"/>
          <c:order val="0"/>
          <c:tx>
            <c:strRef>
              <c:f>'Oregon Bill Impacts'!$BV$1</c:f>
              <c:strCache>
                <c:ptCount val="1"/>
                <c:pt idx="0">
                  <c:v>Actual History</c:v>
                </c:pt>
              </c:strCache>
            </c:strRef>
          </c:tx>
          <c:spPr>
            <a:ln w="38100" cap="rnd">
              <a:solidFill>
                <a:sysClr val="windowText" lastClr="000000"/>
              </a:solidFill>
              <a:round/>
            </a:ln>
            <a:effectLst/>
          </c:spPr>
          <c:marker>
            <c:symbol val="none"/>
          </c:marker>
          <c:xVal>
            <c:numRef>
              <c:f>'Oregon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'Oregon Bill Impacts'!$BW$2:$BW$19</c:f>
              <c:numCache>
                <c:formatCode>0</c:formatCode>
                <c:ptCount val="18"/>
                <c:pt idx="0">
                  <c:v>655.72140379465486</c:v>
                </c:pt>
                <c:pt idx="1">
                  <c:v>657.36709039684763</c:v>
                </c:pt>
                <c:pt idx="2">
                  <c:v>673.38108752498158</c:v>
                </c:pt>
                <c:pt idx="3">
                  <c:v>698.51266385950805</c:v>
                </c:pt>
                <c:pt idx="4">
                  <c:v>690.13327180944827</c:v>
                </c:pt>
                <c:pt idx="5">
                  <c:v>611.31088588053024</c:v>
                </c:pt>
                <c:pt idx="6">
                  <c:v>683.97477850892312</c:v>
                </c:pt>
                <c:pt idx="7">
                  <c:v>631.76594941012047</c:v>
                </c:pt>
                <c:pt idx="8">
                  <c:v>661.15795537305758</c:v>
                </c:pt>
                <c:pt idx="9">
                  <c:v>593.78490645660429</c:v>
                </c:pt>
                <c:pt idx="10">
                  <c:v>538.65107323769143</c:v>
                </c:pt>
                <c:pt idx="11">
                  <c:v>573.92952289021355</c:v>
                </c:pt>
                <c:pt idx="12">
                  <c:v>691.68919255620392</c:v>
                </c:pt>
                <c:pt idx="13">
                  <c:v>602.10823903367248</c:v>
                </c:pt>
                <c:pt idx="14">
                  <c:v>657.51837076888887</c:v>
                </c:pt>
                <c:pt idx="15">
                  <c:v>615</c:v>
                </c:pt>
                <c:pt idx="16">
                  <c:v>604</c:v>
                </c:pt>
                <c:pt idx="17">
                  <c:v>627.75040502933007</c:v>
                </c:pt>
              </c:numCache>
            </c:numRef>
          </c:yVal>
          <c:smooth val="0"/>
          <c:extLst>
            <c:ext xmlns:c16="http://schemas.microsoft.com/office/drawing/2014/chart" uri="{C3380CC4-5D6E-409C-BE32-E72D297353CC}">
              <c16:uniqueId val="{00000000-DD55-47C3-B05C-4BB13B16C533}"/>
            </c:ext>
          </c:extLst>
        </c:ser>
        <c:ser>
          <c:idx val="1"/>
          <c:order val="1"/>
          <c:tx>
            <c:v>No Decarbonization Reference</c:v>
          </c:tx>
          <c:spPr>
            <a:ln w="38100" cap="rnd">
              <a:solidFill>
                <a:sysClr val="windowText" lastClr="000000"/>
              </a:solidFill>
              <a:prstDash val="dash"/>
              <a:round/>
            </a:ln>
            <a:effectLst/>
          </c:spPr>
          <c:marker>
            <c:symbol val="none"/>
          </c:marker>
          <c:xVal>
            <c:numRef>
              <c:f>'Oregon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Impacts'!$AL$2:$AL$30</c:f>
              <c:numCache>
                <c:formatCode>0</c:formatCode>
                <c:ptCount val="29"/>
                <c:pt idx="0">
                  <c:v>627.75040502933007</c:v>
                </c:pt>
                <c:pt idx="1">
                  <c:v>620.83832892042471</c:v>
                </c:pt>
                <c:pt idx="2">
                  <c:v>617.41733792979107</c:v>
                </c:pt>
                <c:pt idx="3">
                  <c:v>605.72331551469085</c:v>
                </c:pt>
                <c:pt idx="4">
                  <c:v>598.29456339879073</c:v>
                </c:pt>
                <c:pt idx="5">
                  <c:v>590.66751811017059</c:v>
                </c:pt>
                <c:pt idx="6">
                  <c:v>586.65034767556403</c:v>
                </c:pt>
                <c:pt idx="7">
                  <c:v>575.6523551320995</c:v>
                </c:pt>
                <c:pt idx="8">
                  <c:v>568.41993937912912</c:v>
                </c:pt>
                <c:pt idx="9">
                  <c:v>561.34726871971623</c:v>
                </c:pt>
                <c:pt idx="10">
                  <c:v>558.03645536109809</c:v>
                </c:pt>
                <c:pt idx="11">
                  <c:v>548.00000016814613</c:v>
                </c:pt>
                <c:pt idx="12">
                  <c:v>541.60506561517002</c:v>
                </c:pt>
                <c:pt idx="13">
                  <c:v>535.77528889476298</c:v>
                </c:pt>
                <c:pt idx="14">
                  <c:v>533.21252076764483</c:v>
                </c:pt>
                <c:pt idx="15">
                  <c:v>524.26832926594852</c:v>
                </c:pt>
                <c:pt idx="16">
                  <c:v>518.80922764480044</c:v>
                </c:pt>
                <c:pt idx="17">
                  <c:v>513.47743823737699</c:v>
                </c:pt>
                <c:pt idx="18">
                  <c:v>511.26570300774637</c:v>
                </c:pt>
                <c:pt idx="19">
                  <c:v>502.98213655839754</c:v>
                </c:pt>
                <c:pt idx="20">
                  <c:v>497.87630810630833</c:v>
                </c:pt>
                <c:pt idx="21">
                  <c:v>492.78627518434189</c:v>
                </c:pt>
                <c:pt idx="22">
                  <c:v>490.86520526035451</c:v>
                </c:pt>
                <c:pt idx="23">
                  <c:v>483.01803819994808</c:v>
                </c:pt>
                <c:pt idx="24">
                  <c:v>478.26222383922493</c:v>
                </c:pt>
                <c:pt idx="25">
                  <c:v>473.58443998825737</c:v>
                </c:pt>
                <c:pt idx="26">
                  <c:v>471.99427289129466</c:v>
                </c:pt>
                <c:pt idx="27">
                  <c:v>464.76560082130271</c:v>
                </c:pt>
                <c:pt idx="28">
                  <c:v>460.45141296098137</c:v>
                </c:pt>
              </c:numCache>
            </c:numRef>
          </c:yVal>
          <c:smooth val="0"/>
          <c:extLst>
            <c:ext xmlns:c16="http://schemas.microsoft.com/office/drawing/2014/chart" uri="{C3380CC4-5D6E-409C-BE32-E72D297353CC}">
              <c16:uniqueId val="{00000001-DD55-47C3-B05C-4BB13B16C533}"/>
            </c:ext>
          </c:extLst>
        </c:ser>
        <c:ser>
          <c:idx val="2"/>
          <c:order val="2"/>
          <c:tx>
            <c:strRef>
              <c:f>'Oregon Bill Impacts'!$BZ$1</c:f>
              <c:strCache>
                <c:ptCount val="1"/>
                <c:pt idx="0">
                  <c:v>With Decarbonization</c:v>
                </c:pt>
              </c:strCache>
            </c:strRef>
          </c:tx>
          <c:spPr>
            <a:ln w="38100" cap="rnd">
              <a:solidFill>
                <a:srgbClr val="00B050"/>
              </a:solidFill>
              <a:prstDash val="sysDash"/>
              <a:round/>
            </a:ln>
            <a:effectLst/>
          </c:spPr>
          <c:marker>
            <c:symbol val="none"/>
          </c:marker>
          <c:xVal>
            <c:numRef>
              <c:f>'Oregon Bill Impacts'!$CC$2:$CC$30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'Oregon Bill Impacts'!$CA$2:$CA$30</c:f>
              <c:numCache>
                <c:formatCode>0</c:formatCode>
                <c:ptCount val="29"/>
                <c:pt idx="0">
                  <c:v>628.68262085003812</c:v>
                </c:pt>
                <c:pt idx="1">
                  <c:v>624.05615895693927</c:v>
                </c:pt>
                <c:pt idx="2">
                  <c:v>623.53216559772852</c:v>
                </c:pt>
                <c:pt idx="3">
                  <c:v>606.27857774745985</c:v>
                </c:pt>
                <c:pt idx="4">
                  <c:v>604.13911905317877</c:v>
                </c:pt>
                <c:pt idx="5">
                  <c:v>601.96869159850178</c:v>
                </c:pt>
                <c:pt idx="6">
                  <c:v>603.39054786028885</c:v>
                </c:pt>
                <c:pt idx="7">
                  <c:v>597.44922620297552</c:v>
                </c:pt>
                <c:pt idx="8">
                  <c:v>595.21206285821143</c:v>
                </c:pt>
                <c:pt idx="9">
                  <c:v>592.90325037858167</c:v>
                </c:pt>
                <c:pt idx="10">
                  <c:v>594.38786575752135</c:v>
                </c:pt>
                <c:pt idx="11">
                  <c:v>588.48286530930022</c:v>
                </c:pt>
                <c:pt idx="12">
                  <c:v>586.05192086459067</c:v>
                </c:pt>
                <c:pt idx="13">
                  <c:v>583.80202566803655</c:v>
                </c:pt>
                <c:pt idx="14">
                  <c:v>585.01418874111653</c:v>
                </c:pt>
                <c:pt idx="15">
                  <c:v>579.04056451674967</c:v>
                </c:pt>
                <c:pt idx="16">
                  <c:v>576.66807225117191</c:v>
                </c:pt>
                <c:pt idx="17">
                  <c:v>574.26055833220698</c:v>
                </c:pt>
                <c:pt idx="18">
                  <c:v>575.33525643722169</c:v>
                </c:pt>
                <c:pt idx="19">
                  <c:v>569.41913242716043</c:v>
                </c:pt>
                <c:pt idx="20">
                  <c:v>566.92729554456378</c:v>
                </c:pt>
                <c:pt idx="21">
                  <c:v>564.29185520104215</c:v>
                </c:pt>
                <c:pt idx="22">
                  <c:v>565.21886096603191</c:v>
                </c:pt>
                <c:pt idx="23">
                  <c:v>559.13692398868875</c:v>
                </c:pt>
                <c:pt idx="24">
                  <c:v>556.51844418860799</c:v>
                </c:pt>
                <c:pt idx="25">
                  <c:v>553.88033853294166</c:v>
                </c:pt>
                <c:pt idx="26">
                  <c:v>554.67410690387578</c:v>
                </c:pt>
                <c:pt idx="27">
                  <c:v>548.51363492244479</c:v>
                </c:pt>
                <c:pt idx="28">
                  <c:v>545.71023407646078</c:v>
                </c:pt>
              </c:numCache>
            </c:numRef>
          </c:yVal>
          <c:smooth val="0"/>
          <c:extLst>
            <c:ext xmlns:c16="http://schemas.microsoft.com/office/drawing/2014/chart" uri="{C3380CC4-5D6E-409C-BE32-E72D297353CC}">
              <c16:uniqueId val="{00000002-DD55-47C3-B05C-4BB13B16C533}"/>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Annual Average Usage (therms)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r>
              <a:rPr lang="en-US" sz="1100" b="1">
                <a:solidFill>
                  <a:schemeClr val="bg1"/>
                </a:solidFill>
              </a:rPr>
              <a:t>Washington</a:t>
            </a:r>
            <a:r>
              <a:rPr lang="en-US" sz="1200" b="1">
                <a:solidFill>
                  <a:schemeClr val="bg1"/>
                </a:solidFill>
              </a:rPr>
              <a:t> </a:t>
            </a:r>
          </a:p>
        </c:rich>
      </c:tx>
      <c:layout>
        <c:manualLayout>
          <c:xMode val="edge"/>
          <c:yMode val="edge"/>
          <c:x val="0.16095869258993262"/>
          <c:y val="5.1320539416108008E-3"/>
        </c:manualLayout>
      </c:layout>
      <c:overlay val="0"/>
      <c:spPr>
        <a:solidFill>
          <a:srgbClr val="002060"/>
        </a:solidFill>
        <a:ln>
          <a:noFill/>
        </a:ln>
        <a:effectLst/>
      </c:spPr>
      <c:txPr>
        <a:bodyPr rot="0" spcFirstLastPara="1" vertOverflow="ellipsis" vert="horz" wrap="square" anchor="ctr" anchorCtr="1"/>
        <a:lstStyle/>
        <a:p>
          <a:pPr>
            <a:defRPr sz="12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6225916952610592"/>
          <c:y val="0.11829319814110689"/>
          <c:w val="0.79341874942038393"/>
          <c:h val="0.73602935049785445"/>
        </c:manualLayout>
      </c:layout>
      <c:scatterChart>
        <c:scatterStyle val="lineMarker"/>
        <c:varyColors val="0"/>
        <c:ser>
          <c:idx val="0"/>
          <c:order val="0"/>
          <c:tx>
            <c:strRef>
              <c:f>'Washington Bill Impacts'!$BW$1</c:f>
              <c:strCache>
                <c:ptCount val="1"/>
                <c:pt idx="0">
                  <c:v>Actual History</c:v>
                </c:pt>
              </c:strCache>
            </c:strRef>
          </c:tx>
          <c:spPr>
            <a:ln w="38100" cap="rnd">
              <a:solidFill>
                <a:sysClr val="windowText" lastClr="000000"/>
              </a:solidFill>
              <a:round/>
            </a:ln>
            <a:effectLst/>
          </c:spPr>
          <c:marker>
            <c:symbol val="none"/>
          </c:marker>
          <c:xVal>
            <c:numRef>
              <c:f>'Washington Bill Impacts'!$BU$2:$BU$19</c:f>
              <c:numCache>
                <c:formatCode>0</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'Washington Bill Impacts'!$BW$2:$BW$19</c:f>
              <c:numCache>
                <c:formatCode>0</c:formatCode>
                <c:ptCount val="18"/>
                <c:pt idx="0">
                  <c:v>672.77955848157671</c:v>
                </c:pt>
                <c:pt idx="1">
                  <c:v>674.46805652238345</c:v>
                </c:pt>
                <c:pt idx="2">
                  <c:v>690.89864709795836</c:v>
                </c:pt>
                <c:pt idx="3">
                  <c:v>716.68400461784745</c:v>
                </c:pt>
                <c:pt idx="4">
                  <c:v>708.08662827606702</c:v>
                </c:pt>
                <c:pt idx="5">
                  <c:v>627.21373058378913</c:v>
                </c:pt>
                <c:pt idx="6">
                  <c:v>701.76792588254784</c:v>
                </c:pt>
                <c:pt idx="7">
                  <c:v>648.20091893925724</c:v>
                </c:pt>
                <c:pt idx="8">
                  <c:v>678.3575383209012</c:v>
                </c:pt>
                <c:pt idx="9">
                  <c:v>609.23182450210425</c:v>
                </c:pt>
                <c:pt idx="10">
                  <c:v>552.66372140868577</c:v>
                </c:pt>
                <c:pt idx="11">
                  <c:v>588.85991638384792</c:v>
                </c:pt>
                <c:pt idx="12">
                  <c:v>709.68302526261766</c:v>
                </c:pt>
                <c:pt idx="13">
                  <c:v>617.77168302111772</c:v>
                </c:pt>
                <c:pt idx="14">
                  <c:v>674.62327235233784</c:v>
                </c:pt>
                <c:pt idx="15">
                  <c:v>630.99881454493777</c:v>
                </c:pt>
                <c:pt idx="16">
                  <c:v>619.71265688641051</c:v>
                </c:pt>
                <c:pt idx="17" formatCode="0%">
                  <c:v>644.08091285140131</c:v>
                </c:pt>
              </c:numCache>
            </c:numRef>
          </c:yVal>
          <c:smooth val="0"/>
          <c:extLst>
            <c:ext xmlns:c16="http://schemas.microsoft.com/office/drawing/2014/chart" uri="{C3380CC4-5D6E-409C-BE32-E72D297353CC}">
              <c16:uniqueId val="{00000000-C94E-4726-9046-FB55F2DAC05C}"/>
            </c:ext>
          </c:extLst>
        </c:ser>
        <c:ser>
          <c:idx val="1"/>
          <c:order val="1"/>
          <c:tx>
            <c:v>No Decarbonization Reference</c:v>
          </c:tx>
          <c:spPr>
            <a:ln w="38100" cap="rnd">
              <a:solidFill>
                <a:schemeClr val="tx1"/>
              </a:solidFill>
              <a:prstDash val="dash"/>
              <a:round/>
            </a:ln>
            <a:effectLst/>
          </c:spPr>
          <c:marker>
            <c:symbol val="none"/>
          </c:marker>
          <c:xVal>
            <c:numRef>
              <c:f>'Washington Bill Impacts'!$AW$2:$AW$30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Impacts'!$AL$2:$AL$30</c:f>
              <c:numCache>
                <c:formatCode>0</c:formatCode>
                <c:ptCount val="29"/>
                <c:pt idx="0">
                  <c:v>644.08091285140131</c:v>
                </c:pt>
                <c:pt idx="1">
                  <c:v>642.19991215964126</c:v>
                </c:pt>
                <c:pt idx="2">
                  <c:v>639.49990777442179</c:v>
                </c:pt>
                <c:pt idx="3">
                  <c:v>629.97234224028603</c:v>
                </c:pt>
                <c:pt idx="4">
                  <c:v>624.56757548125665</c:v>
                </c:pt>
                <c:pt idx="5">
                  <c:v>619.30390697160863</c:v>
                </c:pt>
                <c:pt idx="6">
                  <c:v>617.93906893540156</c:v>
                </c:pt>
                <c:pt idx="7">
                  <c:v>609.1514074074239</c:v>
                </c:pt>
                <c:pt idx="8">
                  <c:v>604.22716201786534</c:v>
                </c:pt>
                <c:pt idx="9">
                  <c:v>599.40560806000929</c:v>
                </c:pt>
                <c:pt idx="10">
                  <c:v>598.26362289556607</c:v>
                </c:pt>
                <c:pt idx="11">
                  <c:v>589.99599552762629</c:v>
                </c:pt>
                <c:pt idx="12">
                  <c:v>585.49739296039286</c:v>
                </c:pt>
                <c:pt idx="13">
                  <c:v>581.08604455507077</c:v>
                </c:pt>
                <c:pt idx="14">
                  <c:v>580.33196418837156</c:v>
                </c:pt>
                <c:pt idx="15">
                  <c:v>572.50079285558479</c:v>
                </c:pt>
                <c:pt idx="16">
                  <c:v>568.32850337632294</c:v>
                </c:pt>
                <c:pt idx="17">
                  <c:v>564.23139719140011</c:v>
                </c:pt>
                <c:pt idx="18">
                  <c:v>563.56504079938838</c:v>
                </c:pt>
                <c:pt idx="19">
                  <c:v>556.10479799669201</c:v>
                </c:pt>
                <c:pt idx="20">
                  <c:v>552.20369299528136</c:v>
                </c:pt>
                <c:pt idx="21">
                  <c:v>548.36175776758159</c:v>
                </c:pt>
                <c:pt idx="22">
                  <c:v>547.99762562253022</c:v>
                </c:pt>
                <c:pt idx="23">
                  <c:v>540.82755170778319</c:v>
                </c:pt>
                <c:pt idx="24">
                  <c:v>537.1555393070804</c:v>
                </c:pt>
                <c:pt idx="25">
                  <c:v>533.50636235825777</c:v>
                </c:pt>
                <c:pt idx="26">
                  <c:v>533.2761721718017</c:v>
                </c:pt>
                <c:pt idx="27">
                  <c:v>526.33618465370159</c:v>
                </c:pt>
                <c:pt idx="28">
                  <c:v>522.86082006626702</c:v>
                </c:pt>
              </c:numCache>
            </c:numRef>
          </c:yVal>
          <c:smooth val="0"/>
          <c:extLst>
            <c:ext xmlns:c16="http://schemas.microsoft.com/office/drawing/2014/chart" uri="{C3380CC4-5D6E-409C-BE32-E72D297353CC}">
              <c16:uniqueId val="{00000001-C94E-4726-9046-FB55F2DAC05C}"/>
            </c:ext>
          </c:extLst>
        </c:ser>
        <c:ser>
          <c:idx val="2"/>
          <c:order val="2"/>
          <c:tx>
            <c:strRef>
              <c:f>'Washington Bill Impacts'!$CA$1</c:f>
              <c:strCache>
                <c:ptCount val="1"/>
                <c:pt idx="0">
                  <c:v>With Decarbonization</c:v>
                </c:pt>
              </c:strCache>
            </c:strRef>
          </c:tx>
          <c:spPr>
            <a:ln w="38100" cap="rnd">
              <a:solidFill>
                <a:srgbClr val="00B050"/>
              </a:solidFill>
              <a:prstDash val="sysDash"/>
              <a:round/>
            </a:ln>
            <a:effectLst/>
          </c:spPr>
          <c:marker>
            <c:symbol val="none"/>
          </c:marker>
          <c:xVal>
            <c:numRef>
              <c:f>'Washington Bill Impacts'!$BY$2:$BY$30</c:f>
              <c:numCache>
                <c:formatCode>0</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xVal>
          <c:yVal>
            <c:numRef>
              <c:f>'Washington Bill Impacts'!$CA$2:$CA$30</c:f>
              <c:numCache>
                <c:formatCode>0</c:formatCode>
                <c:ptCount val="29"/>
                <c:pt idx="0">
                  <c:v>644.08091285140131</c:v>
                </c:pt>
                <c:pt idx="1">
                  <c:v>642.19991215964126</c:v>
                </c:pt>
                <c:pt idx="2">
                  <c:v>639.49990777442179</c:v>
                </c:pt>
                <c:pt idx="3">
                  <c:v>644.33117611636965</c:v>
                </c:pt>
                <c:pt idx="4">
                  <c:v>642.04315401542249</c:v>
                </c:pt>
                <c:pt idx="5">
                  <c:v>639.75351509304153</c:v>
                </c:pt>
                <c:pt idx="6">
                  <c:v>641.3820969129946</c:v>
                </c:pt>
                <c:pt idx="7">
                  <c:v>635.14406315354984</c:v>
                </c:pt>
                <c:pt idx="8">
                  <c:v>632.80010404837776</c:v>
                </c:pt>
                <c:pt idx="9">
                  <c:v>630.43976858785459</c:v>
                </c:pt>
                <c:pt idx="10">
                  <c:v>631.84896375127505</c:v>
                </c:pt>
                <c:pt idx="11">
                  <c:v>625.61505650806487</c:v>
                </c:pt>
                <c:pt idx="12">
                  <c:v>623.24965228553856</c:v>
                </c:pt>
                <c:pt idx="13">
                  <c:v>620.86989197630169</c:v>
                </c:pt>
                <c:pt idx="14">
                  <c:v>622.29545088794305</c:v>
                </c:pt>
                <c:pt idx="15">
                  <c:v>616.05745950097776</c:v>
                </c:pt>
                <c:pt idx="16">
                  <c:v>613.63262931975692</c:v>
                </c:pt>
                <c:pt idx="17">
                  <c:v>611.19332187531438</c:v>
                </c:pt>
                <c:pt idx="18">
                  <c:v>612.36890463073803</c:v>
                </c:pt>
                <c:pt idx="19">
                  <c:v>606.11365440889574</c:v>
                </c:pt>
                <c:pt idx="20">
                  <c:v>603.61370026145346</c:v>
                </c:pt>
                <c:pt idx="21">
                  <c:v>601.08987830534477</c:v>
                </c:pt>
                <c:pt idx="22">
                  <c:v>602.26989595556472</c:v>
                </c:pt>
                <c:pt idx="23">
                  <c:v>595.94354319434592</c:v>
                </c:pt>
                <c:pt idx="24">
                  <c:v>593.3448200155857</c:v>
                </c:pt>
                <c:pt idx="25">
                  <c:v>590.68262018890516</c:v>
                </c:pt>
                <c:pt idx="26">
                  <c:v>591.69124435685239</c:v>
                </c:pt>
                <c:pt idx="27">
                  <c:v>585.23817147226623</c:v>
                </c:pt>
                <c:pt idx="28">
                  <c:v>582.50108824342874</c:v>
                </c:pt>
              </c:numCache>
            </c:numRef>
          </c:yVal>
          <c:smooth val="0"/>
          <c:extLst>
            <c:ext xmlns:c16="http://schemas.microsoft.com/office/drawing/2014/chart" uri="{C3380CC4-5D6E-409C-BE32-E72D297353CC}">
              <c16:uniqueId val="{00000002-C94E-4726-9046-FB55F2DAC05C}"/>
            </c:ext>
          </c:extLst>
        </c:ser>
        <c:dLbls>
          <c:showLegendKey val="0"/>
          <c:showVal val="0"/>
          <c:showCatName val="0"/>
          <c:showSerName val="0"/>
          <c:showPercent val="0"/>
          <c:showBubbleSize val="0"/>
        </c:dLbls>
        <c:axId val="180365712"/>
        <c:axId val="180375280"/>
      </c:scatterChart>
      <c:valAx>
        <c:axId val="180365712"/>
        <c:scaling>
          <c:orientation val="minMax"/>
          <c:max val="2050"/>
          <c:min val="2005"/>
        </c:scaling>
        <c:delete val="0"/>
        <c:axPos val="b"/>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75280"/>
        <c:crosses val="autoZero"/>
        <c:crossBetween val="midCat"/>
      </c:valAx>
      <c:valAx>
        <c:axId val="180375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a:t>Annual Average Usage (therms)</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80365712"/>
        <c:crosses val="autoZero"/>
        <c:crossBetween val="midCat"/>
        <c:majorUnit val="1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System Peak Day Load</a:t>
            </a:r>
          </a:p>
        </c:rich>
      </c:tx>
      <c:layout>
        <c:manualLayout>
          <c:xMode val="edge"/>
          <c:yMode val="edge"/>
          <c:x val="0.12078693226316219"/>
          <c:y val="4.1293615554437446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2506110564304462"/>
          <c:y val="0.11124611713135746"/>
          <c:w val="0.64770081474190722"/>
          <c:h val="0.71084379255224672"/>
        </c:manualLayout>
      </c:layout>
      <c:areaChart>
        <c:grouping val="stacked"/>
        <c:varyColors val="0"/>
        <c:ser>
          <c:idx val="1"/>
          <c:order val="0"/>
          <c:tx>
            <c:strRef>
              <c:f>'Peak Load'!$C$1</c:f>
              <c:strCache>
                <c:ptCount val="1"/>
                <c:pt idx="0">
                  <c:v> Residential Firm Sales </c:v>
                </c:pt>
              </c:strCache>
            </c:strRef>
          </c:tx>
          <c:spPr>
            <a:solidFill>
              <a:schemeClr val="accent2">
                <a:lumMod val="75000"/>
              </a:schemeClr>
            </a:solidFill>
            <a:ln>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Load'!$C$2:$C$29</c:f>
              <c:numCache>
                <c:formatCode>_(* #,##0_);_(* \(#,##0\);_(* "-"??_);_(@_)</c:formatCode>
                <c:ptCount val="28"/>
                <c:pt idx="0">
                  <c:v>675285.24944850127</c:v>
                </c:pt>
                <c:pt idx="1">
                  <c:v>683035.04424212803</c:v>
                </c:pt>
                <c:pt idx="2">
                  <c:v>668994.24872736156</c:v>
                </c:pt>
                <c:pt idx="3">
                  <c:v>655265.39557912352</c:v>
                </c:pt>
                <c:pt idx="4">
                  <c:v>643017.05406154983</c:v>
                </c:pt>
                <c:pt idx="5">
                  <c:v>629084.65612968011</c:v>
                </c:pt>
                <c:pt idx="6">
                  <c:v>616530.78223896504</c:v>
                </c:pt>
                <c:pt idx="7">
                  <c:v>602199.07037465367</c:v>
                </c:pt>
                <c:pt idx="8">
                  <c:v>588786.98148952774</c:v>
                </c:pt>
                <c:pt idx="9">
                  <c:v>575879.10665229254</c:v>
                </c:pt>
                <c:pt idx="10">
                  <c:v>563154.82563091174</c:v>
                </c:pt>
                <c:pt idx="11">
                  <c:v>549814.57132979191</c:v>
                </c:pt>
                <c:pt idx="12">
                  <c:v>536326.45820868271</c:v>
                </c:pt>
                <c:pt idx="13">
                  <c:v>523665.73151343816</c:v>
                </c:pt>
                <c:pt idx="14">
                  <c:v>510689.63078732864</c:v>
                </c:pt>
                <c:pt idx="15">
                  <c:v>497213.56936227845</c:v>
                </c:pt>
                <c:pt idx="16">
                  <c:v>484914.83561294491</c:v>
                </c:pt>
                <c:pt idx="17">
                  <c:v>471752.33149769017</c:v>
                </c:pt>
                <c:pt idx="18">
                  <c:v>458558.83810555283</c:v>
                </c:pt>
                <c:pt idx="19">
                  <c:v>445649.86129454989</c:v>
                </c:pt>
                <c:pt idx="20">
                  <c:v>433057.5562465993</c:v>
                </c:pt>
                <c:pt idx="21">
                  <c:v>419956.87419573002</c:v>
                </c:pt>
                <c:pt idx="22">
                  <c:v>406901.57514616742</c:v>
                </c:pt>
                <c:pt idx="23">
                  <c:v>394108.89940205455</c:v>
                </c:pt>
                <c:pt idx="24">
                  <c:v>380630.92018181068</c:v>
                </c:pt>
                <c:pt idx="25">
                  <c:v>367665.05240265094</c:v>
                </c:pt>
                <c:pt idx="26">
                  <c:v>354819.72264545679</c:v>
                </c:pt>
                <c:pt idx="27">
                  <c:v>341802.9701930891</c:v>
                </c:pt>
              </c:numCache>
            </c:numRef>
          </c:val>
          <c:extLst>
            <c:ext xmlns:c16="http://schemas.microsoft.com/office/drawing/2014/chart" uri="{C3380CC4-5D6E-409C-BE32-E72D297353CC}">
              <c16:uniqueId val="{00000000-F32F-4226-B78F-E6D36C7FF79C}"/>
            </c:ext>
          </c:extLst>
        </c:ser>
        <c:ser>
          <c:idx val="2"/>
          <c:order val="1"/>
          <c:tx>
            <c:strRef>
              <c:f>'Peak Load'!$D$1</c:f>
              <c:strCache>
                <c:ptCount val="1"/>
                <c:pt idx="0">
                  <c:v> Commercial Firm Sales </c:v>
                </c:pt>
              </c:strCache>
            </c:strRef>
          </c:tx>
          <c:spPr>
            <a:solidFill>
              <a:schemeClr val="accent2">
                <a:lumMod val="60000"/>
                <a:lumOff val="40000"/>
              </a:schemeClr>
            </a:solidFill>
            <a:ln>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Load'!$D$2:$D$29</c:f>
              <c:numCache>
                <c:formatCode>_(* #,##0_);_(* \(#,##0\);_(* "-"??_);_(@_)</c:formatCode>
                <c:ptCount val="28"/>
                <c:pt idx="0">
                  <c:v>266510.45250805264</c:v>
                </c:pt>
                <c:pt idx="1">
                  <c:v>269506.54524411878</c:v>
                </c:pt>
                <c:pt idx="2">
                  <c:v>264006.69033221982</c:v>
                </c:pt>
                <c:pt idx="3">
                  <c:v>258629.89100494282</c:v>
                </c:pt>
                <c:pt idx="4">
                  <c:v>253837.64421579699</c:v>
                </c:pt>
                <c:pt idx="5">
                  <c:v>248380.37948055775</c:v>
                </c:pt>
                <c:pt idx="6">
                  <c:v>243467.52822751441</c:v>
                </c:pt>
                <c:pt idx="7">
                  <c:v>237852.36563617853</c:v>
                </c:pt>
                <c:pt idx="8">
                  <c:v>232600.40396146345</c:v>
                </c:pt>
                <c:pt idx="9">
                  <c:v>227547.65201464458</c:v>
                </c:pt>
                <c:pt idx="10">
                  <c:v>222567.48177531915</c:v>
                </c:pt>
                <c:pt idx="11">
                  <c:v>217343.82218376439</c:v>
                </c:pt>
                <c:pt idx="12">
                  <c:v>212061.63723752685</c:v>
                </c:pt>
                <c:pt idx="13">
                  <c:v>207106.61568236092</c:v>
                </c:pt>
                <c:pt idx="14">
                  <c:v>202026.88356408256</c:v>
                </c:pt>
                <c:pt idx="15">
                  <c:v>196749.31513041622</c:v>
                </c:pt>
                <c:pt idx="16">
                  <c:v>191937.63712797588</c:v>
                </c:pt>
                <c:pt idx="17">
                  <c:v>186784.12519723474</c:v>
                </c:pt>
                <c:pt idx="18">
                  <c:v>181618.30110246208</c:v>
                </c:pt>
                <c:pt idx="19">
                  <c:v>176565.13260624433</c:v>
                </c:pt>
                <c:pt idx="20">
                  <c:v>171637.4620836488</c:v>
                </c:pt>
                <c:pt idx="21">
                  <c:v>166508.37699736489</c:v>
                </c:pt>
                <c:pt idx="22">
                  <c:v>161397.2546042194</c:v>
                </c:pt>
                <c:pt idx="23">
                  <c:v>156390.28567700641</c:v>
                </c:pt>
                <c:pt idx="24">
                  <c:v>151111.42358236908</c:v>
                </c:pt>
                <c:pt idx="25">
                  <c:v>146035.70329341461</c:v>
                </c:pt>
                <c:pt idx="26">
                  <c:v>141007.85915240884</c:v>
                </c:pt>
                <c:pt idx="27">
                  <c:v>135911.94184010342</c:v>
                </c:pt>
              </c:numCache>
            </c:numRef>
          </c:val>
          <c:extLst>
            <c:ext xmlns:c16="http://schemas.microsoft.com/office/drawing/2014/chart" uri="{C3380CC4-5D6E-409C-BE32-E72D297353CC}">
              <c16:uniqueId val="{00000001-F32F-4226-B78F-E6D36C7FF79C}"/>
            </c:ext>
          </c:extLst>
        </c:ser>
        <c:ser>
          <c:idx val="4"/>
          <c:order val="2"/>
          <c:tx>
            <c:strRef>
              <c:f>'Peak Load'!$E$1</c:f>
              <c:strCache>
                <c:ptCount val="1"/>
                <c:pt idx="0">
                  <c:v> Industrial Firm Sales </c:v>
                </c:pt>
              </c:strCache>
            </c:strRef>
          </c:tx>
          <c:spPr>
            <a:solidFill>
              <a:schemeClr val="accent2">
                <a:lumMod val="20000"/>
                <a:lumOff val="80000"/>
              </a:schemeClr>
            </a:solidFill>
            <a:ln w="25400">
              <a:noFill/>
            </a:ln>
            <a:effectLst/>
          </c:spP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Load'!$E$2:$E$29</c:f>
              <c:numCache>
                <c:formatCode>_(* #,##0_);_(* \(#,##0\);_(* "-"??_);_(@_)</c:formatCode>
                <c:ptCount val="28"/>
                <c:pt idx="0">
                  <c:v>66912.368352393794</c:v>
                </c:pt>
                <c:pt idx="1">
                  <c:v>65261.928245920222</c:v>
                </c:pt>
                <c:pt idx="2">
                  <c:v>63118.427936236607</c:v>
                </c:pt>
                <c:pt idx="3">
                  <c:v>61259.670117732487</c:v>
                </c:pt>
                <c:pt idx="4">
                  <c:v>59476.771479973075</c:v>
                </c:pt>
                <c:pt idx="5">
                  <c:v>57960.523526621633</c:v>
                </c:pt>
                <c:pt idx="6">
                  <c:v>56145.527010719699</c:v>
                </c:pt>
                <c:pt idx="7">
                  <c:v>54643.608187572798</c:v>
                </c:pt>
                <c:pt idx="8">
                  <c:v>53210.598420818715</c:v>
                </c:pt>
                <c:pt idx="9">
                  <c:v>52026.733226558543</c:v>
                </c:pt>
                <c:pt idx="10">
                  <c:v>50519.416311718931</c:v>
                </c:pt>
                <c:pt idx="11">
                  <c:v>49218.518274007278</c:v>
                </c:pt>
                <c:pt idx="12">
                  <c:v>47931.751042839926</c:v>
                </c:pt>
                <c:pt idx="13">
                  <c:v>46832.479817478481</c:v>
                </c:pt>
                <c:pt idx="14">
                  <c:v>45402.665810353297</c:v>
                </c:pt>
                <c:pt idx="15">
                  <c:v>44125.978288228129</c:v>
                </c:pt>
                <c:pt idx="16">
                  <c:v>42845.847750023298</c:v>
                </c:pt>
                <c:pt idx="17">
                  <c:v>41703.102914749936</c:v>
                </c:pt>
                <c:pt idx="18">
                  <c:v>40265.005972799641</c:v>
                </c:pt>
                <c:pt idx="19">
                  <c:v>38974.514692959463</c:v>
                </c:pt>
                <c:pt idx="20">
                  <c:v>37680.123359844059</c:v>
                </c:pt>
                <c:pt idx="21">
                  <c:v>36500.439672392647</c:v>
                </c:pt>
                <c:pt idx="22">
                  <c:v>35055.644168408413</c:v>
                </c:pt>
                <c:pt idx="23">
                  <c:v>33728.378000834957</c:v>
                </c:pt>
                <c:pt idx="24">
                  <c:v>32387.323232522671</c:v>
                </c:pt>
                <c:pt idx="25">
                  <c:v>31145.742050310189</c:v>
                </c:pt>
                <c:pt idx="26">
                  <c:v>29676.163877782819</c:v>
                </c:pt>
                <c:pt idx="27">
                  <c:v>28302.952217812708</c:v>
                </c:pt>
              </c:numCache>
            </c:numRef>
          </c:val>
          <c:extLst>
            <c:ext xmlns:c16="http://schemas.microsoft.com/office/drawing/2014/chart" uri="{C3380CC4-5D6E-409C-BE32-E72D297353CC}">
              <c16:uniqueId val="{00000002-F32F-4226-B78F-E6D36C7FF79C}"/>
            </c:ext>
          </c:extLst>
        </c:ser>
        <c:dLbls>
          <c:showLegendKey val="0"/>
          <c:showVal val="0"/>
          <c:showCatName val="0"/>
          <c:showSerName val="0"/>
          <c:showPercent val="0"/>
          <c:showBubbleSize val="0"/>
        </c:dLbls>
        <c:axId val="1022638608"/>
        <c:axId val="1022617392"/>
      </c:areaChart>
      <c:lineChart>
        <c:grouping val="standard"/>
        <c:varyColors val="0"/>
        <c:ser>
          <c:idx val="0"/>
          <c:order val="3"/>
          <c:tx>
            <c:strRef>
              <c:f>'Peak Load'!$F$1</c:f>
              <c:strCache>
                <c:ptCount val="1"/>
                <c:pt idx="0">
                  <c:v> Reference Case </c:v>
                </c:pt>
              </c:strCache>
            </c:strRef>
          </c:tx>
          <c:spPr>
            <a:ln w="28575" cap="rnd">
              <a:solidFill>
                <a:schemeClr val="tx1"/>
              </a:solidFill>
              <a:prstDash val="dash"/>
              <a:round/>
            </a:ln>
            <a:effectLst/>
          </c:spPr>
          <c:marker>
            <c:symbol val="none"/>
          </c:marke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Load'!$F$2:$F$29</c:f>
              <c:numCache>
                <c:formatCode>#,##0</c:formatCode>
                <c:ptCount val="28"/>
                <c:pt idx="0">
                  <c:v>1008708.0703089478</c:v>
                </c:pt>
                <c:pt idx="1">
                  <c:v>1018190.9885531166</c:v>
                </c:pt>
                <c:pt idx="2">
                  <c:v>1027863.9112472036</c:v>
                </c:pt>
                <c:pt idx="3">
                  <c:v>1038545.3429191861</c:v>
                </c:pt>
                <c:pt idx="4">
                  <c:v>1051100.7819269882</c:v>
                </c:pt>
                <c:pt idx="5">
                  <c:v>1060814.7781622466</c:v>
                </c:pt>
                <c:pt idx="6">
                  <c:v>1072523.6442844223</c:v>
                </c:pt>
                <c:pt idx="7">
                  <c:v>1081316.4839979326</c:v>
                </c:pt>
                <c:pt idx="8">
                  <c:v>1091507.0816769446</c:v>
                </c:pt>
                <c:pt idx="9">
                  <c:v>1102272.6376432604</c:v>
                </c:pt>
                <c:pt idx="10">
                  <c:v>1112746.0192551964</c:v>
                </c:pt>
                <c:pt idx="11">
                  <c:v>1121628.8899807509</c:v>
                </c:pt>
                <c:pt idx="12">
                  <c:v>1130124.402974413</c:v>
                </c:pt>
                <c:pt idx="13">
                  <c:v>1140103.6255616422</c:v>
                </c:pt>
                <c:pt idx="14">
                  <c:v>1149011.2680296244</c:v>
                </c:pt>
                <c:pt idx="15">
                  <c:v>1156415.769170675</c:v>
                </c:pt>
                <c:pt idx="16">
                  <c:v>1166190.1808318449</c:v>
                </c:pt>
                <c:pt idx="17">
                  <c:v>1173967.2768141432</c:v>
                </c:pt>
                <c:pt idx="18">
                  <c:v>1181591.1110625812</c:v>
                </c:pt>
                <c:pt idx="19">
                  <c:v>1189892.8322329591</c:v>
                </c:pt>
                <c:pt idx="20">
                  <c:v>1199026.5283889992</c:v>
                </c:pt>
                <c:pt idx="21">
                  <c:v>1206812.7853317969</c:v>
                </c:pt>
                <c:pt idx="22">
                  <c:v>1214622.1978399795</c:v>
                </c:pt>
                <c:pt idx="23">
                  <c:v>1223089.5932740062</c:v>
                </c:pt>
                <c:pt idx="24">
                  <c:v>1229437.1878805831</c:v>
                </c:pt>
                <c:pt idx="25">
                  <c:v>1237217.3813300719</c:v>
                </c:pt>
                <c:pt idx="26">
                  <c:v>1245281.7186654748</c:v>
                </c:pt>
                <c:pt idx="27">
                  <c:v>1252729.3689475965</c:v>
                </c:pt>
              </c:numCache>
            </c:numRef>
          </c:val>
          <c:smooth val="0"/>
          <c:extLst>
            <c:ext xmlns:c16="http://schemas.microsoft.com/office/drawing/2014/chart" uri="{C3380CC4-5D6E-409C-BE32-E72D297353CC}">
              <c16:uniqueId val="{00000003-F32F-4226-B78F-E6D36C7FF79C}"/>
            </c:ext>
          </c:extLst>
        </c:ser>
        <c:ser>
          <c:idx val="3"/>
          <c:order val="4"/>
          <c:tx>
            <c:strRef>
              <c:f>'Peak Load'!$AR$1</c:f>
              <c:strCache>
                <c:ptCount val="1"/>
                <c:pt idx="0">
                  <c:v>Exisiting Resource Stack</c:v>
                </c:pt>
              </c:strCache>
            </c:strRef>
          </c:tx>
          <c:spPr>
            <a:ln w="28575" cap="rnd">
              <a:solidFill>
                <a:srgbClr val="C00000"/>
              </a:solidFill>
              <a:round/>
            </a:ln>
            <a:effectLst/>
          </c:spPr>
          <c:marker>
            <c:symbol val="none"/>
          </c:marker>
          <c:cat>
            <c:numRef>
              <c:f>'Peak Load'!$B$2:$B$29</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'Peak Load'!$AR$2:$AR$29</c:f>
              <c:numCache>
                <c:formatCode>General</c:formatCode>
                <c:ptCount val="28"/>
                <c:pt idx="0">
                  <c:v>1010934.0785000001</c:v>
                </c:pt>
                <c:pt idx="1">
                  <c:v>990934.07850000006</c:v>
                </c:pt>
                <c:pt idx="2">
                  <c:v>990934.07850000006</c:v>
                </c:pt>
                <c:pt idx="3">
                  <c:v>990934.07850000006</c:v>
                </c:pt>
                <c:pt idx="4">
                  <c:v>990934.07850000006</c:v>
                </c:pt>
                <c:pt idx="5">
                  <c:v>799434.07850000006</c:v>
                </c:pt>
                <c:pt idx="6">
                  <c:v>799434.07850000006</c:v>
                </c:pt>
                <c:pt idx="7">
                  <c:v>799434.07850000006</c:v>
                </c:pt>
                <c:pt idx="8">
                  <c:v>799434.07850000006</c:v>
                </c:pt>
                <c:pt idx="9">
                  <c:v>799434.07850000006</c:v>
                </c:pt>
                <c:pt idx="10">
                  <c:v>799434.07850000006</c:v>
                </c:pt>
                <c:pt idx="11">
                  <c:v>799434.07850000006</c:v>
                </c:pt>
                <c:pt idx="12">
                  <c:v>799434.07850000006</c:v>
                </c:pt>
                <c:pt idx="13">
                  <c:v>799434.07850000006</c:v>
                </c:pt>
                <c:pt idx="14">
                  <c:v>799434.07850000006</c:v>
                </c:pt>
                <c:pt idx="15">
                  <c:v>799434.07850000006</c:v>
                </c:pt>
                <c:pt idx="16">
                  <c:v>799434.07850000006</c:v>
                </c:pt>
                <c:pt idx="17">
                  <c:v>799434.07850000006</c:v>
                </c:pt>
                <c:pt idx="18">
                  <c:v>799434.07850000006</c:v>
                </c:pt>
                <c:pt idx="19">
                  <c:v>799434.07850000006</c:v>
                </c:pt>
                <c:pt idx="20">
                  <c:v>799434.07850000006</c:v>
                </c:pt>
                <c:pt idx="21">
                  <c:v>799434.07850000006</c:v>
                </c:pt>
                <c:pt idx="22">
                  <c:v>799434.07850000006</c:v>
                </c:pt>
                <c:pt idx="23">
                  <c:v>799434.07850000006</c:v>
                </c:pt>
                <c:pt idx="24">
                  <c:v>799434.07850000006</c:v>
                </c:pt>
                <c:pt idx="25">
                  <c:v>799434.07850000006</c:v>
                </c:pt>
                <c:pt idx="26">
                  <c:v>799434.07850000006</c:v>
                </c:pt>
                <c:pt idx="27">
                  <c:v>799434.07850000006</c:v>
                </c:pt>
              </c:numCache>
            </c:numRef>
          </c:val>
          <c:smooth val="0"/>
          <c:extLst>
            <c:ext xmlns:c16="http://schemas.microsoft.com/office/drawing/2014/chart" uri="{C3380CC4-5D6E-409C-BE32-E72D297353CC}">
              <c16:uniqueId val="{00000004-F32F-4226-B78F-E6D36C7FF79C}"/>
            </c:ext>
          </c:extLst>
        </c:ser>
        <c:dLbls>
          <c:showLegendKey val="0"/>
          <c:showVal val="0"/>
          <c:showCatName val="0"/>
          <c:showSerName val="0"/>
          <c:showPercent val="0"/>
          <c:showBubbleSize val="0"/>
        </c:dLbls>
        <c:marker val="1"/>
        <c:smooth val="0"/>
        <c:axId val="1022638608"/>
        <c:axId val="1022617392"/>
      </c:line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4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Firm Sales (Dth/day)</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legend>
      <c:legendPos val="b"/>
      <c:layout>
        <c:manualLayout>
          <c:xMode val="edge"/>
          <c:yMode val="edge"/>
          <c:x val="0.77820086942257216"/>
          <c:y val="2.5003700195370321E-2"/>
          <c:w val="0.20193025814290155"/>
          <c:h val="0.91331367296193244"/>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Heating</a:t>
            </a:r>
            <a:r>
              <a:rPr lang="en-US" sz="1100" b="1" baseline="0">
                <a:solidFill>
                  <a:schemeClr val="bg1"/>
                </a:solidFill>
              </a:rPr>
              <a:t> Equipment Installations by Year</a:t>
            </a:r>
            <a:endParaRPr lang="en-US" sz="1100" b="1">
              <a:solidFill>
                <a:schemeClr val="bg1"/>
              </a:solidFill>
            </a:endParaRPr>
          </a:p>
        </c:rich>
      </c:tx>
      <c:layout>
        <c:manualLayout>
          <c:xMode val="edge"/>
          <c:yMode val="edge"/>
          <c:x val="0.13704954320553836"/>
          <c:y val="6.5877895463314753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areaChart>
        <c:grouping val="stacked"/>
        <c:varyColors val="0"/>
        <c:ser>
          <c:idx val="0"/>
          <c:order val="0"/>
          <c:tx>
            <c:strRef>
              <c:f>'Heating Equipment Penetration'!$C$1</c:f>
              <c:strCache>
                <c:ptCount val="1"/>
                <c:pt idx="0">
                  <c:v>Gas Heat Pump</c:v>
                </c:pt>
              </c:strCache>
            </c:strRef>
          </c:tx>
          <c:spPr>
            <a:solidFill>
              <a:schemeClr val="accent5">
                <a:lumMod val="50000"/>
              </a:schemeClr>
            </a:solidFill>
            <a:ln>
              <a:noFill/>
            </a:ln>
            <a:effectLst/>
          </c:spPr>
          <c:cat>
            <c:numRef>
              <c:f>'Heating Equipment Penetration'!$B$2:$B$30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Penetration'!$C$2:$C$30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4542-4BFD-9486-FF399B4F24B5}"/>
            </c:ext>
          </c:extLst>
        </c:ser>
        <c:ser>
          <c:idx val="1"/>
          <c:order val="1"/>
          <c:tx>
            <c:strRef>
              <c:f>'Heating Equipment Penetration'!$D$1</c:f>
              <c:strCache>
                <c:ptCount val="1"/>
                <c:pt idx="0">
                  <c:v>Dual-Fuel System</c:v>
                </c:pt>
              </c:strCache>
            </c:strRef>
          </c:tx>
          <c:spPr>
            <a:solidFill>
              <a:schemeClr val="accent5">
                <a:lumMod val="60000"/>
                <a:lumOff val="40000"/>
              </a:schemeClr>
            </a:solidFill>
            <a:ln>
              <a:noFill/>
            </a:ln>
            <a:effectLst/>
          </c:spPr>
          <c:cat>
            <c:numRef>
              <c:f>'Heating Equipment Penetration'!$B$2:$B$30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Penetration'!$D$2:$D$30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4542-4BFD-9486-FF399B4F24B5}"/>
            </c:ext>
          </c:extLst>
        </c:ser>
        <c:ser>
          <c:idx val="2"/>
          <c:order val="2"/>
          <c:tx>
            <c:strRef>
              <c:f>'Heating Equipment Penetration'!$E$1</c:f>
              <c:strCache>
                <c:ptCount val="1"/>
                <c:pt idx="0">
                  <c:v>Furnace/Boiler</c:v>
                </c:pt>
              </c:strCache>
            </c:strRef>
          </c:tx>
          <c:spPr>
            <a:solidFill>
              <a:schemeClr val="accent4">
                <a:lumMod val="60000"/>
                <a:lumOff val="40000"/>
              </a:schemeClr>
            </a:solidFill>
            <a:ln w="25400">
              <a:noFill/>
            </a:ln>
            <a:effectLst/>
          </c:spPr>
          <c:val>
            <c:numRef>
              <c:f>'Heating Equipment Penetration'!$E$32:$E$60</c:f>
              <c:numCache>
                <c:formatCode>0%</c:formatCode>
                <c:ptCount val="2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2-4542-4BFD-9486-FF399B4F24B5}"/>
            </c:ext>
          </c:extLst>
        </c:ser>
        <c:dLbls>
          <c:showLegendKey val="0"/>
          <c:showVal val="0"/>
          <c:showCatName val="0"/>
          <c:showSerName val="0"/>
          <c:showPercent val="0"/>
          <c:showBubbleSize val="0"/>
        </c:dLbls>
        <c:axId val="1022638608"/>
        <c:axId val="1022617392"/>
      </c:area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r>
              <a:rPr lang="en-US" sz="1100" b="1">
                <a:solidFill>
                  <a:schemeClr val="bg1"/>
                </a:solidFill>
              </a:rPr>
              <a:t>Heating</a:t>
            </a:r>
            <a:r>
              <a:rPr lang="en-US" sz="1100" b="1" baseline="0">
                <a:solidFill>
                  <a:schemeClr val="bg1"/>
                </a:solidFill>
              </a:rPr>
              <a:t> Equipment Penetration</a:t>
            </a:r>
            <a:endParaRPr lang="en-US" sz="1100" b="1">
              <a:solidFill>
                <a:schemeClr val="bg1"/>
              </a:solidFill>
            </a:endParaRPr>
          </a:p>
        </c:rich>
      </c:tx>
      <c:layout>
        <c:manualLayout>
          <c:xMode val="edge"/>
          <c:yMode val="edge"/>
          <c:x val="0.2227292010135288"/>
          <c:y val="6.0560986139759874E-2"/>
        </c:manualLayout>
      </c:layout>
      <c:overlay val="0"/>
      <c:spPr>
        <a:solidFill>
          <a:srgbClr val="002060"/>
        </a:solidFill>
        <a:ln>
          <a:noFill/>
        </a:ln>
        <a:effectLst/>
      </c:spPr>
      <c:txPr>
        <a:bodyPr rot="0" spcFirstLastPara="1" vertOverflow="ellipsis" vert="horz" wrap="square" anchor="ctr" anchorCtr="1"/>
        <a:lstStyle/>
        <a:p>
          <a:pPr>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3487140031791797"/>
          <c:y val="0.15774585343767497"/>
          <c:w val="0.83285160437691763"/>
          <c:h val="0.71266805191017779"/>
        </c:manualLayout>
      </c:layout>
      <c:areaChart>
        <c:grouping val="stacked"/>
        <c:varyColors val="0"/>
        <c:ser>
          <c:idx val="1"/>
          <c:order val="0"/>
          <c:tx>
            <c:strRef>
              <c:f>'Heating Equipment Penetration'!$C$1</c:f>
              <c:strCache>
                <c:ptCount val="1"/>
                <c:pt idx="0">
                  <c:v>Gas Heat Pump</c:v>
                </c:pt>
              </c:strCache>
            </c:strRef>
          </c:tx>
          <c:spPr>
            <a:solidFill>
              <a:schemeClr val="accent5">
                <a:lumMod val="5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Penetration'!$C$32:$C$60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CBD8-447B-9776-FBF86CA6EDA7}"/>
            </c:ext>
          </c:extLst>
        </c:ser>
        <c:ser>
          <c:idx val="2"/>
          <c:order val="1"/>
          <c:tx>
            <c:strRef>
              <c:f>'Heating Equipment Penetration'!$D$1</c:f>
              <c:strCache>
                <c:ptCount val="1"/>
                <c:pt idx="0">
                  <c:v>Dual-Fuel System</c:v>
                </c:pt>
              </c:strCache>
            </c:strRef>
          </c:tx>
          <c:spPr>
            <a:solidFill>
              <a:schemeClr val="accent5">
                <a:lumMod val="60000"/>
                <a:lumOff val="4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Penetration'!$D$32:$D$60</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CBD8-447B-9776-FBF86CA6EDA7}"/>
            </c:ext>
          </c:extLst>
        </c:ser>
        <c:ser>
          <c:idx val="3"/>
          <c:order val="2"/>
          <c:tx>
            <c:strRef>
              <c:f>'Heating Equipment Penetration'!$E$1</c:f>
              <c:strCache>
                <c:ptCount val="1"/>
                <c:pt idx="0">
                  <c:v>Furnace/Boiler</c:v>
                </c:pt>
              </c:strCache>
            </c:strRef>
          </c:tx>
          <c:spPr>
            <a:solidFill>
              <a:schemeClr val="accent4">
                <a:lumMod val="60000"/>
                <a:lumOff val="40000"/>
              </a:schemeClr>
            </a:solidFill>
            <a:ln w="25400">
              <a:noFill/>
            </a:ln>
            <a:effectLst/>
          </c:spPr>
          <c:cat>
            <c:numRef>
              <c:f>'Heating Equipment Penetration'!$B$32:$B$60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'Heating Equipment Penetration'!$E$32:$E$60</c:f>
              <c:numCache>
                <c:formatCode>0%</c:formatCode>
                <c:ptCount val="2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numCache>
            </c:numRef>
          </c:val>
          <c:extLst>
            <c:ext xmlns:c16="http://schemas.microsoft.com/office/drawing/2014/chart" uri="{C3380CC4-5D6E-409C-BE32-E72D297353CC}">
              <c16:uniqueId val="{00000002-CBD8-447B-9776-FBF86CA6EDA7}"/>
            </c:ext>
          </c:extLst>
        </c:ser>
        <c:dLbls>
          <c:showLegendKey val="0"/>
          <c:showVal val="0"/>
          <c:showCatName val="0"/>
          <c:showSerName val="0"/>
          <c:showPercent val="0"/>
          <c:showBubbleSize val="0"/>
        </c:dLbls>
        <c:axId val="1022638608"/>
        <c:axId val="1022617392"/>
      </c:area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100" b="1" i="0" u="none" strike="noStrike" kern="1200" spc="0" baseline="0">
                <a:solidFill>
                  <a:schemeClr val="bg1"/>
                </a:solidFill>
                <a:latin typeface="+mn-lt"/>
                <a:ea typeface="+mn-ea"/>
                <a:cs typeface="+mn-cs"/>
              </a:defRPr>
            </a:pPr>
            <a:r>
              <a:rPr lang="en-US" sz="1100" b="1">
                <a:solidFill>
                  <a:schemeClr val="bg1"/>
                </a:solidFill>
              </a:rPr>
              <a:t>Customer Count</a:t>
            </a:r>
          </a:p>
        </c:rich>
      </c:tx>
      <c:layout>
        <c:manualLayout>
          <c:xMode val="edge"/>
          <c:yMode val="edge"/>
          <c:x val="0.19748612830513168"/>
          <c:y val="2.5822927943410959E-2"/>
        </c:manualLayout>
      </c:layout>
      <c:overlay val="0"/>
      <c:spPr>
        <a:solidFill>
          <a:srgbClr val="002060"/>
        </a:solidFill>
        <a:ln>
          <a:noFill/>
        </a:ln>
        <a:effectLst/>
      </c:spPr>
      <c:txPr>
        <a:bodyPr rot="0" spcFirstLastPara="1" vertOverflow="ellipsis" vert="horz" wrap="square" anchor="ctr" anchorCtr="1"/>
        <a:lstStyle/>
        <a:p>
          <a:pPr algn="l">
            <a:defRPr sz="11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19971941007374078"/>
          <c:y val="5.9315380488729419E-2"/>
          <c:w val="0.74907074115735528"/>
          <c:h val="0.6792397613854293"/>
        </c:manualLayout>
      </c:layout>
      <c:areaChart>
        <c:grouping val="stacked"/>
        <c:varyColors val="0"/>
        <c:ser>
          <c:idx val="1"/>
          <c:order val="0"/>
          <c:tx>
            <c:strRef>
              <c:f>'Customer Counts'!$C$1</c:f>
              <c:strCache>
                <c:ptCount val="1"/>
                <c:pt idx="0">
                  <c:v> OR Residential </c:v>
                </c:pt>
              </c:strCache>
            </c:strRef>
          </c:tx>
          <c:spPr>
            <a:solidFill>
              <a:schemeClr val="accent1">
                <a:lumMod val="50000"/>
              </a:schemeClr>
            </a:solidFill>
            <a:ln>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Counts'!$C$2:$C$30</c:f>
              <c:numCache>
                <c:formatCode>_(* #,##0_);_(* \(#,##0\);_(* "-"??_);_(@_)</c:formatCode>
                <c:ptCount val="29"/>
                <c:pt idx="0">
                  <c:v>633305.02679604117</c:v>
                </c:pt>
                <c:pt idx="1">
                  <c:v>642297.33764103928</c:v>
                </c:pt>
                <c:pt idx="2">
                  <c:v>652269.55928444793</c:v>
                </c:pt>
                <c:pt idx="3">
                  <c:v>639899.72981771815</c:v>
                </c:pt>
                <c:pt idx="4">
                  <c:v>627529.90035098838</c:v>
                </c:pt>
                <c:pt idx="5">
                  <c:v>615160.0708842586</c:v>
                </c:pt>
                <c:pt idx="6">
                  <c:v>602790.24141752883</c:v>
                </c:pt>
                <c:pt idx="7">
                  <c:v>590420.41195079905</c:v>
                </c:pt>
                <c:pt idx="8">
                  <c:v>578050.58248406928</c:v>
                </c:pt>
                <c:pt idx="9">
                  <c:v>565680.75301733951</c:v>
                </c:pt>
                <c:pt idx="10">
                  <c:v>553310.92355060985</c:v>
                </c:pt>
                <c:pt idx="11">
                  <c:v>540941.09408388007</c:v>
                </c:pt>
                <c:pt idx="12">
                  <c:v>528571.26461715042</c:v>
                </c:pt>
                <c:pt idx="13">
                  <c:v>516201.4351504207</c:v>
                </c:pt>
                <c:pt idx="14">
                  <c:v>503831.60568369098</c:v>
                </c:pt>
                <c:pt idx="15">
                  <c:v>491461.77621696127</c:v>
                </c:pt>
                <c:pt idx="16">
                  <c:v>479091.94675023155</c:v>
                </c:pt>
                <c:pt idx="17">
                  <c:v>466722.11728350184</c:v>
                </c:pt>
                <c:pt idx="18">
                  <c:v>454352.28781677212</c:v>
                </c:pt>
                <c:pt idx="19">
                  <c:v>441982.45835004241</c:v>
                </c:pt>
                <c:pt idx="20">
                  <c:v>429612.62888331269</c:v>
                </c:pt>
                <c:pt idx="21">
                  <c:v>417242.79941658297</c:v>
                </c:pt>
                <c:pt idx="22">
                  <c:v>404872.96994985326</c:v>
                </c:pt>
                <c:pt idx="23">
                  <c:v>392503.14048312354</c:v>
                </c:pt>
                <c:pt idx="24">
                  <c:v>380133.31101639383</c:v>
                </c:pt>
                <c:pt idx="25">
                  <c:v>367763.48154966411</c:v>
                </c:pt>
                <c:pt idx="26">
                  <c:v>355393.65208293439</c:v>
                </c:pt>
                <c:pt idx="27">
                  <c:v>343023.82261620468</c:v>
                </c:pt>
                <c:pt idx="28">
                  <c:v>330653.99314947496</c:v>
                </c:pt>
              </c:numCache>
            </c:numRef>
          </c:val>
          <c:extLst>
            <c:ext xmlns:c16="http://schemas.microsoft.com/office/drawing/2014/chart" uri="{C3380CC4-5D6E-409C-BE32-E72D297353CC}">
              <c16:uniqueId val="{00000000-C60F-4276-BECE-00481D3E93DA}"/>
            </c:ext>
          </c:extLst>
        </c:ser>
        <c:ser>
          <c:idx val="2"/>
          <c:order val="1"/>
          <c:tx>
            <c:strRef>
              <c:f>'Customer Counts'!$D$1</c:f>
              <c:strCache>
                <c:ptCount val="1"/>
                <c:pt idx="0">
                  <c:v> OR Commercial </c:v>
                </c:pt>
              </c:strCache>
            </c:strRef>
          </c:tx>
          <c:spPr>
            <a:solidFill>
              <a:schemeClr val="accent1"/>
            </a:solidFill>
            <a:ln>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Counts'!$D$2:$D$30</c:f>
              <c:numCache>
                <c:formatCode>_(* #,##0_);_(* \(#,##0\);_(* "-"??_);_(@_)</c:formatCode>
                <c:ptCount val="29"/>
                <c:pt idx="0">
                  <c:v>60215.080223247081</c:v>
                </c:pt>
                <c:pt idx="1">
                  <c:v>60793.017467300058</c:v>
                </c:pt>
                <c:pt idx="2">
                  <c:v>61379.529285141893</c:v>
                </c:pt>
                <c:pt idx="3">
                  <c:v>60206.067046026081</c:v>
                </c:pt>
                <c:pt idx="4">
                  <c:v>59032.604806910269</c:v>
                </c:pt>
                <c:pt idx="5">
                  <c:v>57859.142567794457</c:v>
                </c:pt>
                <c:pt idx="6">
                  <c:v>56685.680328678645</c:v>
                </c:pt>
                <c:pt idx="7">
                  <c:v>55512.218089562833</c:v>
                </c:pt>
                <c:pt idx="8">
                  <c:v>54338.755850447022</c:v>
                </c:pt>
                <c:pt idx="9">
                  <c:v>53165.29361133121</c:v>
                </c:pt>
                <c:pt idx="10">
                  <c:v>51991.831372215398</c:v>
                </c:pt>
                <c:pt idx="11">
                  <c:v>50818.369133099586</c:v>
                </c:pt>
                <c:pt idx="12">
                  <c:v>49644.906893983774</c:v>
                </c:pt>
                <c:pt idx="13">
                  <c:v>48471.444654867963</c:v>
                </c:pt>
                <c:pt idx="14">
                  <c:v>47297.982415752151</c:v>
                </c:pt>
                <c:pt idx="15">
                  <c:v>46124.520176636339</c:v>
                </c:pt>
                <c:pt idx="16">
                  <c:v>44951.057937520527</c:v>
                </c:pt>
                <c:pt idx="17">
                  <c:v>43777.595698404715</c:v>
                </c:pt>
                <c:pt idx="18">
                  <c:v>42604.133459288903</c:v>
                </c:pt>
                <c:pt idx="19">
                  <c:v>41430.671220173092</c:v>
                </c:pt>
                <c:pt idx="20">
                  <c:v>40257.20898105728</c:v>
                </c:pt>
                <c:pt idx="21">
                  <c:v>39083.746741941468</c:v>
                </c:pt>
                <c:pt idx="22">
                  <c:v>37910.284502825656</c:v>
                </c:pt>
                <c:pt idx="23">
                  <c:v>36736.822263709844</c:v>
                </c:pt>
                <c:pt idx="24">
                  <c:v>35563.360024594032</c:v>
                </c:pt>
                <c:pt idx="25">
                  <c:v>34389.897785478221</c:v>
                </c:pt>
                <c:pt idx="26">
                  <c:v>33216.435546362409</c:v>
                </c:pt>
                <c:pt idx="27">
                  <c:v>32042.973307246597</c:v>
                </c:pt>
                <c:pt idx="28">
                  <c:v>30869.511068130785</c:v>
                </c:pt>
              </c:numCache>
            </c:numRef>
          </c:val>
          <c:extLst>
            <c:ext xmlns:c16="http://schemas.microsoft.com/office/drawing/2014/chart" uri="{C3380CC4-5D6E-409C-BE32-E72D297353CC}">
              <c16:uniqueId val="{00000001-C60F-4276-BECE-00481D3E93DA}"/>
            </c:ext>
          </c:extLst>
        </c:ser>
        <c:ser>
          <c:idx val="4"/>
          <c:order val="2"/>
          <c:tx>
            <c:strRef>
              <c:f>'Customer Counts'!$F$1</c:f>
              <c:strCache>
                <c:ptCount val="1"/>
                <c:pt idx="0">
                  <c:v> WA Residential </c:v>
                </c:pt>
              </c:strCache>
            </c:strRef>
          </c:tx>
          <c:spPr>
            <a:solidFill>
              <a:schemeClr val="accent2">
                <a:lumMod val="40000"/>
                <a:lumOff val="60000"/>
              </a:schemeClr>
            </a:solidFill>
            <a:ln w="25400">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Counts'!$F$2:$F$30</c:f>
              <c:numCache>
                <c:formatCode>_(* #,##0_);_(* \(#,##0\);_(* "-"??_);_(@_)</c:formatCode>
                <c:ptCount val="29"/>
                <c:pt idx="0">
                  <c:v>87132.058315087561</c:v>
                </c:pt>
                <c:pt idx="1">
                  <c:v>88521.392002054781</c:v>
                </c:pt>
                <c:pt idx="2">
                  <c:v>90247.271090178663</c:v>
                </c:pt>
                <c:pt idx="3">
                  <c:v>88591.048313959458</c:v>
                </c:pt>
                <c:pt idx="4">
                  <c:v>86934.825537740253</c:v>
                </c:pt>
                <c:pt idx="5">
                  <c:v>85278.602761521048</c:v>
                </c:pt>
                <c:pt idx="6">
                  <c:v>83622.379985301843</c:v>
                </c:pt>
                <c:pt idx="7">
                  <c:v>81966.157209082638</c:v>
                </c:pt>
                <c:pt idx="8">
                  <c:v>80309.934432863432</c:v>
                </c:pt>
                <c:pt idx="9">
                  <c:v>78653.711656644227</c:v>
                </c:pt>
                <c:pt idx="10">
                  <c:v>76997.488880425022</c:v>
                </c:pt>
                <c:pt idx="11">
                  <c:v>75341.266104205817</c:v>
                </c:pt>
                <c:pt idx="12">
                  <c:v>73685.043327986612</c:v>
                </c:pt>
                <c:pt idx="13">
                  <c:v>72028.820551767407</c:v>
                </c:pt>
                <c:pt idx="14">
                  <c:v>70372.597775548202</c:v>
                </c:pt>
                <c:pt idx="15">
                  <c:v>68716.374999328997</c:v>
                </c:pt>
                <c:pt idx="16">
                  <c:v>67060.152223109792</c:v>
                </c:pt>
                <c:pt idx="17">
                  <c:v>65403.929446890586</c:v>
                </c:pt>
                <c:pt idx="18">
                  <c:v>63747.706670671381</c:v>
                </c:pt>
                <c:pt idx="19">
                  <c:v>62091.483894452176</c:v>
                </c:pt>
                <c:pt idx="20">
                  <c:v>60435.261118232971</c:v>
                </c:pt>
                <c:pt idx="21">
                  <c:v>58779.038342013766</c:v>
                </c:pt>
                <c:pt idx="22">
                  <c:v>57122.815565794561</c:v>
                </c:pt>
                <c:pt idx="23">
                  <c:v>55466.592789575356</c:v>
                </c:pt>
                <c:pt idx="24">
                  <c:v>53810.370013356151</c:v>
                </c:pt>
                <c:pt idx="25">
                  <c:v>52154.147237136945</c:v>
                </c:pt>
                <c:pt idx="26">
                  <c:v>50497.92446091774</c:v>
                </c:pt>
                <c:pt idx="27">
                  <c:v>48841.701684698535</c:v>
                </c:pt>
                <c:pt idx="28">
                  <c:v>47185.47890847933</c:v>
                </c:pt>
              </c:numCache>
            </c:numRef>
          </c:val>
          <c:extLst>
            <c:ext xmlns:c16="http://schemas.microsoft.com/office/drawing/2014/chart" uri="{C3380CC4-5D6E-409C-BE32-E72D297353CC}">
              <c16:uniqueId val="{00000002-C60F-4276-BECE-00481D3E93DA}"/>
            </c:ext>
          </c:extLst>
        </c:ser>
        <c:ser>
          <c:idx val="5"/>
          <c:order val="3"/>
          <c:tx>
            <c:strRef>
              <c:f>'Customer Counts'!$G$1</c:f>
              <c:strCache>
                <c:ptCount val="1"/>
                <c:pt idx="0">
                  <c:v> WA Commercial </c:v>
                </c:pt>
              </c:strCache>
            </c:strRef>
          </c:tx>
          <c:spPr>
            <a:solidFill>
              <a:schemeClr val="accent2">
                <a:lumMod val="75000"/>
              </a:schemeClr>
            </a:solidFill>
            <a:ln w="25400">
              <a:noFill/>
            </a:ln>
            <a:effectLst/>
          </c:spPr>
          <c:cat>
            <c:numRef>
              <c:f>'Customer Counts'!$B$2:$B$30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'Customer Counts'!$G$2:$G$30</c:f>
              <c:numCache>
                <c:formatCode>_(* #,##0_);_(* \(#,##0\);_(* "-"??_);_(@_)</c:formatCode>
                <c:ptCount val="29"/>
                <c:pt idx="0">
                  <c:v>7418.9937229640291</c:v>
                </c:pt>
                <c:pt idx="1">
                  <c:v>7589.2064585253338</c:v>
                </c:pt>
                <c:pt idx="2">
                  <c:v>7773.0959911715263</c:v>
                </c:pt>
                <c:pt idx="3">
                  <c:v>7629.670810552986</c:v>
                </c:pt>
                <c:pt idx="4">
                  <c:v>7486.2456299344458</c:v>
                </c:pt>
                <c:pt idx="5">
                  <c:v>7342.8204493159055</c:v>
                </c:pt>
                <c:pt idx="6">
                  <c:v>7199.3952686973653</c:v>
                </c:pt>
                <c:pt idx="7">
                  <c:v>7055.970088078825</c:v>
                </c:pt>
                <c:pt idx="8">
                  <c:v>6912.5449074602848</c:v>
                </c:pt>
                <c:pt idx="9">
                  <c:v>6769.1197268417445</c:v>
                </c:pt>
                <c:pt idx="10">
                  <c:v>6625.6945462232043</c:v>
                </c:pt>
                <c:pt idx="11">
                  <c:v>6482.269365604664</c:v>
                </c:pt>
                <c:pt idx="12">
                  <c:v>6338.8441849861238</c:v>
                </c:pt>
                <c:pt idx="13">
                  <c:v>6195.4190043675835</c:v>
                </c:pt>
                <c:pt idx="14">
                  <c:v>6051.9938237490433</c:v>
                </c:pt>
                <c:pt idx="15">
                  <c:v>5908.568643130503</c:v>
                </c:pt>
                <c:pt idx="16">
                  <c:v>5765.1434625119628</c:v>
                </c:pt>
                <c:pt idx="17">
                  <c:v>5621.7182818934225</c:v>
                </c:pt>
                <c:pt idx="18">
                  <c:v>5478.2931012748822</c:v>
                </c:pt>
                <c:pt idx="19">
                  <c:v>5334.867920656342</c:v>
                </c:pt>
                <c:pt idx="20">
                  <c:v>5191.4427400378017</c:v>
                </c:pt>
                <c:pt idx="21">
                  <c:v>5048.0175594192615</c:v>
                </c:pt>
                <c:pt idx="22">
                  <c:v>4904.5923788007212</c:v>
                </c:pt>
                <c:pt idx="23">
                  <c:v>4761.167198182181</c:v>
                </c:pt>
                <c:pt idx="24">
                  <c:v>4617.7420175636398</c:v>
                </c:pt>
                <c:pt idx="25">
                  <c:v>4474.3168369450996</c:v>
                </c:pt>
                <c:pt idx="26">
                  <c:v>4330.8916563265593</c:v>
                </c:pt>
                <c:pt idx="27">
                  <c:v>4187.4664757080182</c:v>
                </c:pt>
                <c:pt idx="28">
                  <c:v>4044.0412950894774</c:v>
                </c:pt>
              </c:numCache>
            </c:numRef>
          </c:val>
          <c:extLst>
            <c:ext xmlns:c16="http://schemas.microsoft.com/office/drawing/2014/chart" uri="{C3380CC4-5D6E-409C-BE32-E72D297353CC}">
              <c16:uniqueId val="{00000003-C60F-4276-BECE-00481D3E93DA}"/>
            </c:ext>
          </c:extLst>
        </c:ser>
        <c:dLbls>
          <c:showLegendKey val="0"/>
          <c:showVal val="0"/>
          <c:showCatName val="0"/>
          <c:showSerName val="0"/>
          <c:showPercent val="0"/>
          <c:showBubbleSize val="0"/>
        </c:dLbls>
        <c:axId val="1022638608"/>
        <c:axId val="1022617392"/>
      </c:areaChart>
      <c:lineChart>
        <c:grouping val="standard"/>
        <c:varyColors val="0"/>
        <c:ser>
          <c:idx val="0"/>
          <c:order val="4"/>
          <c:tx>
            <c:v>Reference Case</c:v>
          </c:tx>
          <c:spPr>
            <a:ln w="22225" cap="rnd">
              <a:solidFill>
                <a:schemeClr val="tx1"/>
              </a:solidFill>
              <a:prstDash val="dash"/>
              <a:round/>
            </a:ln>
            <a:effectLst/>
          </c:spPr>
          <c:marker>
            <c:symbol val="none"/>
          </c:marker>
          <c:val>
            <c:numRef>
              <c:f>'Customer Counts'!$I$2:$I$30</c:f>
              <c:numCache>
                <c:formatCode>#,##0</c:formatCode>
                <c:ptCount val="29"/>
                <c:pt idx="0">
                  <c:v>788071.15905733989</c:v>
                </c:pt>
                <c:pt idx="1">
                  <c:v>799200.95356891945</c:v>
                </c:pt>
                <c:pt idx="2">
                  <c:v>811669.45565093996</c:v>
                </c:pt>
                <c:pt idx="3">
                  <c:v>824086.66752194182</c:v>
                </c:pt>
                <c:pt idx="4">
                  <c:v>836971.20593449508</c:v>
                </c:pt>
                <c:pt idx="5">
                  <c:v>849637.1673833899</c:v>
                </c:pt>
                <c:pt idx="6">
                  <c:v>862156.42554444796</c:v>
                </c:pt>
                <c:pt idx="7">
                  <c:v>874544.42089576065</c:v>
                </c:pt>
                <c:pt idx="8">
                  <c:v>886794.11344697746</c:v>
                </c:pt>
                <c:pt idx="9">
                  <c:v>898877.06867187889</c:v>
                </c:pt>
                <c:pt idx="10">
                  <c:v>910535.44451247039</c:v>
                </c:pt>
                <c:pt idx="11">
                  <c:v>921293.7495523789</c:v>
                </c:pt>
                <c:pt idx="12">
                  <c:v>931400.58382594481</c:v>
                </c:pt>
                <c:pt idx="13">
                  <c:v>941379.19883616455</c:v>
                </c:pt>
                <c:pt idx="14">
                  <c:v>951122.51211172587</c:v>
                </c:pt>
                <c:pt idx="15">
                  <c:v>960379.02049907495</c:v>
                </c:pt>
                <c:pt idx="16">
                  <c:v>969243.40881534724</c:v>
                </c:pt>
                <c:pt idx="17">
                  <c:v>977942.21102676226</c:v>
                </c:pt>
                <c:pt idx="18">
                  <c:v>986504.20522953232</c:v>
                </c:pt>
                <c:pt idx="19">
                  <c:v>994950.80180719646</c:v>
                </c:pt>
                <c:pt idx="20">
                  <c:v>1003332.3333807004</c:v>
                </c:pt>
                <c:pt idx="21">
                  <c:v>1011629.986562119</c:v>
                </c:pt>
                <c:pt idx="22">
                  <c:v>1019798.9119379279</c:v>
                </c:pt>
                <c:pt idx="23">
                  <c:v>1027833.4047786167</c:v>
                </c:pt>
                <c:pt idx="24">
                  <c:v>1035734.0553945448</c:v>
                </c:pt>
                <c:pt idx="25">
                  <c:v>1043500.9562537975</c:v>
                </c:pt>
                <c:pt idx="26">
                  <c:v>1051134.4329828476</c:v>
                </c:pt>
                <c:pt idx="27">
                  <c:v>1058634.1371535107</c:v>
                </c:pt>
                <c:pt idx="28">
                  <c:v>1066000.7623186475</c:v>
                </c:pt>
              </c:numCache>
            </c:numRef>
          </c:val>
          <c:smooth val="0"/>
          <c:extLst>
            <c:ext xmlns:c16="http://schemas.microsoft.com/office/drawing/2014/chart" uri="{C3380CC4-5D6E-409C-BE32-E72D297353CC}">
              <c16:uniqueId val="{00000004-C60F-4276-BECE-00481D3E93DA}"/>
            </c:ext>
          </c:extLst>
        </c:ser>
        <c:dLbls>
          <c:showLegendKey val="0"/>
          <c:showVal val="0"/>
          <c:showCatName val="0"/>
          <c:showSerName val="0"/>
          <c:showPercent val="0"/>
          <c:showBubbleSize val="0"/>
        </c:dLbls>
        <c:marker val="1"/>
        <c:smooth val="0"/>
        <c:axId val="1022638608"/>
        <c:axId val="1022617392"/>
      </c:lineChart>
      <c:catAx>
        <c:axId val="10226386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1022617392"/>
        <c:crosses val="autoZero"/>
        <c:auto val="1"/>
        <c:lblAlgn val="ctr"/>
        <c:lblOffset val="100"/>
        <c:tickLblSkip val="2"/>
        <c:tickMarkSkip val="1"/>
        <c:noMultiLvlLbl val="0"/>
      </c:catAx>
      <c:valAx>
        <c:axId val="1022617392"/>
        <c:scaling>
          <c:orientation val="minMax"/>
          <c:max val="11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2638608"/>
        <c:crosses val="autoZero"/>
        <c:crossBetween val="midCat"/>
        <c:majorUnit val="200000"/>
      </c:valAx>
      <c:spPr>
        <a:noFill/>
        <a:ln>
          <a:noFill/>
        </a:ln>
        <a:effectLst/>
      </c:spPr>
    </c:plotArea>
    <c:legend>
      <c:legendPos val="b"/>
      <c:layout>
        <c:manualLayout>
          <c:xMode val="edge"/>
          <c:yMode val="edge"/>
          <c:x val="0"/>
          <c:y val="0.84958620073355418"/>
          <c:w val="1"/>
          <c:h val="0.14726480096899394"/>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Oregon Deliveries</a:t>
            </a:r>
          </a:p>
        </c:rich>
      </c:tx>
      <c:layout>
        <c:manualLayout>
          <c:xMode val="edge"/>
          <c:yMode val="edge"/>
          <c:x val="9.5348809958843622E-2"/>
          <c:y val="4.0435426073964324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9.5333371490557456E-2"/>
          <c:y val="0.10875313448272497"/>
          <c:w val="0.67885762722027343"/>
          <c:h val="0.75025970266727815"/>
        </c:manualLayout>
      </c:layout>
      <c:areaChart>
        <c:grouping val="stacked"/>
        <c:varyColors val="0"/>
        <c:ser>
          <c:idx val="0"/>
          <c:order val="0"/>
          <c:tx>
            <c:strRef>
              <c:f>'Annual Load'!$C$1</c:f>
              <c:strCache>
                <c:ptCount val="1"/>
                <c:pt idx="0">
                  <c:v> Residential </c:v>
                </c:pt>
              </c:strCache>
            </c:strRef>
          </c:tx>
          <c:spPr>
            <a:solidFill>
              <a:schemeClr val="accent2">
                <a:lumMod val="75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Load'!$C$2:$C$30</c:f>
              <c:numCache>
                <c:formatCode>_(* #,##0_);_(* \(#,##0\);_(* "-"??_);_(@_)</c:formatCode>
                <c:ptCount val="29"/>
                <c:pt idx="0">
                  <c:v>39259732.435937501</c:v>
                </c:pt>
                <c:pt idx="1">
                  <c:v>39521790.262500003</c:v>
                </c:pt>
                <c:pt idx="2">
                  <c:v>40049305.065624997</c:v>
                </c:pt>
                <c:pt idx="3">
                  <c:v>39545706.128124997</c:v>
                </c:pt>
                <c:pt idx="4">
                  <c:v>38658845.887500003</c:v>
                </c:pt>
                <c:pt idx="5">
                  <c:v>37775335.198437497</c:v>
                </c:pt>
                <c:pt idx="6">
                  <c:v>37118177.262500003</c:v>
                </c:pt>
                <c:pt idx="7">
                  <c:v>36013656.315624997</c:v>
                </c:pt>
                <c:pt idx="8">
                  <c:v>35142535.237499997</c:v>
                </c:pt>
                <c:pt idx="9">
                  <c:v>34272806.839062497</c:v>
                </c:pt>
                <c:pt idx="10">
                  <c:v>33623377.5703125</c:v>
                </c:pt>
                <c:pt idx="11">
                  <c:v>32561399.778124999</c:v>
                </c:pt>
                <c:pt idx="12">
                  <c:v>31701956.649999999</c:v>
                </c:pt>
                <c:pt idx="13">
                  <c:v>30858097.485937499</c:v>
                </c:pt>
                <c:pt idx="14">
                  <c:v>30198516.317968749</c:v>
                </c:pt>
                <c:pt idx="15">
                  <c:v>29173893.729687501</c:v>
                </c:pt>
                <c:pt idx="16">
                  <c:v>28341031.557812501</c:v>
                </c:pt>
                <c:pt idx="17">
                  <c:v>27512360.882031251</c:v>
                </c:pt>
                <c:pt idx="18">
                  <c:v>26852168.880468749</c:v>
                </c:pt>
                <c:pt idx="19">
                  <c:v>25871688.582812499</c:v>
                </c:pt>
                <c:pt idx="20">
                  <c:v>25057191.999218751</c:v>
                </c:pt>
                <c:pt idx="21">
                  <c:v>24242690.771093749</c:v>
                </c:pt>
                <c:pt idx="22">
                  <c:v>23583350.021093749</c:v>
                </c:pt>
                <c:pt idx="23">
                  <c:v>22637942.731249999</c:v>
                </c:pt>
                <c:pt idx="24">
                  <c:v>21843523.728906251</c:v>
                </c:pt>
                <c:pt idx="25">
                  <c:v>21054836.712499999</c:v>
                </c:pt>
                <c:pt idx="26">
                  <c:v>20398888.028124999</c:v>
                </c:pt>
                <c:pt idx="27">
                  <c:v>19493826.421875</c:v>
                </c:pt>
                <c:pt idx="28">
                  <c:v>18719161.02734375</c:v>
                </c:pt>
              </c:numCache>
            </c:numRef>
          </c:val>
          <c:extLst>
            <c:ext xmlns:c16="http://schemas.microsoft.com/office/drawing/2014/chart" uri="{C3380CC4-5D6E-409C-BE32-E72D297353CC}">
              <c16:uniqueId val="{00000000-E6D5-4D3A-98E2-C9B35D46A0F0}"/>
            </c:ext>
          </c:extLst>
        </c:ser>
        <c:ser>
          <c:idx val="1"/>
          <c:order val="1"/>
          <c:tx>
            <c:strRef>
              <c:f>'Annual Load'!$D$1</c:f>
              <c:strCache>
                <c:ptCount val="1"/>
                <c:pt idx="0">
                  <c:v> Small Commercial </c:v>
                </c:pt>
              </c:strCache>
            </c:strRef>
          </c:tx>
          <c:spPr>
            <a:solidFill>
              <a:schemeClr val="accent2">
                <a:lumMod val="60000"/>
                <a:lumOff val="4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Load'!$D$2:$D$30</c:f>
              <c:numCache>
                <c:formatCode>_(* #,##0_);_(* \(#,##0\);_(* "-"??_);_(@_)</c:formatCode>
                <c:ptCount val="29"/>
                <c:pt idx="0">
                  <c:v>16907226.653906249</c:v>
                </c:pt>
                <c:pt idx="1">
                  <c:v>16869467.220312499</c:v>
                </c:pt>
                <c:pt idx="2">
                  <c:v>17217660.239062499</c:v>
                </c:pt>
                <c:pt idx="3">
                  <c:v>17074080.082812499</c:v>
                </c:pt>
                <c:pt idx="4">
                  <c:v>16706250.9609375</c:v>
                </c:pt>
                <c:pt idx="5">
                  <c:v>16339822.4125</c:v>
                </c:pt>
                <c:pt idx="6">
                  <c:v>16065153.4296875</c:v>
                </c:pt>
                <c:pt idx="7">
                  <c:v>15608593.07421875</c:v>
                </c:pt>
                <c:pt idx="8">
                  <c:v>15246859.66015625</c:v>
                </c:pt>
                <c:pt idx="9">
                  <c:v>14885509.58828125</c:v>
                </c:pt>
                <c:pt idx="10">
                  <c:v>14614232.2265625</c:v>
                </c:pt>
                <c:pt idx="11">
                  <c:v>14173944.93125</c:v>
                </c:pt>
                <c:pt idx="12">
                  <c:v>13817047.55625</c:v>
                </c:pt>
                <c:pt idx="13">
                  <c:v>13466043.83359375</c:v>
                </c:pt>
                <c:pt idx="14">
                  <c:v>13190677.79140625</c:v>
                </c:pt>
                <c:pt idx="15">
                  <c:v>12765430.28671875</c:v>
                </c:pt>
                <c:pt idx="16">
                  <c:v>12418646.51953125</c:v>
                </c:pt>
                <c:pt idx="17">
                  <c:v>12073752.93125</c:v>
                </c:pt>
                <c:pt idx="18">
                  <c:v>11797921.56484375</c:v>
                </c:pt>
                <c:pt idx="19">
                  <c:v>11390103.39609375</c:v>
                </c:pt>
                <c:pt idx="20">
                  <c:v>11050739.0640625</c:v>
                </c:pt>
                <c:pt idx="21">
                  <c:v>10711090.553906251</c:v>
                </c:pt>
                <c:pt idx="22">
                  <c:v>10435726.047656249</c:v>
                </c:pt>
                <c:pt idx="23">
                  <c:v>10041583.128125001</c:v>
                </c:pt>
                <c:pt idx="24">
                  <c:v>9709980.8656249996</c:v>
                </c:pt>
                <c:pt idx="25">
                  <c:v>9380505.7390624993</c:v>
                </c:pt>
                <c:pt idx="26">
                  <c:v>9106259.7992187496</c:v>
                </c:pt>
                <c:pt idx="27">
                  <c:v>8727944.3515625</c:v>
                </c:pt>
                <c:pt idx="28">
                  <c:v>8404123.0984374993</c:v>
                </c:pt>
              </c:numCache>
            </c:numRef>
          </c:val>
          <c:extLst>
            <c:ext xmlns:c16="http://schemas.microsoft.com/office/drawing/2014/chart" uri="{C3380CC4-5D6E-409C-BE32-E72D297353CC}">
              <c16:uniqueId val="{00000001-E6D5-4D3A-98E2-C9B35D46A0F0}"/>
            </c:ext>
          </c:extLst>
        </c:ser>
        <c:ser>
          <c:idx val="2"/>
          <c:order val="2"/>
          <c:tx>
            <c:strRef>
              <c:f>'Annual Load'!$E$1</c:f>
              <c:strCache>
                <c:ptCount val="1"/>
                <c:pt idx="0">
                  <c:v> Industrial &amp; Large Com </c:v>
                </c:pt>
              </c:strCache>
            </c:strRef>
          </c:tx>
          <c:spPr>
            <a:solidFill>
              <a:schemeClr val="accent2">
                <a:lumMod val="20000"/>
                <a:lumOff val="8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Load'!$E$2:$E$30</c:f>
              <c:numCache>
                <c:formatCode>_(* #,##0_);_(* \(#,##0\);_(* "-"??_);_(@_)</c:formatCode>
                <c:ptCount val="29"/>
                <c:pt idx="0">
                  <c:v>16040843.699999999</c:v>
                </c:pt>
                <c:pt idx="1">
                  <c:v>15700684.793749999</c:v>
                </c:pt>
                <c:pt idx="2">
                  <c:v>15345901.010937501</c:v>
                </c:pt>
                <c:pt idx="3">
                  <c:v>14771130.3828125</c:v>
                </c:pt>
                <c:pt idx="4">
                  <c:v>14326496.4296875</c:v>
                </c:pt>
                <c:pt idx="5">
                  <c:v>13900053.112500001</c:v>
                </c:pt>
                <c:pt idx="6">
                  <c:v>13594934.321875</c:v>
                </c:pt>
                <c:pt idx="7">
                  <c:v>13109825.653124999</c:v>
                </c:pt>
                <c:pt idx="8">
                  <c:v>12758055.5703125</c:v>
                </c:pt>
                <c:pt idx="9">
                  <c:v>12423242.84375</c:v>
                </c:pt>
                <c:pt idx="10">
                  <c:v>12197719.1625</c:v>
                </c:pt>
                <c:pt idx="11">
                  <c:v>11797515.370312501</c:v>
                </c:pt>
                <c:pt idx="12">
                  <c:v>11496652.621874999</c:v>
                </c:pt>
                <c:pt idx="13">
                  <c:v>11199443.557812501</c:v>
                </c:pt>
                <c:pt idx="14">
                  <c:v>10990715.290625</c:v>
                </c:pt>
                <c:pt idx="15">
                  <c:v>10614642.515625</c:v>
                </c:pt>
                <c:pt idx="16">
                  <c:v>10319506.964062501</c:v>
                </c:pt>
                <c:pt idx="17">
                  <c:v>10022070.731249999</c:v>
                </c:pt>
                <c:pt idx="18">
                  <c:v>9797501.1203125007</c:v>
                </c:pt>
                <c:pt idx="19">
                  <c:v>9423230.9921875</c:v>
                </c:pt>
                <c:pt idx="20">
                  <c:v>9123109.0500000007</c:v>
                </c:pt>
                <c:pt idx="21">
                  <c:v>8821521.8265624996</c:v>
                </c:pt>
                <c:pt idx="22">
                  <c:v>8582090.6296874993</c:v>
                </c:pt>
                <c:pt idx="23">
                  <c:v>8209720.8265624996</c:v>
                </c:pt>
                <c:pt idx="24">
                  <c:v>7899432.3562500002</c:v>
                </c:pt>
                <c:pt idx="25">
                  <c:v>7586160.4710937496</c:v>
                </c:pt>
                <c:pt idx="26">
                  <c:v>7325369.234375</c:v>
                </c:pt>
                <c:pt idx="27">
                  <c:v>6950502.69140625</c:v>
                </c:pt>
                <c:pt idx="28">
                  <c:v>6628037.4171874998</c:v>
                </c:pt>
              </c:numCache>
            </c:numRef>
          </c:val>
          <c:extLst>
            <c:ext xmlns:c16="http://schemas.microsoft.com/office/drawing/2014/chart" uri="{C3380CC4-5D6E-409C-BE32-E72D297353CC}">
              <c16:uniqueId val="{00000002-E6D5-4D3A-98E2-C9B35D46A0F0}"/>
            </c:ext>
          </c:extLst>
        </c:ser>
        <c:ser>
          <c:idx val="3"/>
          <c:order val="3"/>
          <c:tx>
            <c:strRef>
              <c:f>'Annual Load'!$F$1</c:f>
              <c:strCache>
                <c:ptCount val="1"/>
                <c:pt idx="0">
                  <c:v> Transport </c:v>
                </c:pt>
              </c:strCache>
            </c:strRef>
          </c:tx>
          <c:spPr>
            <a:solidFill>
              <a:schemeClr val="accent2">
                <a:lumMod val="50000"/>
              </a:schemeClr>
            </a:solidFill>
            <a:ln>
              <a:noFill/>
            </a:ln>
            <a:effectLst/>
          </c:spP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Load'!$F$2:$F$30</c:f>
              <c:numCache>
                <c:formatCode>_(* #,##0_);_(* \(#,##0\);_(* "-"??_);_(@_)</c:formatCode>
                <c:ptCount val="29"/>
                <c:pt idx="0">
                  <c:v>35984083.143749997</c:v>
                </c:pt>
                <c:pt idx="1">
                  <c:v>35257075.924999997</c:v>
                </c:pt>
                <c:pt idx="2">
                  <c:v>34438066.268749997</c:v>
                </c:pt>
                <c:pt idx="3">
                  <c:v>33105266.518750001</c:v>
                </c:pt>
                <c:pt idx="4">
                  <c:v>32050466.5625</c:v>
                </c:pt>
                <c:pt idx="5">
                  <c:v>31000917.893750001</c:v>
                </c:pt>
                <c:pt idx="6">
                  <c:v>30158936.918749999</c:v>
                </c:pt>
                <c:pt idx="7">
                  <c:v>28946124.993749999</c:v>
                </c:pt>
                <c:pt idx="8">
                  <c:v>27947733.118749999</c:v>
                </c:pt>
                <c:pt idx="9">
                  <c:v>26947394.28125</c:v>
                </c:pt>
                <c:pt idx="10">
                  <c:v>26135623.043749999</c:v>
                </c:pt>
                <c:pt idx="11">
                  <c:v>25007968.587499999</c:v>
                </c:pt>
                <c:pt idx="12">
                  <c:v>24071937.262499999</c:v>
                </c:pt>
                <c:pt idx="13">
                  <c:v>23158856.881250001</c:v>
                </c:pt>
                <c:pt idx="14">
                  <c:v>22422933.168749999</c:v>
                </c:pt>
                <c:pt idx="15">
                  <c:v>21421753.359375</c:v>
                </c:pt>
                <c:pt idx="16">
                  <c:v>20584837.203125</c:v>
                </c:pt>
                <c:pt idx="17">
                  <c:v>19761835.296875</c:v>
                </c:pt>
                <c:pt idx="18">
                  <c:v>19082213.087499999</c:v>
                </c:pt>
                <c:pt idx="19">
                  <c:v>18168768.34375</c:v>
                </c:pt>
                <c:pt idx="20">
                  <c:v>17388908.778124999</c:v>
                </c:pt>
                <c:pt idx="21">
                  <c:v>16616890.237500001</c:v>
                </c:pt>
                <c:pt idx="22">
                  <c:v>15963649.018750001</c:v>
                </c:pt>
                <c:pt idx="23">
                  <c:v>15129470.321875</c:v>
                </c:pt>
                <c:pt idx="24">
                  <c:v>14405382.65625</c:v>
                </c:pt>
                <c:pt idx="25">
                  <c:v>13686714.356249999</c:v>
                </c:pt>
                <c:pt idx="26">
                  <c:v>13064737.084375</c:v>
                </c:pt>
                <c:pt idx="27">
                  <c:v>12281286.415625</c:v>
                </c:pt>
                <c:pt idx="28">
                  <c:v>11589528.36875</c:v>
                </c:pt>
              </c:numCache>
            </c:numRef>
          </c:val>
          <c:extLst>
            <c:ext xmlns:c16="http://schemas.microsoft.com/office/drawing/2014/chart" uri="{C3380CC4-5D6E-409C-BE32-E72D297353CC}">
              <c16:uniqueId val="{00000003-E6D5-4D3A-98E2-C9B35D46A0F0}"/>
            </c:ext>
          </c:extLst>
        </c:ser>
        <c:dLbls>
          <c:showLegendKey val="0"/>
          <c:showVal val="0"/>
          <c:showCatName val="0"/>
          <c:showSerName val="0"/>
          <c:showPercent val="0"/>
          <c:showBubbleSize val="0"/>
        </c:dLbls>
        <c:axId val="1235421311"/>
        <c:axId val="1235411327"/>
      </c:areaChart>
      <c:lineChart>
        <c:grouping val="standard"/>
        <c:varyColors val="0"/>
        <c:ser>
          <c:idx val="8"/>
          <c:order val="4"/>
          <c:tx>
            <c:strRef>
              <c:f>'Annual Load'!$K$1</c:f>
              <c:strCache>
                <c:ptCount val="1"/>
                <c:pt idx="0">
                  <c:v> Reference </c:v>
                </c:pt>
              </c:strCache>
            </c:strRef>
          </c:tx>
          <c:spPr>
            <a:ln w="28575" cap="rnd">
              <a:solidFill>
                <a:sysClr val="windowText" lastClr="000000"/>
              </a:solidFill>
              <a:prstDash val="sysDash"/>
              <a:round/>
            </a:ln>
            <a:effectLst/>
          </c:spPr>
          <c:marker>
            <c:symbol val="none"/>
          </c:marker>
          <c:cat>
            <c:numRef>
              <c:f>'Annual Load'!$B$2:$B$30</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'Annual Load'!$K$2:$K$30</c:f>
              <c:numCache>
                <c:formatCode>#,##0</c:formatCode>
                <c:ptCount val="29"/>
                <c:pt idx="0">
                  <c:v>108133671.3875</c:v>
                </c:pt>
                <c:pt idx="1">
                  <c:v>108261093.71875</c:v>
                </c:pt>
                <c:pt idx="2">
                  <c:v>108887311.94374999</c:v>
                </c:pt>
                <c:pt idx="3">
                  <c:v>108069493.33125</c:v>
                </c:pt>
                <c:pt idx="4">
                  <c:v>108047955.02500001</c:v>
                </c:pt>
                <c:pt idx="5">
                  <c:v>108031793.21875</c:v>
                </c:pt>
                <c:pt idx="6">
                  <c:v>108669914.53125</c:v>
                </c:pt>
                <c:pt idx="7">
                  <c:v>107928142.05625001</c:v>
                </c:pt>
                <c:pt idx="8">
                  <c:v>107899349.375</c:v>
                </c:pt>
                <c:pt idx="9">
                  <c:v>107855921.5</c:v>
                </c:pt>
                <c:pt idx="10">
                  <c:v>108528074.65625</c:v>
                </c:pt>
                <c:pt idx="11">
                  <c:v>107802832.2</c:v>
                </c:pt>
                <c:pt idx="12">
                  <c:v>107730430.14375</c:v>
                </c:pt>
                <c:pt idx="13">
                  <c:v>107675714.425</c:v>
                </c:pt>
                <c:pt idx="14">
                  <c:v>108324477.95</c:v>
                </c:pt>
                <c:pt idx="15">
                  <c:v>107601972.54375</c:v>
                </c:pt>
                <c:pt idx="16">
                  <c:v>107549130.21875</c:v>
                </c:pt>
                <c:pt idx="17">
                  <c:v>107471070.6375</c:v>
                </c:pt>
                <c:pt idx="18">
                  <c:v>108072374.16249999</c:v>
                </c:pt>
                <c:pt idx="19">
                  <c:v>107316665.15625</c:v>
                </c:pt>
                <c:pt idx="20">
                  <c:v>107241325.075</c:v>
                </c:pt>
                <c:pt idx="21">
                  <c:v>107156034.7375</c:v>
                </c:pt>
                <c:pt idx="22">
                  <c:v>107772899.59999999</c:v>
                </c:pt>
                <c:pt idx="23">
                  <c:v>107053507.625</c:v>
                </c:pt>
                <c:pt idx="24">
                  <c:v>107009641.1125</c:v>
                </c:pt>
                <c:pt idx="25">
                  <c:v>106956277.425</c:v>
                </c:pt>
                <c:pt idx="26">
                  <c:v>107600088.03125</c:v>
                </c:pt>
                <c:pt idx="27">
                  <c:v>106881438.03125</c:v>
                </c:pt>
                <c:pt idx="28">
                  <c:v>106833590.36875001</c:v>
                </c:pt>
              </c:numCache>
            </c:numRef>
          </c:val>
          <c:smooth val="0"/>
          <c:extLst>
            <c:ext xmlns:c16="http://schemas.microsoft.com/office/drawing/2014/chart" uri="{C3380CC4-5D6E-409C-BE32-E72D297353CC}">
              <c16:uniqueId val="{00000004-E6D5-4D3A-98E2-C9B35D46A0F0}"/>
            </c:ext>
          </c:extLst>
        </c:ser>
        <c:ser>
          <c:idx val="4"/>
          <c:order val="5"/>
          <c:tx>
            <c:strRef>
              <c:f>'Annual Load'!$L$1</c:f>
              <c:strCache>
                <c:ptCount val="1"/>
                <c:pt idx="0">
                  <c:v> CPP Emissions Cap </c:v>
                </c:pt>
              </c:strCache>
            </c:strRef>
          </c:tx>
          <c:spPr>
            <a:ln w="28575" cap="rnd">
              <a:solidFill>
                <a:srgbClr val="47FB69"/>
              </a:solidFill>
              <a:prstDash val="sysDash"/>
              <a:round/>
            </a:ln>
            <a:effectLst/>
          </c:spPr>
          <c:marker>
            <c:symbol val="none"/>
          </c:marker>
          <c:val>
            <c:numRef>
              <c:f>'Annual Load'!$L$2:$L$30</c:f>
              <c:numCache>
                <c:formatCode>#,##0</c:formatCode>
                <c:ptCount val="29"/>
                <c:pt idx="0">
                  <c:v>111686254.94257203</c:v>
                </c:pt>
                <c:pt idx="1">
                  <c:v>107390629.7524731</c:v>
                </c:pt>
                <c:pt idx="2">
                  <c:v>103095004.56237417</c:v>
                </c:pt>
                <c:pt idx="3">
                  <c:v>98799379.372275248</c:v>
                </c:pt>
                <c:pt idx="4">
                  <c:v>94503754.182176322</c:v>
                </c:pt>
                <c:pt idx="5">
                  <c:v>90208128.992077395</c:v>
                </c:pt>
                <c:pt idx="6">
                  <c:v>85912503.801978469</c:v>
                </c:pt>
                <c:pt idx="7">
                  <c:v>81616878.611879542</c:v>
                </c:pt>
                <c:pt idx="8">
                  <c:v>77321253.421780616</c:v>
                </c:pt>
                <c:pt idx="9">
                  <c:v>73025628.23168169</c:v>
                </c:pt>
                <c:pt idx="10">
                  <c:v>68730003.041582763</c:v>
                </c:pt>
                <c:pt idx="11">
                  <c:v>64434377.851483829</c:v>
                </c:pt>
                <c:pt idx="12">
                  <c:v>60138752.661384903</c:v>
                </c:pt>
                <c:pt idx="13">
                  <c:v>55843127.471286014</c:v>
                </c:pt>
                <c:pt idx="14">
                  <c:v>52864827.339484088</c:v>
                </c:pt>
                <c:pt idx="15">
                  <c:v>49886527.20768217</c:v>
                </c:pt>
                <c:pt idx="16">
                  <c:v>46908227.075880252</c:v>
                </c:pt>
                <c:pt idx="17">
                  <c:v>43929926.944078326</c:v>
                </c:pt>
                <c:pt idx="18">
                  <c:v>40951626.812276408</c:v>
                </c:pt>
                <c:pt idx="19">
                  <c:v>37973326.68047449</c:v>
                </c:pt>
                <c:pt idx="20">
                  <c:v>34995026.548672564</c:v>
                </c:pt>
                <c:pt idx="21">
                  <c:v>32016726.416870646</c:v>
                </c:pt>
                <c:pt idx="22">
                  <c:v>29038426.285068724</c:v>
                </c:pt>
                <c:pt idx="23">
                  <c:v>26060126.153266802</c:v>
                </c:pt>
                <c:pt idx="24">
                  <c:v>23081826.021464881</c:v>
                </c:pt>
                <c:pt idx="25">
                  <c:v>20103525.889662959</c:v>
                </c:pt>
                <c:pt idx="26">
                  <c:v>17125225.757861041</c:v>
                </c:pt>
                <c:pt idx="27">
                  <c:v>14146925.626059119</c:v>
                </c:pt>
                <c:pt idx="28">
                  <c:v>11168625.494257204</c:v>
                </c:pt>
              </c:numCache>
            </c:numRef>
          </c:val>
          <c:smooth val="0"/>
          <c:extLst>
            <c:ext xmlns:c16="http://schemas.microsoft.com/office/drawing/2014/chart" uri="{C3380CC4-5D6E-409C-BE32-E72D297353CC}">
              <c16:uniqueId val="{00000005-E6D5-4D3A-98E2-C9B35D46A0F0}"/>
            </c:ext>
          </c:extLst>
        </c:ser>
        <c:dLbls>
          <c:showLegendKey val="0"/>
          <c:showVal val="0"/>
          <c:showCatName val="0"/>
          <c:showSerName val="0"/>
          <c:showPercent val="0"/>
          <c:showBubbleSize val="0"/>
        </c:dLbls>
        <c:marker val="1"/>
        <c:smooth val="0"/>
        <c:axId val="1235421311"/>
        <c:axId val="1235411327"/>
      </c:lineChart>
      <c:catAx>
        <c:axId val="12354213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11327"/>
        <c:crosses val="autoZero"/>
        <c:auto val="1"/>
        <c:lblAlgn val="ctr"/>
        <c:lblOffset val="100"/>
        <c:tickLblSkip val="2"/>
        <c:noMultiLvlLbl val="0"/>
      </c:catAx>
      <c:valAx>
        <c:axId val="123541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Million Dth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1311"/>
        <c:crosses val="autoZero"/>
        <c:crossBetween val="midCat"/>
        <c:dispUnits>
          <c:builtInUnit val="millions"/>
        </c:dispUnits>
      </c:valAx>
      <c:spPr>
        <a:noFill/>
        <a:ln>
          <a:noFill/>
        </a:ln>
        <a:effectLst/>
      </c:spPr>
    </c:plotArea>
    <c:legend>
      <c:legendPos val="b"/>
      <c:layout>
        <c:manualLayout>
          <c:xMode val="edge"/>
          <c:yMode val="edge"/>
          <c:x val="0.78098763393922721"/>
          <c:y val="3.97670217408733E-2"/>
          <c:w val="0.21678524709553515"/>
          <c:h val="0.92760029959873613"/>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Washington Deliveries</a:t>
            </a:r>
          </a:p>
        </c:rich>
      </c:tx>
      <c:layout>
        <c:manualLayout>
          <c:xMode val="edge"/>
          <c:yMode val="edge"/>
          <c:x val="8.5221249043990643E-2"/>
          <c:y val="4.0435426073964324E-3"/>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8.5006561679790024E-2"/>
          <c:y val="0.10049208532948252"/>
          <c:w val="0.69457041417540633"/>
          <c:h val="0.7426038612462269"/>
        </c:manualLayout>
      </c:layout>
      <c:areaChart>
        <c:grouping val="stacked"/>
        <c:varyColors val="0"/>
        <c:ser>
          <c:idx val="0"/>
          <c:order val="0"/>
          <c:tx>
            <c:strRef>
              <c:f>'Annual Load'!$C$1</c:f>
              <c:strCache>
                <c:ptCount val="1"/>
                <c:pt idx="0">
                  <c:v> Residential </c:v>
                </c:pt>
              </c:strCache>
            </c:strRef>
          </c:tx>
          <c:spPr>
            <a:solidFill>
              <a:schemeClr val="accent2">
                <a:lumMod val="75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Load'!$C$33:$C$61</c15:sqref>
                  </c15:fullRef>
                </c:ext>
              </c:extLst>
              <c:f>'Annual Load'!$C$34:$C$61</c:f>
              <c:numCache>
                <c:formatCode>_(* #,##0_);_(* \(#,##0\);_(* "-"??_);_(@_)</c:formatCode>
                <c:ptCount val="28"/>
                <c:pt idx="0">
                  <c:v>5684843.0167968748</c:v>
                </c:pt>
                <c:pt idx="1">
                  <c:v>5771312.1539062504</c:v>
                </c:pt>
                <c:pt idx="2">
                  <c:v>5708197.4353515627</c:v>
                </c:pt>
                <c:pt idx="3">
                  <c:v>5581590.9582031248</c:v>
                </c:pt>
                <c:pt idx="4">
                  <c:v>5455728.587890625</c:v>
                </c:pt>
                <c:pt idx="5">
                  <c:v>5363389.7423828123</c:v>
                </c:pt>
                <c:pt idx="6">
                  <c:v>5206031.8130859379</c:v>
                </c:pt>
                <c:pt idx="7">
                  <c:v>5082013.4865234373</c:v>
                </c:pt>
                <c:pt idx="8">
                  <c:v>4958642.7775390623</c:v>
                </c:pt>
                <c:pt idx="9">
                  <c:v>4865078.3560546879</c:v>
                </c:pt>
                <c:pt idx="10">
                  <c:v>4713463.0451171873</c:v>
                </c:pt>
                <c:pt idx="11">
                  <c:v>4592417.7632812504</c:v>
                </c:pt>
                <c:pt idx="12">
                  <c:v>4472052.603515625</c:v>
                </c:pt>
                <c:pt idx="13">
                  <c:v>4379254.7462890623</c:v>
                </c:pt>
                <c:pt idx="14">
                  <c:v>4233323.5408203127</c:v>
                </c:pt>
                <c:pt idx="15">
                  <c:v>4115029.7531249998</c:v>
                </c:pt>
                <c:pt idx="16">
                  <c:v>3997444.490234375</c:v>
                </c:pt>
                <c:pt idx="17">
                  <c:v>3903711.3306640624</c:v>
                </c:pt>
                <c:pt idx="18">
                  <c:v>3763449.62109375</c:v>
                </c:pt>
                <c:pt idx="19">
                  <c:v>3647955.1589843752</c:v>
                </c:pt>
                <c:pt idx="20">
                  <c:v>3533148.5003906251</c:v>
                </c:pt>
                <c:pt idx="21">
                  <c:v>3440335.21875</c:v>
                </c:pt>
                <c:pt idx="22">
                  <c:v>3305495.7835937501</c:v>
                </c:pt>
                <c:pt idx="23">
                  <c:v>3192810.4310546876</c:v>
                </c:pt>
                <c:pt idx="24">
                  <c:v>3080654.8343750001</c:v>
                </c:pt>
                <c:pt idx="25">
                  <c:v>2987917.9761718749</c:v>
                </c:pt>
                <c:pt idx="26">
                  <c:v>2858402.8185546873</c:v>
                </c:pt>
                <c:pt idx="27">
                  <c:v>2748559.2813476562</c:v>
                </c:pt>
              </c:numCache>
            </c:numRef>
          </c:val>
          <c:extLst>
            <c:ext xmlns:c16="http://schemas.microsoft.com/office/drawing/2014/chart" uri="{C3380CC4-5D6E-409C-BE32-E72D297353CC}">
              <c16:uniqueId val="{00000000-0C24-4BD4-846D-ED5D08C921CB}"/>
            </c:ext>
          </c:extLst>
        </c:ser>
        <c:ser>
          <c:idx val="1"/>
          <c:order val="1"/>
          <c:tx>
            <c:strRef>
              <c:f>'Annual Load'!$D$1</c:f>
              <c:strCache>
                <c:ptCount val="1"/>
                <c:pt idx="0">
                  <c:v> Small Commercial </c:v>
                </c:pt>
              </c:strCache>
            </c:strRef>
          </c:tx>
          <c:spPr>
            <a:solidFill>
              <a:schemeClr val="accent2">
                <a:lumMod val="60000"/>
                <a:lumOff val="4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Load'!$D$33:$D$61</c15:sqref>
                  </c15:fullRef>
                </c:ext>
              </c:extLst>
              <c:f>'Annual Load'!$D$34:$D$61</c:f>
              <c:numCache>
                <c:formatCode>_(* #,##0_);_(* \(#,##0\);_(* "-"??_);_(@_)</c:formatCode>
                <c:ptCount val="28"/>
                <c:pt idx="0">
                  <c:v>2064710.0810546875</c:v>
                </c:pt>
                <c:pt idx="1">
                  <c:v>2100422.0972656249</c:v>
                </c:pt>
                <c:pt idx="2">
                  <c:v>2079394.3804687499</c:v>
                </c:pt>
                <c:pt idx="3">
                  <c:v>2034074.2536132813</c:v>
                </c:pt>
                <c:pt idx="4">
                  <c:v>1989000.1434570313</c:v>
                </c:pt>
                <c:pt idx="5">
                  <c:v>1955238.1078125001</c:v>
                </c:pt>
                <c:pt idx="6">
                  <c:v>1899537.5465820313</c:v>
                </c:pt>
                <c:pt idx="7">
                  <c:v>1855080.8040039062</c:v>
                </c:pt>
                <c:pt idx="8">
                  <c:v>1810882.1482421875</c:v>
                </c:pt>
                <c:pt idx="9">
                  <c:v>1776751.2290039063</c:v>
                </c:pt>
                <c:pt idx="10">
                  <c:v>1723023.118359375</c:v>
                </c:pt>
                <c:pt idx="11">
                  <c:v>1679595.7765625</c:v>
                </c:pt>
                <c:pt idx="12">
                  <c:v>1636399.7222656249</c:v>
                </c:pt>
                <c:pt idx="13">
                  <c:v>1602479.1137695313</c:v>
                </c:pt>
                <c:pt idx="14">
                  <c:v>1550709.8682617187</c:v>
                </c:pt>
                <c:pt idx="15">
                  <c:v>1508227.50859375</c:v>
                </c:pt>
                <c:pt idx="16">
                  <c:v>1465985.1436523437</c:v>
                </c:pt>
                <c:pt idx="17">
                  <c:v>1431751.0958007812</c:v>
                </c:pt>
                <c:pt idx="18">
                  <c:v>1381924.0287109376</c:v>
                </c:pt>
                <c:pt idx="19">
                  <c:v>1340392.9826171875</c:v>
                </c:pt>
                <c:pt idx="20">
                  <c:v>1299095.4606445313</c:v>
                </c:pt>
                <c:pt idx="21">
                  <c:v>1265144.8915039063</c:v>
                </c:pt>
                <c:pt idx="22">
                  <c:v>1217165.1557617188</c:v>
                </c:pt>
                <c:pt idx="23">
                  <c:v>1176594.8965820312</c:v>
                </c:pt>
                <c:pt idx="24">
                  <c:v>1136225.517578125</c:v>
                </c:pt>
                <c:pt idx="25">
                  <c:v>1102298.1478515626</c:v>
                </c:pt>
                <c:pt idx="26">
                  <c:v>1056189.0897460938</c:v>
                </c:pt>
                <c:pt idx="27">
                  <c:v>1016582.0021484375</c:v>
                </c:pt>
              </c:numCache>
            </c:numRef>
          </c:val>
          <c:extLst>
            <c:ext xmlns:c16="http://schemas.microsoft.com/office/drawing/2014/chart" uri="{C3380CC4-5D6E-409C-BE32-E72D297353CC}">
              <c16:uniqueId val="{00000001-0C24-4BD4-846D-ED5D08C921CB}"/>
            </c:ext>
          </c:extLst>
        </c:ser>
        <c:ser>
          <c:idx val="2"/>
          <c:order val="2"/>
          <c:tx>
            <c:strRef>
              <c:f>'Annual Load'!$E$1</c:f>
              <c:strCache>
                <c:ptCount val="1"/>
                <c:pt idx="0">
                  <c:v> Industrial &amp; Large Com </c:v>
                </c:pt>
              </c:strCache>
            </c:strRef>
          </c:tx>
          <c:spPr>
            <a:solidFill>
              <a:schemeClr val="accent2">
                <a:lumMod val="20000"/>
                <a:lumOff val="8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Load'!$E$33:$E$61</c15:sqref>
                  </c15:fullRef>
                </c:ext>
              </c:extLst>
              <c:f>'Annual Load'!$E$34:$E$61</c:f>
              <c:numCache>
                <c:formatCode>_(* #,##0_);_(* \(#,##0\);_(* "-"??_);_(@_)</c:formatCode>
                <c:ptCount val="28"/>
                <c:pt idx="0">
                  <c:v>931752.38222656248</c:v>
                </c:pt>
                <c:pt idx="1">
                  <c:v>910123.13583984377</c:v>
                </c:pt>
                <c:pt idx="2">
                  <c:v>875563.31679687498</c:v>
                </c:pt>
                <c:pt idx="3">
                  <c:v>849332.6201171875</c:v>
                </c:pt>
                <c:pt idx="4">
                  <c:v>823131.8069335937</c:v>
                </c:pt>
                <c:pt idx="5">
                  <c:v>803968.41982421873</c:v>
                </c:pt>
                <c:pt idx="6">
                  <c:v>771998.31074218755</c:v>
                </c:pt>
                <c:pt idx="7">
                  <c:v>747341.8118164062</c:v>
                </c:pt>
                <c:pt idx="8">
                  <c:v>722746.38662109373</c:v>
                </c:pt>
                <c:pt idx="9">
                  <c:v>704355.33066406252</c:v>
                </c:pt>
                <c:pt idx="10">
                  <c:v>674543.8577148437</c:v>
                </c:pt>
                <c:pt idx="11">
                  <c:v>650925.8157226562</c:v>
                </c:pt>
                <c:pt idx="12">
                  <c:v>627671.30771484377</c:v>
                </c:pt>
                <c:pt idx="13">
                  <c:v>609811.27773437498</c:v>
                </c:pt>
                <c:pt idx="14">
                  <c:v>582229.6838867187</c:v>
                </c:pt>
                <c:pt idx="15">
                  <c:v>560022.66943359375</c:v>
                </c:pt>
                <c:pt idx="16">
                  <c:v>538124.3743164062</c:v>
                </c:pt>
                <c:pt idx="17">
                  <c:v>520831.71396484377</c:v>
                </c:pt>
                <c:pt idx="18">
                  <c:v>495224.96171875001</c:v>
                </c:pt>
                <c:pt idx="19">
                  <c:v>474550.04326171876</c:v>
                </c:pt>
                <c:pt idx="20">
                  <c:v>454096.03012695315</c:v>
                </c:pt>
                <c:pt idx="21">
                  <c:v>437478.29453125002</c:v>
                </c:pt>
                <c:pt idx="22">
                  <c:v>413867.5650878906</c:v>
                </c:pt>
                <c:pt idx="23">
                  <c:v>394082.80673828127</c:v>
                </c:pt>
                <c:pt idx="24">
                  <c:v>374522.4651855469</c:v>
                </c:pt>
                <c:pt idx="25">
                  <c:v>358129.28999023436</c:v>
                </c:pt>
                <c:pt idx="26">
                  <c:v>336041.54570312501</c:v>
                </c:pt>
                <c:pt idx="27">
                  <c:v>317109.82304687501</c:v>
                </c:pt>
              </c:numCache>
            </c:numRef>
          </c:val>
          <c:extLst>
            <c:ext xmlns:c16="http://schemas.microsoft.com/office/drawing/2014/chart" uri="{C3380CC4-5D6E-409C-BE32-E72D297353CC}">
              <c16:uniqueId val="{00000002-0C24-4BD4-846D-ED5D08C921CB}"/>
            </c:ext>
          </c:extLst>
        </c:ser>
        <c:ser>
          <c:idx val="3"/>
          <c:order val="3"/>
          <c:tx>
            <c:strRef>
              <c:f>'Annual Load'!$F$1</c:f>
              <c:strCache>
                <c:ptCount val="1"/>
                <c:pt idx="0">
                  <c:v> Transport </c:v>
                </c:pt>
              </c:strCache>
            </c:strRef>
          </c:tx>
          <c:spPr>
            <a:solidFill>
              <a:schemeClr val="accent2">
                <a:lumMod val="50000"/>
              </a:schemeClr>
            </a:solidFill>
            <a:ln w="25400">
              <a:noFill/>
            </a:ln>
            <a:effectLst/>
          </c:spPr>
          <c:cat>
            <c:numRef>
              <c:extLst>
                <c:ext xmlns:c15="http://schemas.microsoft.com/office/drawing/2012/chart" uri="{02D57815-91ED-43cb-92C2-25804820EDAC}">
                  <c15:fullRef>
                    <c15:sqref>'Annual Load'!$B$33:$B$61</c15:sqref>
                  </c15:fullRef>
                </c:ext>
              </c:extLst>
              <c:f>'Annual Load'!$B$34:$B$61</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Load'!$F$33:$F$61</c15:sqref>
                  </c15:fullRef>
                </c:ext>
              </c:extLst>
              <c:f>'Annual Load'!$F$34:$F$61</c:f>
              <c:numCache>
                <c:formatCode>_(* #,##0_);_(* \(#,##0\);_(* "-"??_);_(@_)</c:formatCode>
                <c:ptCount val="28"/>
                <c:pt idx="0">
                  <c:v>1694387.46171875</c:v>
                </c:pt>
                <c:pt idx="1">
                  <c:v>1653689.653125</c:v>
                </c:pt>
                <c:pt idx="2">
                  <c:v>1588782.998046875</c:v>
                </c:pt>
                <c:pt idx="3">
                  <c:v>1536541.360546875</c:v>
                </c:pt>
                <c:pt idx="4">
                  <c:v>1483752.905078125</c:v>
                </c:pt>
                <c:pt idx="5">
                  <c:v>1440148.778515625</c:v>
                </c:pt>
                <c:pt idx="6">
                  <c:v>1379852.6371093751</c:v>
                </c:pt>
                <c:pt idx="7">
                  <c:v>1329828.568359375</c:v>
                </c:pt>
                <c:pt idx="8">
                  <c:v>1280067.6253906251</c:v>
                </c:pt>
                <c:pt idx="9">
                  <c:v>1238891.970703125</c:v>
                </c:pt>
                <c:pt idx="10">
                  <c:v>1183426.1033203125</c:v>
                </c:pt>
                <c:pt idx="11">
                  <c:v>1136597.0958984375</c:v>
                </c:pt>
                <c:pt idx="12">
                  <c:v>1090891.8173828125</c:v>
                </c:pt>
                <c:pt idx="13">
                  <c:v>1052751.2990234375</c:v>
                </c:pt>
                <c:pt idx="14">
                  <c:v>1002647.4193359375</c:v>
                </c:pt>
                <c:pt idx="15">
                  <c:v>960027.89687499998</c:v>
                </c:pt>
                <c:pt idx="16">
                  <c:v>918457.08164062502</c:v>
                </c:pt>
                <c:pt idx="17">
                  <c:v>883304.60429687495</c:v>
                </c:pt>
                <c:pt idx="18">
                  <c:v>838185.21074218745</c:v>
                </c:pt>
                <c:pt idx="19">
                  <c:v>799371.14218750002</c:v>
                </c:pt>
                <c:pt idx="20">
                  <c:v>761395.13027343748</c:v>
                </c:pt>
                <c:pt idx="21">
                  <c:v>728689.87617187505</c:v>
                </c:pt>
                <c:pt idx="22">
                  <c:v>689187.79140624998</c:v>
                </c:pt>
                <c:pt idx="23">
                  <c:v>654760.1555664062</c:v>
                </c:pt>
                <c:pt idx="24">
                  <c:v>620914.3118164062</c:v>
                </c:pt>
                <c:pt idx="25">
                  <c:v>591310.93642578123</c:v>
                </c:pt>
                <c:pt idx="26">
                  <c:v>554829.84843749995</c:v>
                </c:pt>
                <c:pt idx="27">
                  <c:v>522549.34873046877</c:v>
                </c:pt>
              </c:numCache>
            </c:numRef>
          </c:val>
          <c:extLst>
            <c:ext xmlns:c16="http://schemas.microsoft.com/office/drawing/2014/chart" uri="{C3380CC4-5D6E-409C-BE32-E72D297353CC}">
              <c16:uniqueId val="{00000003-0C24-4BD4-846D-ED5D08C921CB}"/>
            </c:ext>
          </c:extLst>
        </c:ser>
        <c:dLbls>
          <c:showLegendKey val="0"/>
          <c:showVal val="0"/>
          <c:showCatName val="0"/>
          <c:showSerName val="0"/>
          <c:showPercent val="0"/>
          <c:showBubbleSize val="0"/>
        </c:dLbls>
        <c:axId val="1235421311"/>
        <c:axId val="1235411327"/>
      </c:areaChart>
      <c:lineChart>
        <c:grouping val="standard"/>
        <c:varyColors val="0"/>
        <c:ser>
          <c:idx val="8"/>
          <c:order val="4"/>
          <c:tx>
            <c:strRef>
              <c:f>'Annual Load'!$K$1</c:f>
              <c:strCache>
                <c:ptCount val="1"/>
                <c:pt idx="0">
                  <c:v> Reference </c:v>
                </c:pt>
              </c:strCache>
            </c:strRef>
          </c:tx>
          <c:spPr>
            <a:ln w="28575" cap="rnd">
              <a:solidFill>
                <a:schemeClr val="tx1"/>
              </a:solidFill>
              <a:prstDash val="sysDash"/>
              <a:round/>
            </a:ln>
            <a:effectLst/>
          </c:spPr>
          <c:marker>
            <c:symbol val="none"/>
          </c:marker>
          <c:cat>
            <c:numRef>
              <c:extLst>
                <c:ext xmlns:c15="http://schemas.microsoft.com/office/drawing/2012/chart" uri="{02D57815-91ED-43cb-92C2-25804820EDAC}">
                  <c15:fullRef>
                    <c15:sqref>'Annual Load'!$B$2:$B$30</c15:sqref>
                  </c15:fullRef>
                </c:ext>
              </c:extLst>
              <c:f>'Annual Load'!$B$3:$B$30</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'Annual Load'!$K$33:$K$61</c15:sqref>
                  </c15:fullRef>
                </c:ext>
              </c:extLst>
              <c:f>'Annual Load'!$K$34:$K$61</c:f>
              <c:numCache>
                <c:formatCode>#,##0</c:formatCode>
                <c:ptCount val="28"/>
                <c:pt idx="0">
                  <c:v>10433199.61484375</c:v>
                </c:pt>
                <c:pt idx="1">
                  <c:v>10550344.709375</c:v>
                </c:pt>
                <c:pt idx="2">
                  <c:v>10551660.895703126</c:v>
                </c:pt>
                <c:pt idx="3">
                  <c:v>10621391.649609376</c:v>
                </c:pt>
                <c:pt idx="4">
                  <c:v>10687634.512109375</c:v>
                </c:pt>
                <c:pt idx="5">
                  <c:v>10819084.438671876</c:v>
                </c:pt>
                <c:pt idx="6">
                  <c:v>10816741.703906249</c:v>
                </c:pt>
                <c:pt idx="7">
                  <c:v>10881599.446484376</c:v>
                </c:pt>
                <c:pt idx="8">
                  <c:v>10944526.273046875</c:v>
                </c:pt>
                <c:pt idx="9">
                  <c:v>11073674.473828126</c:v>
                </c:pt>
                <c:pt idx="10">
                  <c:v>11066953.923828125</c:v>
                </c:pt>
                <c:pt idx="11">
                  <c:v>11127917.818359375</c:v>
                </c:pt>
                <c:pt idx="12">
                  <c:v>11188311.013671875</c:v>
                </c:pt>
                <c:pt idx="13">
                  <c:v>11317572.966796875</c:v>
                </c:pt>
                <c:pt idx="14">
                  <c:v>11306632.990625</c:v>
                </c:pt>
                <c:pt idx="15">
                  <c:v>11364052.164843749</c:v>
                </c:pt>
                <c:pt idx="16">
                  <c:v>11420347.237890625</c:v>
                </c:pt>
                <c:pt idx="17">
                  <c:v>11544819.29296875</c:v>
                </c:pt>
                <c:pt idx="18">
                  <c:v>11528991.098046875</c:v>
                </c:pt>
                <c:pt idx="19">
                  <c:v>11584356.344140625</c:v>
                </c:pt>
                <c:pt idx="20">
                  <c:v>11639340.499609375</c:v>
                </c:pt>
                <c:pt idx="21">
                  <c:v>11766186.651171874</c:v>
                </c:pt>
                <c:pt idx="22">
                  <c:v>11747729.817578126</c:v>
                </c:pt>
                <c:pt idx="23">
                  <c:v>11801430.981249999</c:v>
                </c:pt>
                <c:pt idx="24">
                  <c:v>11854184.005078126</c:v>
                </c:pt>
                <c:pt idx="25">
                  <c:v>11980294.20859375</c:v>
                </c:pt>
                <c:pt idx="26">
                  <c:v>11957845.741015624</c:v>
                </c:pt>
                <c:pt idx="27">
                  <c:v>12009553.25</c:v>
                </c:pt>
              </c:numCache>
            </c:numRef>
          </c:val>
          <c:smooth val="0"/>
          <c:extLst>
            <c:ext xmlns:c16="http://schemas.microsoft.com/office/drawing/2014/chart" uri="{C3380CC4-5D6E-409C-BE32-E72D297353CC}">
              <c16:uniqueId val="{00000004-0C24-4BD4-846D-ED5D08C921CB}"/>
            </c:ext>
          </c:extLst>
        </c:ser>
        <c:ser>
          <c:idx val="4"/>
          <c:order val="5"/>
          <c:tx>
            <c:strRef>
              <c:f>'Annual Load'!$L$32</c:f>
              <c:strCache>
                <c:ptCount val="1"/>
                <c:pt idx="0">
                  <c:v> CCA Allowance Allocation </c:v>
                </c:pt>
              </c:strCache>
            </c:strRef>
          </c:tx>
          <c:spPr>
            <a:ln w="28575" cap="rnd">
              <a:solidFill>
                <a:srgbClr val="47FB69"/>
              </a:solidFill>
              <a:prstDash val="sysDash"/>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'Annual Load'!$L$33:$L$61</c15:sqref>
                  </c15:fullRef>
                </c:ext>
              </c:extLst>
              <c:f>'Annual Load'!$L$34:$L$61</c:f>
              <c:numCache>
                <c:formatCode>#,##0</c:formatCode>
                <c:ptCount val="28"/>
                <c:pt idx="0">
                  <c:v>8702094.8165123314</c:v>
                </c:pt>
                <c:pt idx="1">
                  <c:v>8092948.1793564688</c:v>
                </c:pt>
                <c:pt idx="2">
                  <c:v>7526441.8068015166</c:v>
                </c:pt>
                <c:pt idx="3">
                  <c:v>6999590.8803254114</c:v>
                </c:pt>
                <c:pt idx="4">
                  <c:v>6509619.5187026327</c:v>
                </c:pt>
                <c:pt idx="5">
                  <c:v>6053946.1523934491</c:v>
                </c:pt>
                <c:pt idx="6">
                  <c:v>5630169.9217259092</c:v>
                </c:pt>
                <c:pt idx="7">
                  <c:v>5236058.0272050956</c:v>
                </c:pt>
                <c:pt idx="8">
                  <c:v>5141808.9827154037</c:v>
                </c:pt>
                <c:pt idx="9">
                  <c:v>5049256.421026526</c:v>
                </c:pt>
                <c:pt idx="10">
                  <c:v>4958369.8054480478</c:v>
                </c:pt>
                <c:pt idx="11">
                  <c:v>4869119.1489499835</c:v>
                </c:pt>
                <c:pt idx="12">
                  <c:v>4781475.0042688837</c:v>
                </c:pt>
                <c:pt idx="13">
                  <c:v>4695408.4541920433</c:v>
                </c:pt>
                <c:pt idx="14">
                  <c:v>4610891.1020165859</c:v>
                </c:pt>
                <c:pt idx="15">
                  <c:v>4527895.0621802881</c:v>
                </c:pt>
                <c:pt idx="16">
                  <c:v>4446392.951061042</c:v>
                </c:pt>
                <c:pt idx="17">
                  <c:v>4366357.8779419437</c:v>
                </c:pt>
                <c:pt idx="18">
                  <c:v>4287763.4361389885</c:v>
                </c:pt>
                <c:pt idx="19">
                  <c:v>4210583.6942884866</c:v>
                </c:pt>
                <c:pt idx="20">
                  <c:v>4101108.5182369859</c:v>
                </c:pt>
                <c:pt idx="21">
                  <c:v>3994479.6967628244</c:v>
                </c:pt>
                <c:pt idx="22">
                  <c:v>3890623.2246469907</c:v>
                </c:pt>
                <c:pt idx="23">
                  <c:v>3789467.0208061687</c:v>
                </c:pt>
                <c:pt idx="24">
                  <c:v>3690940.8782652076</c:v>
                </c:pt>
                <c:pt idx="25">
                  <c:v>3594976.4154303125</c:v>
                </c:pt>
                <c:pt idx="26">
                  <c:v>3501507.0286291242</c:v>
                </c:pt>
                <c:pt idx="27">
                  <c:v>3410467.8458847674</c:v>
                </c:pt>
              </c:numCache>
            </c:numRef>
          </c:val>
          <c:smooth val="0"/>
          <c:extLst>
            <c:ext xmlns:c16="http://schemas.microsoft.com/office/drawing/2014/chart" uri="{C3380CC4-5D6E-409C-BE32-E72D297353CC}">
              <c16:uniqueId val="{00000005-0C24-4BD4-846D-ED5D08C921CB}"/>
            </c:ext>
          </c:extLst>
        </c:ser>
        <c:dLbls>
          <c:showLegendKey val="0"/>
          <c:showVal val="0"/>
          <c:showCatName val="0"/>
          <c:showSerName val="0"/>
          <c:showPercent val="0"/>
          <c:showBubbleSize val="0"/>
        </c:dLbls>
        <c:marker val="1"/>
        <c:smooth val="0"/>
        <c:axId val="1235421311"/>
        <c:axId val="1235411327"/>
      </c:lineChart>
      <c:catAx>
        <c:axId val="12354213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11327"/>
        <c:crosses val="autoZero"/>
        <c:auto val="1"/>
        <c:lblAlgn val="ctr"/>
        <c:lblOffset val="100"/>
        <c:tickLblSkip val="2"/>
        <c:noMultiLvlLbl val="0"/>
      </c:catAx>
      <c:valAx>
        <c:axId val="1235411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Million Dth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5421311"/>
        <c:crosses val="autoZero"/>
        <c:crossBetween val="midCat"/>
        <c:dispUnits>
          <c:builtInUnit val="millions"/>
        </c:dispUnits>
      </c:valAx>
      <c:spPr>
        <a:noFill/>
        <a:ln>
          <a:noFill/>
        </a:ln>
        <a:effectLst/>
      </c:spPr>
    </c:plotArea>
    <c:legend>
      <c:legendPos val="r"/>
      <c:layout>
        <c:manualLayout>
          <c:xMode val="edge"/>
          <c:yMode val="edge"/>
          <c:x val="0.78208302540406327"/>
          <c:y val="4.9913261736181547E-2"/>
          <c:w val="0.20416001724494182"/>
          <c:h val="0.88874698537350483"/>
        </c:manualLayout>
      </c:layout>
      <c:overlay val="0"/>
      <c:spPr>
        <a:solidFill>
          <a:schemeClr val="lt1"/>
        </a:solidFill>
        <a:ln w="12700" cap="flat" cmpd="sng" algn="ctr">
          <a:solidFill>
            <a:schemeClr val="dk1"/>
          </a:solidFill>
          <a:prstDash val="solid"/>
          <a:miter lim="800000"/>
        </a:ln>
        <a:effectLst/>
        <a:scene3d>
          <a:camera prst="orthographicFront"/>
          <a:lightRig rig="threePt" dir="t"/>
        </a:scene3d>
        <a:sp3d>
          <a:bevelT/>
        </a:sp3d>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a:t>
            </a:r>
            <a:r>
              <a:rPr lang="en-US" baseline="0"/>
              <a:t> of Annual Sales Demand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spPr>
            <a:solidFill>
              <a:srgbClr val="008AB0"/>
            </a:solidFill>
            <a:ln>
              <a:solidFill>
                <a:srgbClr val="0070C0"/>
              </a:solidFill>
            </a:ln>
            <a:effectLst/>
          </c:spPr>
          <c:cat>
            <c:numRef>
              <c:f>'Notes and Scenario Inputs'!$B$58:$B$86</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'Notes and Scenario Inputs'!$C$57:$C$86</c:f>
              <c:numCache>
                <c:formatCode>0%</c:formatCode>
                <c:ptCount val="30"/>
                <c:pt idx="0">
                  <c:v>0</c:v>
                </c:pt>
                <c:pt idx="1">
                  <c:v>0.03</c:v>
                </c:pt>
                <c:pt idx="2">
                  <c:v>0.05</c:v>
                </c:pt>
                <c:pt idx="3">
                  <c:v>7.4999999999999997E-2</c:v>
                </c:pt>
                <c:pt idx="4">
                  <c:v>0.1</c:v>
                </c:pt>
                <c:pt idx="5">
                  <c:v>0.11</c:v>
                </c:pt>
                <c:pt idx="6">
                  <c:v>0.12</c:v>
                </c:pt>
                <c:pt idx="7">
                  <c:v>0.13</c:v>
                </c:pt>
                <c:pt idx="8">
                  <c:v>0.14000000000000001</c:v>
                </c:pt>
                <c:pt idx="9">
                  <c:v>0.15</c:v>
                </c:pt>
                <c:pt idx="10">
                  <c:v>0.16</c:v>
                </c:pt>
                <c:pt idx="11">
                  <c:v>0.17</c:v>
                </c:pt>
                <c:pt idx="12">
                  <c:v>0.18</c:v>
                </c:pt>
                <c:pt idx="13">
                  <c:v>0.19</c:v>
                </c:pt>
                <c:pt idx="14">
                  <c:v>0.2</c:v>
                </c:pt>
                <c:pt idx="15">
                  <c:v>0.21</c:v>
                </c:pt>
                <c:pt idx="16">
                  <c:v>0.22</c:v>
                </c:pt>
                <c:pt idx="17">
                  <c:v>0.23</c:v>
                </c:pt>
                <c:pt idx="18">
                  <c:v>0.24</c:v>
                </c:pt>
                <c:pt idx="19">
                  <c:v>0.25</c:v>
                </c:pt>
                <c:pt idx="20">
                  <c:v>0.26</c:v>
                </c:pt>
                <c:pt idx="21">
                  <c:v>0.27</c:v>
                </c:pt>
                <c:pt idx="22">
                  <c:v>0.28000000000000003</c:v>
                </c:pt>
                <c:pt idx="23">
                  <c:v>0.28999999999999998</c:v>
                </c:pt>
                <c:pt idx="24">
                  <c:v>0.3</c:v>
                </c:pt>
                <c:pt idx="25">
                  <c:v>0.31</c:v>
                </c:pt>
                <c:pt idx="26">
                  <c:v>0.32</c:v>
                </c:pt>
                <c:pt idx="27">
                  <c:v>0.33</c:v>
                </c:pt>
                <c:pt idx="28">
                  <c:v>0.34</c:v>
                </c:pt>
                <c:pt idx="29">
                  <c:v>0.35</c:v>
                </c:pt>
              </c:numCache>
            </c:numRef>
          </c:val>
          <c:extLst>
            <c:ext xmlns:c16="http://schemas.microsoft.com/office/drawing/2014/chart" uri="{C3380CC4-5D6E-409C-BE32-E72D297353CC}">
              <c16:uniqueId val="{00000000-6E03-468E-8C1F-3FE1666BE3A8}"/>
            </c:ext>
          </c:extLst>
        </c:ser>
        <c:dLbls>
          <c:showLegendKey val="0"/>
          <c:showVal val="0"/>
          <c:showCatName val="0"/>
          <c:showSerName val="0"/>
          <c:showPercent val="0"/>
          <c:showBubbleSize val="0"/>
        </c:dLbls>
        <c:axId val="1205772735"/>
        <c:axId val="1205773151"/>
      </c:areaChart>
      <c:catAx>
        <c:axId val="12057727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5773151"/>
        <c:crosses val="autoZero"/>
        <c:auto val="1"/>
        <c:lblAlgn val="ctr"/>
        <c:lblOffset val="100"/>
        <c:noMultiLvlLbl val="0"/>
      </c:catAx>
      <c:valAx>
        <c:axId val="1205773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5772735"/>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r>
              <a:rPr lang="en-US" b="1">
                <a:solidFill>
                  <a:schemeClr val="bg1"/>
                </a:solidFill>
              </a:rPr>
              <a:t>Unbundled</a:t>
            </a:r>
            <a:r>
              <a:rPr lang="en-US" b="1" baseline="0">
                <a:solidFill>
                  <a:schemeClr val="bg1"/>
                </a:solidFill>
              </a:rPr>
              <a:t> </a:t>
            </a:r>
            <a:r>
              <a:rPr lang="en-US" b="1">
                <a:solidFill>
                  <a:schemeClr val="bg1"/>
                </a:solidFill>
              </a:rPr>
              <a:t>Price</a:t>
            </a:r>
            <a:r>
              <a:rPr lang="en-US" b="1" baseline="0">
                <a:solidFill>
                  <a:schemeClr val="bg1"/>
                </a:solidFill>
              </a:rPr>
              <a:t> Paths</a:t>
            </a:r>
            <a:endParaRPr lang="en-US" b="1">
              <a:solidFill>
                <a:schemeClr val="bg1"/>
              </a:solidFill>
            </a:endParaRPr>
          </a:p>
        </c:rich>
      </c:tx>
      <c:layout>
        <c:manualLayout>
          <c:xMode val="edge"/>
          <c:yMode val="edge"/>
          <c:x val="0.16432295621019299"/>
          <c:y val="0"/>
        </c:manualLayout>
      </c:layout>
      <c:overlay val="0"/>
      <c:spPr>
        <a:solidFill>
          <a:srgbClr val="002060"/>
        </a:solidFill>
        <a:ln>
          <a:noFill/>
        </a:ln>
        <a:effectLst/>
      </c:spPr>
      <c:txPr>
        <a:bodyPr rot="0" spcFirstLastPara="1" vertOverflow="ellipsis" vert="horz" wrap="square" anchor="ctr" anchorCtr="1"/>
        <a:lstStyle/>
        <a:p>
          <a:pPr>
            <a:defRPr sz="1400" b="1" i="0" u="none" strike="noStrik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0460703016172396"/>
          <c:y val="0.11922907629857304"/>
          <c:w val="0.73501565304590388"/>
          <c:h val="0.74286766501653356"/>
        </c:manualLayout>
      </c:layout>
      <c:lineChart>
        <c:grouping val="standard"/>
        <c:varyColors val="0"/>
        <c:ser>
          <c:idx val="0"/>
          <c:order val="0"/>
          <c:tx>
            <c:strRef>
              <c:f>'Compliance Data'!$H$2:$I$2</c:f>
              <c:strCache>
                <c:ptCount val="1"/>
                <c:pt idx="0">
                  <c:v>CCI Purchases</c:v>
                </c:pt>
              </c:strCache>
            </c:strRef>
          </c:tx>
          <c:spPr>
            <a:ln w="28575" cap="rnd">
              <a:solidFill>
                <a:schemeClr val="accent4"/>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Data'!$I$4:$I$32</c:f>
              <c:numCache>
                <c:formatCode>_(* #,##0.00_);_(* \(#,##0.00\);_(* "-"??_);_(@_)</c:formatCode>
                <c:ptCount val="29"/>
                <c:pt idx="0">
                  <c:v>5.7331799999999999</c:v>
                </c:pt>
                <c:pt idx="1">
                  <c:v>5.7862650000000002</c:v>
                </c:pt>
                <c:pt idx="2">
                  <c:v>5.8393499999999996</c:v>
                </c:pt>
                <c:pt idx="3">
                  <c:v>5.8924349999999999</c:v>
                </c:pt>
                <c:pt idx="4">
                  <c:v>5.9455200000000001</c:v>
                </c:pt>
                <c:pt idx="5">
                  <c:v>5.9986050000000004</c:v>
                </c:pt>
                <c:pt idx="6">
                  <c:v>6.0516899999999998</c:v>
                </c:pt>
                <c:pt idx="7">
                  <c:v>6.1047750000000001</c:v>
                </c:pt>
                <c:pt idx="8">
                  <c:v>6.1578600000000003</c:v>
                </c:pt>
                <c:pt idx="9">
                  <c:v>6.2109449999999997</c:v>
                </c:pt>
                <c:pt idx="10">
                  <c:v>6.26403</c:v>
                </c:pt>
                <c:pt idx="11">
                  <c:v>6.3171150000000003</c:v>
                </c:pt>
                <c:pt idx="12">
                  <c:v>6.3701999999999996</c:v>
                </c:pt>
                <c:pt idx="13">
                  <c:v>6.4232849999999999</c:v>
                </c:pt>
                <c:pt idx="14">
                  <c:v>6.4763700000000002</c:v>
                </c:pt>
                <c:pt idx="15">
                  <c:v>6.5294549999999996</c:v>
                </c:pt>
                <c:pt idx="16">
                  <c:v>6.5825399999999998</c:v>
                </c:pt>
                <c:pt idx="17">
                  <c:v>6.6356250000000001</c:v>
                </c:pt>
                <c:pt idx="18">
                  <c:v>6.6887100000000004</c:v>
                </c:pt>
                <c:pt idx="19">
                  <c:v>6.7417949999999998</c:v>
                </c:pt>
                <c:pt idx="20">
                  <c:v>6.79488</c:v>
                </c:pt>
                <c:pt idx="21">
                  <c:v>6.8479650000000003</c:v>
                </c:pt>
                <c:pt idx="22">
                  <c:v>6.9010499999999997</c:v>
                </c:pt>
                <c:pt idx="23">
                  <c:v>6.954135</c:v>
                </c:pt>
                <c:pt idx="24">
                  <c:v>7.0072200000000002</c:v>
                </c:pt>
                <c:pt idx="25">
                  <c:v>7.0603049999999996</c:v>
                </c:pt>
                <c:pt idx="26">
                  <c:v>7.1133899999999999</c:v>
                </c:pt>
                <c:pt idx="27">
                  <c:v>7.1664750000000002</c:v>
                </c:pt>
                <c:pt idx="28">
                  <c:v>7.2195600000000004</c:v>
                </c:pt>
              </c:numCache>
            </c:numRef>
          </c:val>
          <c:smooth val="0"/>
          <c:extLst>
            <c:ext xmlns:c16="http://schemas.microsoft.com/office/drawing/2014/chart" uri="{C3380CC4-5D6E-409C-BE32-E72D297353CC}">
              <c16:uniqueId val="{00000000-777A-4C7F-B7FC-BC8889EA70B4}"/>
            </c:ext>
          </c:extLst>
        </c:ser>
        <c:ser>
          <c:idx val="5"/>
          <c:order val="1"/>
          <c:tx>
            <c:strRef>
              <c:f>'Compliance Data'!$K$2:$M$2</c:f>
              <c:strCache>
                <c:ptCount val="1"/>
                <c:pt idx="0">
                  <c:v>RNG Tranche 1</c:v>
                </c:pt>
              </c:strCache>
            </c:strRef>
          </c:tx>
          <c:spPr>
            <a:ln w="28575" cap="rnd">
              <a:solidFill>
                <a:schemeClr val="accent6"/>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Data'!$M$4:$M$32</c:f>
              <c:numCache>
                <c:formatCode>_(* #,##0.00_);_(* \(#,##0.00\);_(* "-"??_);_(@_)</c:formatCode>
                <c:ptCount val="29"/>
                <c:pt idx="0">
                  <c:v>9.1859999999999999</c:v>
                </c:pt>
                <c:pt idx="1">
                  <c:v>10.097</c:v>
                </c:pt>
                <c:pt idx="2">
                  <c:v>11.236000000000001</c:v>
                </c:pt>
                <c:pt idx="3">
                  <c:v>10.804</c:v>
                </c:pt>
                <c:pt idx="4">
                  <c:v>11.374000000000001</c:v>
                </c:pt>
                <c:pt idx="5">
                  <c:v>11.423999999999999</c:v>
                </c:pt>
                <c:pt idx="6">
                  <c:v>11.368</c:v>
                </c:pt>
                <c:pt idx="7">
                  <c:v>11.327999999999999</c:v>
                </c:pt>
                <c:pt idx="8">
                  <c:v>11.337</c:v>
                </c:pt>
                <c:pt idx="9">
                  <c:v>11.319000000000001</c:v>
                </c:pt>
                <c:pt idx="10">
                  <c:v>11.303000000000001</c:v>
                </c:pt>
                <c:pt idx="11">
                  <c:v>11.204000000000001</c:v>
                </c:pt>
                <c:pt idx="12">
                  <c:v>11.250999999999999</c:v>
                </c:pt>
                <c:pt idx="13">
                  <c:v>11.278</c:v>
                </c:pt>
                <c:pt idx="14">
                  <c:v>11.257999999999999</c:v>
                </c:pt>
                <c:pt idx="15">
                  <c:v>11.252000000000001</c:v>
                </c:pt>
                <c:pt idx="16">
                  <c:v>11.255000000000001</c:v>
                </c:pt>
                <c:pt idx="17">
                  <c:v>11.231</c:v>
                </c:pt>
                <c:pt idx="18">
                  <c:v>11.090999999999999</c:v>
                </c:pt>
                <c:pt idx="19">
                  <c:v>11.041</c:v>
                </c:pt>
                <c:pt idx="20">
                  <c:v>11.015000000000001</c:v>
                </c:pt>
                <c:pt idx="21">
                  <c:v>10.9</c:v>
                </c:pt>
                <c:pt idx="22">
                  <c:v>10.872999999999999</c:v>
                </c:pt>
                <c:pt idx="23">
                  <c:v>10.722</c:v>
                </c:pt>
                <c:pt idx="24">
                  <c:v>10.581</c:v>
                </c:pt>
                <c:pt idx="25">
                  <c:v>10.574</c:v>
                </c:pt>
                <c:pt idx="26">
                  <c:v>10.573</c:v>
                </c:pt>
                <c:pt idx="27">
                  <c:v>10.522</c:v>
                </c:pt>
                <c:pt idx="28">
                  <c:v>10.455</c:v>
                </c:pt>
              </c:numCache>
            </c:numRef>
          </c:val>
          <c:smooth val="0"/>
          <c:extLst>
            <c:ext xmlns:c16="http://schemas.microsoft.com/office/drawing/2014/chart" uri="{C3380CC4-5D6E-409C-BE32-E72D297353CC}">
              <c16:uniqueId val="{00000001-777A-4C7F-B7FC-BC8889EA70B4}"/>
            </c:ext>
          </c:extLst>
        </c:ser>
        <c:ser>
          <c:idx val="1"/>
          <c:order val="2"/>
          <c:tx>
            <c:strRef>
              <c:f>'Compliance Data'!$P$2:$Q$2</c:f>
              <c:strCache>
                <c:ptCount val="1"/>
                <c:pt idx="0">
                  <c:v>RNG Tranche 2</c:v>
                </c:pt>
              </c:strCache>
            </c:strRef>
          </c:tx>
          <c:spPr>
            <a:ln w="28575" cap="rnd">
              <a:solidFill>
                <a:schemeClr val="accent6">
                  <a:lumMod val="75000"/>
                </a:schemeClr>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Data'!$R$4:$R$32</c:f>
              <c:numCache>
                <c:formatCode>_(* #,##0.00_);_(* \(#,##0.00\);_(* "-"??_);_(@_)</c:formatCode>
                <c:ptCount val="29"/>
                <c:pt idx="0">
                  <c:v>14.186</c:v>
                </c:pt>
                <c:pt idx="1">
                  <c:v>15.097</c:v>
                </c:pt>
                <c:pt idx="2">
                  <c:v>16.236000000000001</c:v>
                </c:pt>
                <c:pt idx="3">
                  <c:v>15.804</c:v>
                </c:pt>
                <c:pt idx="4">
                  <c:v>16.373999999999999</c:v>
                </c:pt>
                <c:pt idx="5">
                  <c:v>16.423999999999999</c:v>
                </c:pt>
                <c:pt idx="6">
                  <c:v>16.367999999999999</c:v>
                </c:pt>
                <c:pt idx="7">
                  <c:v>16.327999999999999</c:v>
                </c:pt>
                <c:pt idx="8">
                  <c:v>16.337</c:v>
                </c:pt>
                <c:pt idx="9">
                  <c:v>16.318999999999999</c:v>
                </c:pt>
                <c:pt idx="10">
                  <c:v>16.303000000000001</c:v>
                </c:pt>
                <c:pt idx="11">
                  <c:v>16.204000000000001</c:v>
                </c:pt>
                <c:pt idx="12">
                  <c:v>16.251000000000001</c:v>
                </c:pt>
                <c:pt idx="13">
                  <c:v>16.277999999999999</c:v>
                </c:pt>
                <c:pt idx="14">
                  <c:v>16.257999999999999</c:v>
                </c:pt>
                <c:pt idx="15">
                  <c:v>16.251999999999999</c:v>
                </c:pt>
                <c:pt idx="16">
                  <c:v>16.254999999999999</c:v>
                </c:pt>
                <c:pt idx="17">
                  <c:v>16.231000000000002</c:v>
                </c:pt>
                <c:pt idx="18">
                  <c:v>16.091000000000001</c:v>
                </c:pt>
                <c:pt idx="19">
                  <c:v>16.041</c:v>
                </c:pt>
                <c:pt idx="20">
                  <c:v>16.015000000000001</c:v>
                </c:pt>
                <c:pt idx="21">
                  <c:v>15.9</c:v>
                </c:pt>
                <c:pt idx="22">
                  <c:v>15.872999999999999</c:v>
                </c:pt>
                <c:pt idx="23">
                  <c:v>15.722</c:v>
                </c:pt>
                <c:pt idx="24">
                  <c:v>15.581</c:v>
                </c:pt>
                <c:pt idx="25">
                  <c:v>15.574</c:v>
                </c:pt>
                <c:pt idx="26">
                  <c:v>15.573</c:v>
                </c:pt>
                <c:pt idx="27">
                  <c:v>15.522</c:v>
                </c:pt>
                <c:pt idx="28">
                  <c:v>15.455</c:v>
                </c:pt>
              </c:numCache>
            </c:numRef>
          </c:val>
          <c:smooth val="0"/>
          <c:extLst>
            <c:ext xmlns:c16="http://schemas.microsoft.com/office/drawing/2014/chart" uri="{C3380CC4-5D6E-409C-BE32-E72D297353CC}">
              <c16:uniqueId val="{00000002-777A-4C7F-B7FC-BC8889EA70B4}"/>
            </c:ext>
          </c:extLst>
        </c:ser>
        <c:ser>
          <c:idx val="2"/>
          <c:order val="3"/>
          <c:tx>
            <c:strRef>
              <c:f>'Compliance Data'!$U$2:$W$2</c:f>
              <c:strCache>
                <c:ptCount val="1"/>
                <c:pt idx="0">
                  <c:v>Hydrogen</c:v>
                </c:pt>
              </c:strCache>
            </c:strRef>
          </c:tx>
          <c:spPr>
            <a:ln w="28575" cap="rnd">
              <a:solidFill>
                <a:srgbClr val="008AB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Data'!$W$4:$W$32</c:f>
              <c:numCache>
                <c:formatCode>_(* #,##0.00_);_(* \(#,##0.00\);_(* "-"??_);_(@_)</c:formatCode>
                <c:ptCount val="29"/>
                <c:pt idx="0">
                  <c:v>18.425999999999998</c:v>
                </c:pt>
                <c:pt idx="1">
                  <c:v>17.887</c:v>
                </c:pt>
                <c:pt idx="2">
                  <c:v>17.576000000000001</c:v>
                </c:pt>
                <c:pt idx="3">
                  <c:v>15.694000000000001</c:v>
                </c:pt>
                <c:pt idx="4">
                  <c:v>14.824</c:v>
                </c:pt>
                <c:pt idx="5">
                  <c:v>13.423999999999999</c:v>
                </c:pt>
                <c:pt idx="6">
                  <c:v>11.917999999999999</c:v>
                </c:pt>
                <c:pt idx="7">
                  <c:v>10.428000000000001</c:v>
                </c:pt>
                <c:pt idx="8">
                  <c:v>8.9870000000000001</c:v>
                </c:pt>
                <c:pt idx="9">
                  <c:v>8.6389999999999993</c:v>
                </c:pt>
                <c:pt idx="10">
                  <c:v>8.3030000000000008</c:v>
                </c:pt>
                <c:pt idx="11">
                  <c:v>7.8840000000000003</c:v>
                </c:pt>
                <c:pt idx="12">
                  <c:v>7.601</c:v>
                </c:pt>
                <c:pt idx="13">
                  <c:v>7.3079999999999998</c:v>
                </c:pt>
                <c:pt idx="14">
                  <c:v>6.9580000000000002</c:v>
                </c:pt>
                <c:pt idx="15">
                  <c:v>6.6319999999999997</c:v>
                </c:pt>
                <c:pt idx="16">
                  <c:v>6.3150000000000004</c:v>
                </c:pt>
                <c:pt idx="17">
                  <c:v>5.9610000000000003</c:v>
                </c:pt>
                <c:pt idx="18">
                  <c:v>5.5010000000000003</c:v>
                </c:pt>
                <c:pt idx="19">
                  <c:v>5.1210000000000004</c:v>
                </c:pt>
                <c:pt idx="20">
                  <c:v>4.7750000000000004</c:v>
                </c:pt>
                <c:pt idx="21">
                  <c:v>4.34</c:v>
                </c:pt>
                <c:pt idx="22">
                  <c:v>3.9830000000000001</c:v>
                </c:pt>
                <c:pt idx="23">
                  <c:v>3.512</c:v>
                </c:pt>
                <c:pt idx="24">
                  <c:v>3.0409999999999999</c:v>
                </c:pt>
                <c:pt idx="25">
                  <c:v>2.714</c:v>
                </c:pt>
                <c:pt idx="26">
                  <c:v>2.3929999999999998</c:v>
                </c:pt>
                <c:pt idx="27">
                  <c:v>2.012</c:v>
                </c:pt>
                <c:pt idx="28">
                  <c:v>1.625</c:v>
                </c:pt>
              </c:numCache>
            </c:numRef>
          </c:val>
          <c:smooth val="0"/>
          <c:extLst>
            <c:ext xmlns:c16="http://schemas.microsoft.com/office/drawing/2014/chart" uri="{C3380CC4-5D6E-409C-BE32-E72D297353CC}">
              <c16:uniqueId val="{00000003-777A-4C7F-B7FC-BC8889EA70B4}"/>
            </c:ext>
          </c:extLst>
        </c:ser>
        <c:ser>
          <c:idx val="3"/>
          <c:order val="4"/>
          <c:tx>
            <c:strRef>
              <c:f>'Compliance Data'!$Z$2:$AB$2</c:f>
              <c:strCache>
                <c:ptCount val="1"/>
                <c:pt idx="0">
                  <c:v>Synthetic Methane</c:v>
                </c:pt>
              </c:strCache>
            </c:strRef>
          </c:tx>
          <c:spPr>
            <a:ln w="28575" cap="rnd">
              <a:solidFill>
                <a:srgbClr val="005480"/>
              </a:solidFill>
              <a:round/>
            </a:ln>
            <a:effectLst/>
          </c:spPr>
          <c:marker>
            <c:symbol val="none"/>
          </c:marker>
          <c:cat>
            <c:numRef>
              <c:f>'Compliance Data'!$BH$4:$BH$32</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'Compliance Data'!$AB$4:$AB$32</c:f>
              <c:numCache>
                <c:formatCode>_(* #,##0.00_);_(* \(#,##0.00\);_(* "-"??_);_(@_)</c:formatCode>
                <c:ptCount val="29"/>
                <c:pt idx="0">
                  <c:v>25.797000000000001</c:v>
                </c:pt>
                <c:pt idx="1">
                  <c:v>25.146000000000001</c:v>
                </c:pt>
                <c:pt idx="2">
                  <c:v>24.722999999999999</c:v>
                </c:pt>
                <c:pt idx="3">
                  <c:v>22.728000000000002</c:v>
                </c:pt>
                <c:pt idx="4">
                  <c:v>21.736999999999998</c:v>
                </c:pt>
                <c:pt idx="5">
                  <c:v>20.224</c:v>
                </c:pt>
                <c:pt idx="6">
                  <c:v>18.606000000000002</c:v>
                </c:pt>
                <c:pt idx="7">
                  <c:v>17.004000000000001</c:v>
                </c:pt>
                <c:pt idx="8">
                  <c:v>15.451000000000001</c:v>
                </c:pt>
                <c:pt idx="9">
                  <c:v>14.996</c:v>
                </c:pt>
                <c:pt idx="10">
                  <c:v>14.544</c:v>
                </c:pt>
                <c:pt idx="11">
                  <c:v>14.007999999999999</c:v>
                </c:pt>
                <c:pt idx="12">
                  <c:v>13.617000000000001</c:v>
                </c:pt>
                <c:pt idx="13">
                  <c:v>13.208</c:v>
                </c:pt>
                <c:pt idx="14">
                  <c:v>12.750999999999999</c:v>
                </c:pt>
                <c:pt idx="15">
                  <c:v>12.308</c:v>
                </c:pt>
                <c:pt idx="16">
                  <c:v>11.874000000000001</c:v>
                </c:pt>
                <c:pt idx="17">
                  <c:v>11.414</c:v>
                </c:pt>
                <c:pt idx="18">
                  <c:v>10.836</c:v>
                </c:pt>
                <c:pt idx="19">
                  <c:v>10.35</c:v>
                </c:pt>
                <c:pt idx="20">
                  <c:v>9.8870000000000005</c:v>
                </c:pt>
                <c:pt idx="21">
                  <c:v>9.3360000000000003</c:v>
                </c:pt>
                <c:pt idx="22">
                  <c:v>8.8710000000000004</c:v>
                </c:pt>
                <c:pt idx="23">
                  <c:v>8.2829999999999995</c:v>
                </c:pt>
                <c:pt idx="24">
                  <c:v>7.7060000000000004</c:v>
                </c:pt>
                <c:pt idx="25">
                  <c:v>7.2619999999999996</c:v>
                </c:pt>
                <c:pt idx="26">
                  <c:v>6.8239999999999998</c:v>
                </c:pt>
                <c:pt idx="27">
                  <c:v>6.3360000000000003</c:v>
                </c:pt>
                <c:pt idx="28">
                  <c:v>5.8319999999999999</c:v>
                </c:pt>
              </c:numCache>
            </c:numRef>
          </c:val>
          <c:smooth val="0"/>
          <c:extLst>
            <c:ext xmlns:c16="http://schemas.microsoft.com/office/drawing/2014/chart" uri="{C3380CC4-5D6E-409C-BE32-E72D297353CC}">
              <c16:uniqueId val="{00000004-777A-4C7F-B7FC-BC8889EA70B4}"/>
            </c:ext>
          </c:extLst>
        </c:ser>
        <c:dLbls>
          <c:showLegendKey val="0"/>
          <c:showVal val="0"/>
          <c:showCatName val="0"/>
          <c:showSerName val="0"/>
          <c:showPercent val="0"/>
          <c:showBubbleSize val="0"/>
        </c:dLbls>
        <c:smooth val="0"/>
        <c:axId val="912597695"/>
        <c:axId val="912598111"/>
      </c:lineChart>
      <c:catAx>
        <c:axId val="912597695"/>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12598111"/>
        <c:crosses val="autoZero"/>
        <c:auto val="1"/>
        <c:lblAlgn val="ctr"/>
        <c:lblOffset val="100"/>
        <c:tickLblSkip val="3"/>
        <c:noMultiLvlLbl val="0"/>
      </c:catAx>
      <c:valAx>
        <c:axId val="9125981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sz="1100">
                    <a:solidFill>
                      <a:schemeClr val="tx1"/>
                    </a:solidFill>
                  </a:rPr>
                  <a:t>2021 $ / MMBtu</a:t>
                </a:r>
              </a:p>
            </c:rich>
          </c:tx>
          <c:layout>
            <c:manualLayout>
              <c:xMode val="edge"/>
              <c:yMode val="edge"/>
              <c:x val="4.2735042735042739E-3"/>
              <c:y val="0.3412195350581177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_(* #,##0.00_);_(* \(#,##0.00\);_(* &quot;-&quot;??_);_(@_)" sourceLinked="1"/>
        <c:majorTickMark val="out"/>
        <c:minorTickMark val="none"/>
        <c:tickLblPos val="nextTo"/>
        <c:spPr>
          <a:noFill/>
          <a:ln>
            <a:solidFill>
              <a:schemeClr val="bg2"/>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12597695"/>
        <c:crosses val="autoZero"/>
        <c:crossBetween val="midCat"/>
      </c:valAx>
      <c:spPr>
        <a:noFill/>
        <a:ln>
          <a:solidFill>
            <a:schemeClr val="bg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07842979398298E-2"/>
          <c:y val="0.1191367916919403"/>
          <c:w val="0.81403436033265442"/>
          <c:h val="0.71266518008415802"/>
        </c:manualLayout>
      </c:layout>
      <c:lineChart>
        <c:grouping val="standard"/>
        <c:varyColors val="0"/>
        <c:ser>
          <c:idx val="5"/>
          <c:order val="0"/>
          <c:tx>
            <c:strRef>
              <c:f>'Compliance Data'!$K$2:$M$2</c:f>
              <c:strCache>
                <c:ptCount val="1"/>
                <c:pt idx="0">
                  <c:v>RNG Tranche 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Data'!$M$4:$M$32</c15:sqref>
                  </c15:fullRef>
                </c:ext>
              </c:extLst>
              <c:f>'Compliance Data'!$M$5:$M$32</c:f>
              <c:numCache>
                <c:formatCode>_(* #,##0.00_);_(* \(#,##0.00\);_(* "-"??_);_(@_)</c:formatCode>
                <c:ptCount val="28"/>
                <c:pt idx="0">
                  <c:v>10.097</c:v>
                </c:pt>
                <c:pt idx="1">
                  <c:v>11.236000000000001</c:v>
                </c:pt>
                <c:pt idx="2">
                  <c:v>10.804</c:v>
                </c:pt>
                <c:pt idx="3">
                  <c:v>11.374000000000001</c:v>
                </c:pt>
                <c:pt idx="4">
                  <c:v>11.423999999999999</c:v>
                </c:pt>
                <c:pt idx="5">
                  <c:v>11.368</c:v>
                </c:pt>
                <c:pt idx="6">
                  <c:v>11.327999999999999</c:v>
                </c:pt>
                <c:pt idx="7">
                  <c:v>11.337</c:v>
                </c:pt>
                <c:pt idx="8">
                  <c:v>11.319000000000001</c:v>
                </c:pt>
                <c:pt idx="9">
                  <c:v>11.303000000000001</c:v>
                </c:pt>
                <c:pt idx="10">
                  <c:v>11.204000000000001</c:v>
                </c:pt>
                <c:pt idx="11">
                  <c:v>11.250999999999999</c:v>
                </c:pt>
                <c:pt idx="12">
                  <c:v>11.278</c:v>
                </c:pt>
                <c:pt idx="13">
                  <c:v>11.257999999999999</c:v>
                </c:pt>
                <c:pt idx="14">
                  <c:v>11.252000000000001</c:v>
                </c:pt>
                <c:pt idx="15">
                  <c:v>11.255000000000001</c:v>
                </c:pt>
                <c:pt idx="16">
                  <c:v>11.231</c:v>
                </c:pt>
                <c:pt idx="17">
                  <c:v>11.090999999999999</c:v>
                </c:pt>
                <c:pt idx="18">
                  <c:v>11.041</c:v>
                </c:pt>
                <c:pt idx="19">
                  <c:v>11.015000000000001</c:v>
                </c:pt>
                <c:pt idx="20">
                  <c:v>10.9</c:v>
                </c:pt>
                <c:pt idx="21">
                  <c:v>10.872999999999999</c:v>
                </c:pt>
                <c:pt idx="22">
                  <c:v>10.722</c:v>
                </c:pt>
                <c:pt idx="23">
                  <c:v>10.581</c:v>
                </c:pt>
                <c:pt idx="24">
                  <c:v>10.574</c:v>
                </c:pt>
                <c:pt idx="25">
                  <c:v>10.573</c:v>
                </c:pt>
                <c:pt idx="26">
                  <c:v>10.522</c:v>
                </c:pt>
                <c:pt idx="27">
                  <c:v>10.455</c:v>
                </c:pt>
              </c:numCache>
            </c:numRef>
          </c:val>
          <c:smooth val="0"/>
          <c:extLst>
            <c:ext xmlns:c16="http://schemas.microsoft.com/office/drawing/2014/chart" uri="{C3380CC4-5D6E-409C-BE32-E72D297353CC}">
              <c16:uniqueId val="{00000000-2663-43E2-B6DB-08131E785BF7}"/>
            </c:ext>
          </c:extLst>
        </c:ser>
        <c:ser>
          <c:idx val="1"/>
          <c:order val="1"/>
          <c:tx>
            <c:strRef>
              <c:f>'Compliance Data'!$P$2:$Q$2</c:f>
              <c:strCache>
                <c:ptCount val="1"/>
                <c:pt idx="0">
                  <c:v>RNG Tranche 2</c:v>
                </c:pt>
              </c:strCache>
            </c:strRef>
          </c:tx>
          <c:spPr>
            <a:ln w="28575" cap="rnd">
              <a:solidFill>
                <a:schemeClr val="accent6">
                  <a:lumMod val="75000"/>
                </a:schemeClr>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Data'!$R$4:$R$32</c15:sqref>
                  </c15:fullRef>
                </c:ext>
              </c:extLst>
              <c:f>'Compliance Data'!$R$5:$R$32</c:f>
              <c:numCache>
                <c:formatCode>_(* #,##0.00_);_(* \(#,##0.00\);_(* "-"??_);_(@_)</c:formatCode>
                <c:ptCount val="28"/>
                <c:pt idx="0">
                  <c:v>15.097</c:v>
                </c:pt>
                <c:pt idx="1">
                  <c:v>16.236000000000001</c:v>
                </c:pt>
                <c:pt idx="2">
                  <c:v>15.804</c:v>
                </c:pt>
                <c:pt idx="3">
                  <c:v>16.373999999999999</c:v>
                </c:pt>
                <c:pt idx="4">
                  <c:v>16.423999999999999</c:v>
                </c:pt>
                <c:pt idx="5">
                  <c:v>16.367999999999999</c:v>
                </c:pt>
                <c:pt idx="6">
                  <c:v>16.327999999999999</c:v>
                </c:pt>
                <c:pt idx="7">
                  <c:v>16.337</c:v>
                </c:pt>
                <c:pt idx="8">
                  <c:v>16.318999999999999</c:v>
                </c:pt>
                <c:pt idx="9">
                  <c:v>16.303000000000001</c:v>
                </c:pt>
                <c:pt idx="10">
                  <c:v>16.204000000000001</c:v>
                </c:pt>
                <c:pt idx="11">
                  <c:v>16.251000000000001</c:v>
                </c:pt>
                <c:pt idx="12">
                  <c:v>16.277999999999999</c:v>
                </c:pt>
                <c:pt idx="13">
                  <c:v>16.257999999999999</c:v>
                </c:pt>
                <c:pt idx="14">
                  <c:v>16.251999999999999</c:v>
                </c:pt>
                <c:pt idx="15">
                  <c:v>16.254999999999999</c:v>
                </c:pt>
                <c:pt idx="16">
                  <c:v>16.231000000000002</c:v>
                </c:pt>
                <c:pt idx="17">
                  <c:v>16.091000000000001</c:v>
                </c:pt>
                <c:pt idx="18">
                  <c:v>16.041</c:v>
                </c:pt>
                <c:pt idx="19">
                  <c:v>16.015000000000001</c:v>
                </c:pt>
                <c:pt idx="20">
                  <c:v>15.9</c:v>
                </c:pt>
                <c:pt idx="21">
                  <c:v>15.872999999999999</c:v>
                </c:pt>
                <c:pt idx="22">
                  <c:v>15.722</c:v>
                </c:pt>
                <c:pt idx="23">
                  <c:v>15.581</c:v>
                </c:pt>
                <c:pt idx="24">
                  <c:v>15.574</c:v>
                </c:pt>
                <c:pt idx="25">
                  <c:v>15.573</c:v>
                </c:pt>
                <c:pt idx="26">
                  <c:v>15.522</c:v>
                </c:pt>
                <c:pt idx="27">
                  <c:v>15.455</c:v>
                </c:pt>
              </c:numCache>
            </c:numRef>
          </c:val>
          <c:smooth val="0"/>
          <c:extLst>
            <c:ext xmlns:c16="http://schemas.microsoft.com/office/drawing/2014/chart" uri="{C3380CC4-5D6E-409C-BE32-E72D297353CC}">
              <c16:uniqueId val="{00000001-2663-43E2-B6DB-08131E785BF7}"/>
            </c:ext>
          </c:extLst>
        </c:ser>
        <c:ser>
          <c:idx val="2"/>
          <c:order val="2"/>
          <c:tx>
            <c:strRef>
              <c:f>'Compliance Data'!$U$2:$W$2</c:f>
              <c:strCache>
                <c:ptCount val="1"/>
                <c:pt idx="0">
                  <c:v>Hydrogen</c:v>
                </c:pt>
              </c:strCache>
            </c:strRef>
          </c:tx>
          <c:spPr>
            <a:ln w="28575" cap="rnd">
              <a:solidFill>
                <a:srgbClr val="008AB0"/>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Data'!$W$4:$W$32</c15:sqref>
                  </c15:fullRef>
                </c:ext>
              </c:extLst>
              <c:f>'Compliance Data'!$W$5:$W$32</c:f>
              <c:numCache>
                <c:formatCode>_(* #,##0.00_);_(* \(#,##0.00\);_(* "-"??_);_(@_)</c:formatCode>
                <c:ptCount val="28"/>
                <c:pt idx="0">
                  <c:v>17.887</c:v>
                </c:pt>
                <c:pt idx="1">
                  <c:v>17.576000000000001</c:v>
                </c:pt>
                <c:pt idx="2">
                  <c:v>15.694000000000001</c:v>
                </c:pt>
                <c:pt idx="3">
                  <c:v>14.824</c:v>
                </c:pt>
                <c:pt idx="4">
                  <c:v>13.423999999999999</c:v>
                </c:pt>
                <c:pt idx="5">
                  <c:v>11.917999999999999</c:v>
                </c:pt>
                <c:pt idx="6">
                  <c:v>10.428000000000001</c:v>
                </c:pt>
                <c:pt idx="7">
                  <c:v>8.9870000000000001</c:v>
                </c:pt>
                <c:pt idx="8">
                  <c:v>8.6389999999999993</c:v>
                </c:pt>
                <c:pt idx="9">
                  <c:v>8.3030000000000008</c:v>
                </c:pt>
                <c:pt idx="10">
                  <c:v>7.8840000000000003</c:v>
                </c:pt>
                <c:pt idx="11">
                  <c:v>7.601</c:v>
                </c:pt>
                <c:pt idx="12">
                  <c:v>7.3079999999999998</c:v>
                </c:pt>
                <c:pt idx="13">
                  <c:v>6.9580000000000002</c:v>
                </c:pt>
                <c:pt idx="14">
                  <c:v>6.6319999999999997</c:v>
                </c:pt>
                <c:pt idx="15">
                  <c:v>6.3150000000000004</c:v>
                </c:pt>
                <c:pt idx="16">
                  <c:v>5.9610000000000003</c:v>
                </c:pt>
                <c:pt idx="17">
                  <c:v>5.5010000000000003</c:v>
                </c:pt>
                <c:pt idx="18">
                  <c:v>5.1210000000000004</c:v>
                </c:pt>
                <c:pt idx="19">
                  <c:v>4.7750000000000004</c:v>
                </c:pt>
                <c:pt idx="20">
                  <c:v>4.34</c:v>
                </c:pt>
                <c:pt idx="21">
                  <c:v>3.9830000000000001</c:v>
                </c:pt>
                <c:pt idx="22">
                  <c:v>3.512</c:v>
                </c:pt>
                <c:pt idx="23">
                  <c:v>3.0409999999999999</c:v>
                </c:pt>
                <c:pt idx="24">
                  <c:v>2.714</c:v>
                </c:pt>
                <c:pt idx="25">
                  <c:v>2.3929999999999998</c:v>
                </c:pt>
                <c:pt idx="26">
                  <c:v>2.012</c:v>
                </c:pt>
                <c:pt idx="27">
                  <c:v>1.625</c:v>
                </c:pt>
              </c:numCache>
            </c:numRef>
          </c:val>
          <c:smooth val="0"/>
          <c:extLst>
            <c:ext xmlns:c16="http://schemas.microsoft.com/office/drawing/2014/chart" uri="{C3380CC4-5D6E-409C-BE32-E72D297353CC}">
              <c16:uniqueId val="{00000002-2663-43E2-B6DB-08131E785BF7}"/>
            </c:ext>
          </c:extLst>
        </c:ser>
        <c:ser>
          <c:idx val="3"/>
          <c:order val="3"/>
          <c:tx>
            <c:strRef>
              <c:f>'Compliance Data'!$Z$2:$AB$2</c:f>
              <c:strCache>
                <c:ptCount val="1"/>
                <c:pt idx="0">
                  <c:v>Synthetic Methane</c:v>
                </c:pt>
              </c:strCache>
            </c:strRef>
          </c:tx>
          <c:spPr>
            <a:ln w="28575" cap="rnd">
              <a:solidFill>
                <a:srgbClr val="005480"/>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Data'!$AB$4:$AB$32</c15:sqref>
                  </c15:fullRef>
                </c:ext>
              </c:extLst>
              <c:f>'Compliance Data'!$AB$5:$AB$32</c:f>
              <c:numCache>
                <c:formatCode>_(* #,##0.00_);_(* \(#,##0.00\);_(* "-"??_);_(@_)</c:formatCode>
                <c:ptCount val="28"/>
                <c:pt idx="0">
                  <c:v>25.146000000000001</c:v>
                </c:pt>
                <c:pt idx="1">
                  <c:v>24.722999999999999</c:v>
                </c:pt>
                <c:pt idx="2">
                  <c:v>22.728000000000002</c:v>
                </c:pt>
                <c:pt idx="3">
                  <c:v>21.736999999999998</c:v>
                </c:pt>
                <c:pt idx="4">
                  <c:v>20.224</c:v>
                </c:pt>
                <c:pt idx="5">
                  <c:v>18.606000000000002</c:v>
                </c:pt>
                <c:pt idx="6">
                  <c:v>17.004000000000001</c:v>
                </c:pt>
                <c:pt idx="7">
                  <c:v>15.451000000000001</c:v>
                </c:pt>
                <c:pt idx="8">
                  <c:v>14.996</c:v>
                </c:pt>
                <c:pt idx="9">
                  <c:v>14.544</c:v>
                </c:pt>
                <c:pt idx="10">
                  <c:v>14.007999999999999</c:v>
                </c:pt>
                <c:pt idx="11">
                  <c:v>13.617000000000001</c:v>
                </c:pt>
                <c:pt idx="12">
                  <c:v>13.208</c:v>
                </c:pt>
                <c:pt idx="13">
                  <c:v>12.750999999999999</c:v>
                </c:pt>
                <c:pt idx="14">
                  <c:v>12.308</c:v>
                </c:pt>
                <c:pt idx="15">
                  <c:v>11.874000000000001</c:v>
                </c:pt>
                <c:pt idx="16">
                  <c:v>11.414</c:v>
                </c:pt>
                <c:pt idx="17">
                  <c:v>10.836</c:v>
                </c:pt>
                <c:pt idx="18">
                  <c:v>10.35</c:v>
                </c:pt>
                <c:pt idx="19">
                  <c:v>9.8870000000000005</c:v>
                </c:pt>
                <c:pt idx="20">
                  <c:v>9.3360000000000003</c:v>
                </c:pt>
                <c:pt idx="21">
                  <c:v>8.8710000000000004</c:v>
                </c:pt>
                <c:pt idx="22">
                  <c:v>8.2829999999999995</c:v>
                </c:pt>
                <c:pt idx="23">
                  <c:v>7.7060000000000004</c:v>
                </c:pt>
                <c:pt idx="24">
                  <c:v>7.2619999999999996</c:v>
                </c:pt>
                <c:pt idx="25">
                  <c:v>6.8239999999999998</c:v>
                </c:pt>
                <c:pt idx="26">
                  <c:v>6.3360000000000003</c:v>
                </c:pt>
                <c:pt idx="27">
                  <c:v>5.8319999999999999</c:v>
                </c:pt>
              </c:numCache>
            </c:numRef>
          </c:val>
          <c:smooth val="0"/>
          <c:extLst>
            <c:ext xmlns:c16="http://schemas.microsoft.com/office/drawing/2014/chart" uri="{C3380CC4-5D6E-409C-BE32-E72D297353CC}">
              <c16:uniqueId val="{00000003-2663-43E2-B6DB-08131E785BF7}"/>
            </c:ext>
          </c:extLst>
        </c:ser>
        <c:ser>
          <c:idx val="4"/>
          <c:order val="4"/>
          <c:tx>
            <c:strRef>
              <c:f>'Compliance Data'!$BR$2:$BT$2</c:f>
              <c:strCache>
                <c:ptCount val="1"/>
                <c:pt idx="0">
                  <c:v>Offsets</c:v>
                </c:pt>
              </c:strCache>
            </c:strRef>
          </c:tx>
          <c:spPr>
            <a:ln w="28575" cap="rnd">
              <a:solidFill>
                <a:srgbClr val="9E5ECE"/>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Data'!$BS$4:$BS$32</c15:sqref>
                  </c15:fullRef>
                </c:ext>
              </c:extLst>
              <c:f>'Compliance Data'!$BS$5:$BS$32</c:f>
              <c:numCache>
                <c:formatCode>_(* #,##0.00_);_(* \(#,##0.00\);_(* "-"??_);_(@_)</c:formatCode>
                <c:ptCount val="28"/>
                <c:pt idx="0">
                  <c:v>0.63</c:v>
                </c:pt>
                <c:pt idx="1">
                  <c:v>0.68500000000000005</c:v>
                </c:pt>
                <c:pt idx="2">
                  <c:v>0.74299999999999999</c:v>
                </c:pt>
                <c:pt idx="3">
                  <c:v>0.79600000000000004</c:v>
                </c:pt>
                <c:pt idx="4">
                  <c:v>0.86499999999999999</c:v>
                </c:pt>
                <c:pt idx="5">
                  <c:v>0.91700000000000004</c:v>
                </c:pt>
                <c:pt idx="6">
                  <c:v>0.97799999999999998</c:v>
                </c:pt>
                <c:pt idx="7">
                  <c:v>1.0409999999999999</c:v>
                </c:pt>
                <c:pt idx="8">
                  <c:v>1.133</c:v>
                </c:pt>
                <c:pt idx="9">
                  <c:v>1.218</c:v>
                </c:pt>
                <c:pt idx="10">
                  <c:v>1.306</c:v>
                </c:pt>
                <c:pt idx="11">
                  <c:v>1.4179999999999999</c:v>
                </c:pt>
                <c:pt idx="12">
                  <c:v>1.532</c:v>
                </c:pt>
                <c:pt idx="13">
                  <c:v>1.6619999999999999</c:v>
                </c:pt>
                <c:pt idx="14">
                  <c:v>1.8140000000000001</c:v>
                </c:pt>
                <c:pt idx="15">
                  <c:v>1.964</c:v>
                </c:pt>
                <c:pt idx="16">
                  <c:v>2.1389999999999998</c:v>
                </c:pt>
                <c:pt idx="17">
                  <c:v>2.3370000000000002</c:v>
                </c:pt>
                <c:pt idx="18">
                  <c:v>2.5</c:v>
                </c:pt>
                <c:pt idx="19">
                  <c:v>2.714</c:v>
                </c:pt>
                <c:pt idx="20">
                  <c:v>2.9279999999999999</c:v>
                </c:pt>
                <c:pt idx="21">
                  <c:v>3.181</c:v>
                </c:pt>
                <c:pt idx="22">
                  <c:v>3.4129999999999998</c:v>
                </c:pt>
                <c:pt idx="23">
                  <c:v>3.64</c:v>
                </c:pt>
                <c:pt idx="24">
                  <c:v>3.911</c:v>
                </c:pt>
                <c:pt idx="25">
                  <c:v>4.1550000000000002</c:v>
                </c:pt>
                <c:pt idx="26">
                  <c:v>4.4749999999999996</c:v>
                </c:pt>
                <c:pt idx="27">
                  <c:v>4.8310000000000004</c:v>
                </c:pt>
              </c:numCache>
            </c:numRef>
          </c:val>
          <c:smooth val="0"/>
          <c:extLst>
            <c:ext xmlns:c16="http://schemas.microsoft.com/office/drawing/2014/chart" uri="{C3380CC4-5D6E-409C-BE32-E72D297353CC}">
              <c16:uniqueId val="{00000004-2663-43E2-B6DB-08131E785BF7}"/>
            </c:ext>
          </c:extLst>
        </c:ser>
        <c:ser>
          <c:idx val="6"/>
          <c:order val="5"/>
          <c:tx>
            <c:strRef>
              <c:f>'Compliance Data'!$BN$2:$BQ$2</c:f>
              <c:strCache>
                <c:ptCount val="1"/>
                <c:pt idx="0">
                  <c:v>Purchased Allowances</c:v>
                </c:pt>
              </c:strCache>
            </c:strRef>
          </c:tx>
          <c:spPr>
            <a:ln w="28575" cap="rnd">
              <a:solidFill>
                <a:schemeClr val="accent4">
                  <a:lumMod val="40000"/>
                  <a:lumOff val="60000"/>
                </a:schemeClr>
              </a:solidFill>
              <a:round/>
            </a:ln>
            <a:effectLst/>
          </c:spPr>
          <c:marker>
            <c:symbol val="none"/>
          </c:marker>
          <c:cat>
            <c:numRef>
              <c:extLst>
                <c:ext xmlns:c15="http://schemas.microsoft.com/office/drawing/2012/chart" uri="{02D57815-91ED-43cb-92C2-25804820EDAC}">
                  <c15:fullRef>
                    <c15:sqref>'Compliance Data'!$BH$4:$BH$32</c15:sqref>
                  </c15:fullRef>
                </c:ext>
              </c:extLst>
              <c:f>'Compliance Data'!$BH$5:$BH$32</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extLst>
                <c:ext xmlns:c15="http://schemas.microsoft.com/office/drawing/2012/chart" uri="{02D57815-91ED-43cb-92C2-25804820EDAC}">
                  <c15:fullRef>
                    <c15:sqref>'Compliance Data'!$BO$4:$BO$32</c15:sqref>
                  </c15:fullRef>
                </c:ext>
              </c:extLst>
              <c:f>'Compliance Data'!$BO$5:$BO$32</c:f>
              <c:numCache>
                <c:formatCode>_(* #,##0.00_);_(* \(#,##0.00\);_(* "-"??_);_(@_)</c:formatCode>
                <c:ptCount val="28"/>
                <c:pt idx="0">
                  <c:v>1.6672001480120395</c:v>
                </c:pt>
                <c:pt idx="1">
                  <c:v>1.8303953216936328</c:v>
                </c:pt>
                <c:pt idx="2">
                  <c:v>2.0091600721673259</c:v>
                </c:pt>
                <c:pt idx="3">
                  <c:v>2.2039704688009323</c:v>
                </c:pt>
                <c:pt idx="4">
                  <c:v>2.4147228209427172</c:v>
                </c:pt>
                <c:pt idx="5">
                  <c:v>2.6435055074141016</c:v>
                </c:pt>
                <c:pt idx="6">
                  <c:v>2.8936658050138946</c:v>
                </c:pt>
                <c:pt idx="7">
                  <c:v>3.1670094520501597</c:v>
                </c:pt>
                <c:pt idx="8">
                  <c:v>3.4696024846318703</c:v>
                </c:pt>
                <c:pt idx="9">
                  <c:v>3.8016643807416939</c:v>
                </c:pt>
                <c:pt idx="10">
                  <c:v>4.1657946983243246</c:v>
                </c:pt>
                <c:pt idx="11">
                  <c:v>4.5654558835919028</c:v>
                </c:pt>
                <c:pt idx="12">
                  <c:v>5.0035008741682265</c:v>
                </c:pt>
                <c:pt idx="13">
                  <c:v>5.1473793563843691</c:v>
                </c:pt>
                <c:pt idx="14">
                  <c:v>5.2963381923007766</c:v>
                </c:pt>
                <c:pt idx="15">
                  <c:v>5.4493081891352544</c:v>
                </c:pt>
                <c:pt idx="16">
                  <c:v>5.606890825278958</c:v>
                </c:pt>
                <c:pt idx="17">
                  <c:v>5.7675826620899597</c:v>
                </c:pt>
                <c:pt idx="18">
                  <c:v>5.935130766850258</c:v>
                </c:pt>
                <c:pt idx="19">
                  <c:v>6.1052609366481567</c:v>
                </c:pt>
                <c:pt idx="20">
                  <c:v>6.2788338222861402</c:v>
                </c:pt>
                <c:pt idx="21">
                  <c:v>6.4570478846612929</c:v>
                </c:pt>
                <c:pt idx="22">
                  <c:v>6.6405150868084322</c:v>
                </c:pt>
                <c:pt idx="23">
                  <c:v>6.8289022097138705</c:v>
                </c:pt>
                <c:pt idx="24">
                  <c:v>7.0221809990540507</c:v>
                </c:pt>
                <c:pt idx="25">
                  <c:v>7.2198931009350886</c:v>
                </c:pt>
                <c:pt idx="26">
                  <c:v>7.4222972772007143</c:v>
                </c:pt>
                <c:pt idx="27">
                  <c:v>7.6285297110405814</c:v>
                </c:pt>
              </c:numCache>
            </c:numRef>
          </c:val>
          <c:smooth val="0"/>
          <c:extLst>
            <c:ext xmlns:c16="http://schemas.microsoft.com/office/drawing/2014/chart" uri="{C3380CC4-5D6E-409C-BE32-E72D297353CC}">
              <c16:uniqueId val="{00000005-2663-43E2-B6DB-08131E785BF7}"/>
            </c:ext>
          </c:extLst>
        </c:ser>
        <c:ser>
          <c:idx val="7"/>
          <c:order val="6"/>
          <c:tx>
            <c:strRef>
              <c:f>'Compliance Data'!$BP$3</c:f>
              <c:strCache>
                <c:ptCount val="1"/>
                <c:pt idx="0">
                  <c:v>Max(SSC, Allowance Price)</c:v>
                </c:pt>
              </c:strCache>
            </c:strRef>
          </c:tx>
          <c:spPr>
            <a:ln w="28575" cap="rnd">
              <a:solidFill>
                <a:schemeClr val="accent2">
                  <a:lumMod val="60000"/>
                </a:schemeClr>
              </a:solidFill>
              <a:round/>
            </a:ln>
            <a:effectLst/>
          </c:spPr>
          <c:marker>
            <c:symbol val="none"/>
          </c:marker>
          <c:cat>
            <c:strLit>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'Compliance Data'!$BP$4:$BP$32</c15:sqref>
                  </c15:fullRef>
                </c:ext>
              </c:extLst>
              <c:f>'Compliance Data'!$BP$5:$BP$32</c:f>
              <c:numCache>
                <c:formatCode>General</c:formatCode>
                <c:ptCount val="28"/>
                <c:pt idx="0">
                  <c:v>5.22</c:v>
                </c:pt>
                <c:pt idx="1">
                  <c:v>5.32</c:v>
                </c:pt>
                <c:pt idx="2">
                  <c:v>5.43</c:v>
                </c:pt>
                <c:pt idx="3">
                  <c:v>5.51</c:v>
                </c:pt>
                <c:pt idx="4">
                  <c:v>5.59</c:v>
                </c:pt>
                <c:pt idx="5">
                  <c:v>5.67</c:v>
                </c:pt>
                <c:pt idx="6">
                  <c:v>5.75</c:v>
                </c:pt>
                <c:pt idx="7">
                  <c:v>5.83</c:v>
                </c:pt>
                <c:pt idx="8">
                  <c:v>5.91</c:v>
                </c:pt>
                <c:pt idx="9">
                  <c:v>5.99</c:v>
                </c:pt>
                <c:pt idx="10">
                  <c:v>6.06</c:v>
                </c:pt>
                <c:pt idx="11">
                  <c:v>6.14</c:v>
                </c:pt>
                <c:pt idx="12">
                  <c:v>6.22</c:v>
                </c:pt>
                <c:pt idx="13">
                  <c:v>6.31</c:v>
                </c:pt>
                <c:pt idx="14">
                  <c:v>6.4</c:v>
                </c:pt>
                <c:pt idx="15">
                  <c:v>6.49</c:v>
                </c:pt>
                <c:pt idx="16">
                  <c:v>6.58</c:v>
                </c:pt>
                <c:pt idx="17">
                  <c:v>6.67</c:v>
                </c:pt>
                <c:pt idx="18">
                  <c:v>6.75</c:v>
                </c:pt>
                <c:pt idx="19">
                  <c:v>6.82</c:v>
                </c:pt>
                <c:pt idx="20">
                  <c:v>6.9</c:v>
                </c:pt>
                <c:pt idx="21">
                  <c:v>6.98</c:v>
                </c:pt>
                <c:pt idx="22">
                  <c:v>7.06</c:v>
                </c:pt>
                <c:pt idx="23">
                  <c:v>7.15</c:v>
                </c:pt>
                <c:pt idx="24">
                  <c:v>7.24</c:v>
                </c:pt>
                <c:pt idx="25">
                  <c:v>7.33</c:v>
                </c:pt>
                <c:pt idx="26">
                  <c:v>7.42</c:v>
                </c:pt>
                <c:pt idx="27" formatCode="_(* #,##0.00_);_(* \(#,##0.00\);_(* &quot;-&quot;??_);_(@_)">
                  <c:v>7.63</c:v>
                </c:pt>
              </c:numCache>
            </c:numRef>
          </c:val>
          <c:smooth val="0"/>
          <c:extLst>
            <c:ext xmlns:c16="http://schemas.microsoft.com/office/drawing/2014/chart" uri="{C3380CC4-5D6E-409C-BE32-E72D297353CC}">
              <c16:uniqueId val="{00000006-2663-43E2-B6DB-08131E785BF7}"/>
            </c:ext>
          </c:extLst>
        </c:ser>
        <c:dLbls>
          <c:showLegendKey val="0"/>
          <c:showVal val="0"/>
          <c:showCatName val="0"/>
          <c:showSerName val="0"/>
          <c:showPercent val="0"/>
          <c:showBubbleSize val="0"/>
        </c:dLbls>
        <c:smooth val="0"/>
        <c:axId val="912597695"/>
        <c:axId val="912598111"/>
      </c:lineChart>
      <c:catAx>
        <c:axId val="912597695"/>
        <c:scaling>
          <c:orientation val="minMax"/>
        </c:scaling>
        <c:delete val="0"/>
        <c:axPos val="b"/>
        <c:numFmt formatCode="General" sourceLinked="1"/>
        <c:majorTickMark val="out"/>
        <c:minorTickMark val="none"/>
        <c:tickLblPos val="nextTo"/>
        <c:spPr>
          <a:noFill/>
          <a:ln w="9525" cap="flat" cmpd="sng" algn="ctr">
            <a:solidFill>
              <a:schemeClr val="accent3"/>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912598111"/>
        <c:crosses val="autoZero"/>
        <c:auto val="1"/>
        <c:lblAlgn val="ctr"/>
        <c:lblOffset val="100"/>
        <c:tickLblSkip val="3"/>
        <c:noMultiLvlLbl val="0"/>
      </c:catAx>
      <c:valAx>
        <c:axId val="912598111"/>
        <c:scaling>
          <c:orientation val="minMax"/>
        </c:scaling>
        <c:delete val="1"/>
        <c:axPos val="l"/>
        <c:majorGridlines>
          <c:spPr>
            <a:ln w="9525" cap="flat" cmpd="sng" algn="ctr">
              <a:solidFill>
                <a:schemeClr val="tx1">
                  <a:lumMod val="15000"/>
                  <a:lumOff val="85000"/>
                </a:schemeClr>
              </a:solidFill>
              <a:round/>
            </a:ln>
            <a:effectLst/>
          </c:spPr>
        </c:majorGridlines>
        <c:numFmt formatCode="_(* #,##0.00_);_(* \(#,##0.00\);_(* &quot;-&quot;??_);_(@_)" sourceLinked="1"/>
        <c:majorTickMark val="out"/>
        <c:minorTickMark val="none"/>
        <c:tickLblPos val="nextTo"/>
        <c:crossAx val="912597695"/>
        <c:crosses val="autoZero"/>
        <c:crossBetween val="midCat"/>
      </c:valAx>
      <c:spPr>
        <a:noFill/>
        <a:ln>
          <a:solidFill>
            <a:schemeClr val="bg2"/>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chart" Target="../charts/chart10.xml"/><Relationship Id="rId18" Type="http://schemas.openxmlformats.org/officeDocument/2006/relationships/chart" Target="../charts/chart15.xml"/><Relationship Id="rId26" Type="http://schemas.openxmlformats.org/officeDocument/2006/relationships/chart" Target="../charts/chart20.xml"/><Relationship Id="rId3" Type="http://schemas.openxmlformats.org/officeDocument/2006/relationships/chart" Target="../charts/chart3.xml"/><Relationship Id="rId21" Type="http://schemas.openxmlformats.org/officeDocument/2006/relationships/image" Target="../media/image5.png"/><Relationship Id="rId7" Type="http://schemas.openxmlformats.org/officeDocument/2006/relationships/chart" Target="../charts/chart6.xml"/><Relationship Id="rId12" Type="http://schemas.openxmlformats.org/officeDocument/2006/relationships/image" Target="../media/image3.png"/><Relationship Id="rId17" Type="http://schemas.openxmlformats.org/officeDocument/2006/relationships/chart" Target="../charts/chart14.xml"/><Relationship Id="rId25" Type="http://schemas.openxmlformats.org/officeDocument/2006/relationships/chart" Target="../charts/chart19.xml"/><Relationship Id="rId2" Type="http://schemas.openxmlformats.org/officeDocument/2006/relationships/chart" Target="../charts/chart2.xml"/><Relationship Id="rId16" Type="http://schemas.openxmlformats.org/officeDocument/2006/relationships/chart" Target="../charts/chart13.xml"/><Relationship Id="rId20" Type="http://schemas.openxmlformats.org/officeDocument/2006/relationships/image" Target="../media/image4.png"/><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9.xml"/><Relationship Id="rId24" Type="http://schemas.openxmlformats.org/officeDocument/2006/relationships/image" Target="../media/image6.png"/><Relationship Id="rId5" Type="http://schemas.openxmlformats.org/officeDocument/2006/relationships/chart" Target="../charts/chart4.xml"/><Relationship Id="rId15" Type="http://schemas.openxmlformats.org/officeDocument/2006/relationships/chart" Target="../charts/chart12.xml"/><Relationship Id="rId23" Type="http://schemas.openxmlformats.org/officeDocument/2006/relationships/chart" Target="../charts/chart18.xml"/><Relationship Id="rId10" Type="http://schemas.openxmlformats.org/officeDocument/2006/relationships/chart" Target="../charts/chart8.xml"/><Relationship Id="rId19" Type="http://schemas.openxmlformats.org/officeDocument/2006/relationships/chart" Target="../charts/chart16.xml"/><Relationship Id="rId4" Type="http://schemas.openxmlformats.org/officeDocument/2006/relationships/image" Target="../media/image1.png"/><Relationship Id="rId9" Type="http://schemas.openxmlformats.org/officeDocument/2006/relationships/chart" Target="../charts/chart7.xml"/><Relationship Id="rId14" Type="http://schemas.openxmlformats.org/officeDocument/2006/relationships/chart" Target="../charts/chart11.xml"/><Relationship Id="rId22" Type="http://schemas.openxmlformats.org/officeDocument/2006/relationships/chart" Target="../charts/chart17.xml"/><Relationship Id="rId27"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3.xml"/><Relationship Id="rId7" Type="http://schemas.openxmlformats.org/officeDocument/2006/relationships/chart" Target="../charts/chart26.xml"/><Relationship Id="rId12" Type="http://schemas.openxmlformats.org/officeDocument/2006/relationships/image" Target="../media/image5.pn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11" Type="http://schemas.openxmlformats.org/officeDocument/2006/relationships/image" Target="../media/image4.png"/><Relationship Id="rId5" Type="http://schemas.openxmlformats.org/officeDocument/2006/relationships/chart" Target="../charts/chart25.xml"/><Relationship Id="rId10" Type="http://schemas.openxmlformats.org/officeDocument/2006/relationships/chart" Target="../charts/chart29.xml"/><Relationship Id="rId4" Type="http://schemas.openxmlformats.org/officeDocument/2006/relationships/chart" Target="../charts/chart24.xml"/><Relationship Id="rId9"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image" Target="../media/image1.png"/><Relationship Id="rId3" Type="http://schemas.openxmlformats.org/officeDocument/2006/relationships/chart" Target="../charts/chart35.xml"/><Relationship Id="rId7" Type="http://schemas.openxmlformats.org/officeDocument/2006/relationships/chart" Target="../charts/chart38.xml"/><Relationship Id="rId12" Type="http://schemas.openxmlformats.org/officeDocument/2006/relationships/chart" Target="../charts/chart42.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image" Target="../media/image6.png"/><Relationship Id="rId11" Type="http://schemas.openxmlformats.org/officeDocument/2006/relationships/chart" Target="../charts/chart41.xml"/><Relationship Id="rId5" Type="http://schemas.openxmlformats.org/officeDocument/2006/relationships/chart" Target="../charts/chart37.xml"/><Relationship Id="rId10" Type="http://schemas.openxmlformats.org/officeDocument/2006/relationships/chart" Target="../charts/chart40.xml"/><Relationship Id="rId4" Type="http://schemas.openxmlformats.org/officeDocument/2006/relationships/chart" Target="../charts/chart36.xml"/><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1152525</xdr:colOff>
      <xdr:row>22</xdr:row>
      <xdr:rowOff>47625</xdr:rowOff>
    </xdr:from>
    <xdr:ext cx="184731" cy="264560"/>
    <xdr:sp macro="" textlink="">
      <xdr:nvSpPr>
        <xdr:cNvPr id="3" name="TextBox 2">
          <a:extLst>
            <a:ext uri="{FF2B5EF4-FFF2-40B4-BE49-F238E27FC236}">
              <a16:creationId xmlns:a16="http://schemas.microsoft.com/office/drawing/2014/main" id="{108E1B75-398B-7ABC-6B73-FA2427F013C9}"/>
            </a:ext>
          </a:extLst>
        </xdr:cNvPr>
        <xdr:cNvSpPr txBox="1"/>
      </xdr:nvSpPr>
      <xdr:spPr>
        <a:xfrm>
          <a:off x="11525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1152525</xdr:colOff>
      <xdr:row>35</xdr:row>
      <xdr:rowOff>47625</xdr:rowOff>
    </xdr:from>
    <xdr:ext cx="184731" cy="264560"/>
    <xdr:sp macro="" textlink="">
      <xdr:nvSpPr>
        <xdr:cNvPr id="4" name="TextBox 3">
          <a:extLst>
            <a:ext uri="{FF2B5EF4-FFF2-40B4-BE49-F238E27FC236}">
              <a16:creationId xmlns:a16="http://schemas.microsoft.com/office/drawing/2014/main" id="{557FDF56-8686-450B-82A4-3F36BF119F4B}"/>
            </a:ext>
          </a:extLst>
        </xdr:cNvPr>
        <xdr:cNvSpPr txBox="1"/>
      </xdr:nvSpPr>
      <xdr:spPr>
        <a:xfrm>
          <a:off x="76200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1152525</xdr:colOff>
      <xdr:row>35</xdr:row>
      <xdr:rowOff>47625</xdr:rowOff>
    </xdr:from>
    <xdr:ext cx="184731" cy="264560"/>
    <xdr:sp macro="" textlink="">
      <xdr:nvSpPr>
        <xdr:cNvPr id="5" name="TextBox 4">
          <a:extLst>
            <a:ext uri="{FF2B5EF4-FFF2-40B4-BE49-F238E27FC236}">
              <a16:creationId xmlns:a16="http://schemas.microsoft.com/office/drawing/2014/main" id="{670E78FB-8A61-438D-9F17-F956CF749A4B}"/>
            </a:ext>
          </a:extLst>
        </xdr:cNvPr>
        <xdr:cNvSpPr txBox="1"/>
      </xdr:nvSpPr>
      <xdr:spPr>
        <a:xfrm>
          <a:off x="762000"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101413</xdr:colOff>
      <xdr:row>6</xdr:row>
      <xdr:rowOff>184710</xdr:rowOff>
    </xdr:from>
    <xdr:to>
      <xdr:col>4</xdr:col>
      <xdr:colOff>1135992</xdr:colOff>
      <xdr:row>27</xdr:row>
      <xdr:rowOff>135787</xdr:rowOff>
    </xdr:to>
    <xdr:grpSp>
      <xdr:nvGrpSpPr>
        <xdr:cNvPr id="26" name="Group 25">
          <a:extLst>
            <a:ext uri="{FF2B5EF4-FFF2-40B4-BE49-F238E27FC236}">
              <a16:creationId xmlns:a16="http://schemas.microsoft.com/office/drawing/2014/main" id="{91134A27-E4A9-45FF-B712-7C21326B3E78}"/>
            </a:ext>
          </a:extLst>
        </xdr:cNvPr>
        <xdr:cNvGrpSpPr/>
      </xdr:nvGrpSpPr>
      <xdr:grpSpPr>
        <a:xfrm>
          <a:off x="278306" y="5300996"/>
          <a:ext cx="6354972" cy="6033470"/>
          <a:chOff x="469896" y="2838366"/>
          <a:chExt cx="6340108" cy="5545239"/>
        </a:xfrm>
      </xdr:grpSpPr>
      <xdr:grpSp>
        <xdr:nvGrpSpPr>
          <xdr:cNvPr id="27" name="Group 26">
            <a:extLst>
              <a:ext uri="{FF2B5EF4-FFF2-40B4-BE49-F238E27FC236}">
                <a16:creationId xmlns:a16="http://schemas.microsoft.com/office/drawing/2014/main" id="{4D553F07-E11C-62AB-0AD0-FAD86AA85D58}"/>
              </a:ext>
            </a:extLst>
          </xdr:cNvPr>
          <xdr:cNvGrpSpPr/>
        </xdr:nvGrpSpPr>
        <xdr:grpSpPr>
          <a:xfrm>
            <a:off x="469896" y="2838366"/>
            <a:ext cx="6340108" cy="5365380"/>
            <a:chOff x="93477" y="1830804"/>
            <a:chExt cx="6366458" cy="5133564"/>
          </a:xfrm>
        </xdr:grpSpPr>
        <xdr:graphicFrame macro="">
          <xdr:nvGraphicFramePr>
            <xdr:cNvPr id="30" name="Chart 29">
              <a:extLst>
                <a:ext uri="{FF2B5EF4-FFF2-40B4-BE49-F238E27FC236}">
                  <a16:creationId xmlns:a16="http://schemas.microsoft.com/office/drawing/2014/main" id="{7639CC71-F6A4-517C-CDCA-6D54D51289FF}"/>
                </a:ext>
              </a:extLst>
            </xdr:cNvPr>
            <xdr:cNvGraphicFramePr>
              <a:graphicFrameLocks/>
            </xdr:cNvGraphicFramePr>
          </xdr:nvGraphicFramePr>
          <xdr:xfrm>
            <a:off x="94482" y="4339693"/>
            <a:ext cx="3198842" cy="262467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1" name="Chart 30">
              <a:extLst>
                <a:ext uri="{FF2B5EF4-FFF2-40B4-BE49-F238E27FC236}">
                  <a16:creationId xmlns:a16="http://schemas.microsoft.com/office/drawing/2014/main" id="{7D3F4699-EEA8-9F7B-947D-B9CED8986702}"/>
                </a:ext>
              </a:extLst>
            </xdr:cNvPr>
            <xdr:cNvGraphicFramePr>
              <a:graphicFrameLocks/>
            </xdr:cNvGraphicFramePr>
          </xdr:nvGraphicFramePr>
          <xdr:xfrm>
            <a:off x="3261093" y="4314062"/>
            <a:ext cx="3198842" cy="262467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32" name="Chart 31">
              <a:extLst>
                <a:ext uri="{FF2B5EF4-FFF2-40B4-BE49-F238E27FC236}">
                  <a16:creationId xmlns:a16="http://schemas.microsoft.com/office/drawing/2014/main" id="{83DAC282-3690-EAB7-DB20-D07C96B1E69A}"/>
                </a:ext>
              </a:extLst>
            </xdr:cNvPr>
            <xdr:cNvGraphicFramePr>
              <a:graphicFrameLocks/>
            </xdr:cNvGraphicFramePr>
          </xdr:nvGraphicFramePr>
          <xdr:xfrm>
            <a:off x="93477" y="1830804"/>
            <a:ext cx="3213705" cy="2624675"/>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28" name="Arrow: Right 27">
            <a:extLst>
              <a:ext uri="{FF2B5EF4-FFF2-40B4-BE49-F238E27FC236}">
                <a16:creationId xmlns:a16="http://schemas.microsoft.com/office/drawing/2014/main" id="{BA9DE83E-9CDC-29D9-9224-EFAD99A31297}"/>
              </a:ext>
            </a:extLst>
          </xdr:cNvPr>
          <xdr:cNvSpPr/>
        </xdr:nvSpPr>
        <xdr:spPr>
          <a:xfrm>
            <a:off x="3462297" y="6567173"/>
            <a:ext cx="281940" cy="335280"/>
          </a:xfrm>
          <a:prstGeom prst="rightArrow">
            <a:avLst/>
          </a:prstGeom>
          <a:solidFill>
            <a:srgbClr val="1FFFFA"/>
          </a:solidFill>
          <a:ln w="190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9" name="Picture 28">
            <a:extLst>
              <a:ext uri="{FF2B5EF4-FFF2-40B4-BE49-F238E27FC236}">
                <a16:creationId xmlns:a16="http://schemas.microsoft.com/office/drawing/2014/main" id="{260637B9-A9D5-BA40-9244-BFCEACC82019}"/>
              </a:ext>
            </a:extLst>
          </xdr:cNvPr>
          <xdr:cNvPicPr>
            <a:picLocks noChangeAspect="1"/>
          </xdr:cNvPicPr>
        </xdr:nvPicPr>
        <xdr:blipFill>
          <a:blip xmlns:r="http://schemas.openxmlformats.org/officeDocument/2006/relationships" r:embed="rId4"/>
          <a:stretch>
            <a:fillRect/>
          </a:stretch>
        </xdr:blipFill>
        <xdr:spPr>
          <a:xfrm>
            <a:off x="1952626" y="8109285"/>
            <a:ext cx="2915283" cy="274320"/>
          </a:xfrm>
          <a:prstGeom prst="rect">
            <a:avLst/>
          </a:prstGeom>
        </xdr:spPr>
      </xdr:pic>
    </xdr:grpSp>
    <xdr:clientData/>
  </xdr:twoCellAnchor>
  <xdr:twoCellAnchor>
    <xdr:from>
      <xdr:col>6</xdr:col>
      <xdr:colOff>224118</xdr:colOff>
      <xdr:row>2</xdr:row>
      <xdr:rowOff>472328</xdr:rowOff>
    </xdr:from>
    <xdr:to>
      <xdr:col>17</xdr:col>
      <xdr:colOff>232811</xdr:colOff>
      <xdr:row>11</xdr:row>
      <xdr:rowOff>82446</xdr:rowOff>
    </xdr:to>
    <xdr:grpSp>
      <xdr:nvGrpSpPr>
        <xdr:cNvPr id="9" name="Group 8">
          <a:extLst>
            <a:ext uri="{FF2B5EF4-FFF2-40B4-BE49-F238E27FC236}">
              <a16:creationId xmlns:a16="http://schemas.microsoft.com/office/drawing/2014/main" id="{23ADD583-4B59-4579-9487-1941CE2EA1DC}"/>
            </a:ext>
          </a:extLst>
        </xdr:cNvPr>
        <xdr:cNvGrpSpPr/>
      </xdr:nvGrpSpPr>
      <xdr:grpSpPr>
        <a:xfrm>
          <a:off x="8116261" y="785292"/>
          <a:ext cx="6744229" cy="7407011"/>
          <a:chOff x="9004432" y="1714500"/>
          <a:chExt cx="6500367" cy="7411078"/>
        </a:xfrm>
      </xdr:grpSpPr>
      <xdr:graphicFrame macro="">
        <xdr:nvGraphicFramePr>
          <xdr:cNvPr id="10" name="Chart 9">
            <a:extLst>
              <a:ext uri="{FF2B5EF4-FFF2-40B4-BE49-F238E27FC236}">
                <a16:creationId xmlns:a16="http://schemas.microsoft.com/office/drawing/2014/main" id="{E0C191C8-22C9-60FA-80D1-5DA90C5849A7}"/>
              </a:ext>
            </a:extLst>
          </xdr:cNvPr>
          <xdr:cNvGraphicFramePr>
            <a:graphicFrameLocks/>
          </xdr:cNvGraphicFramePr>
        </xdr:nvGraphicFramePr>
        <xdr:xfrm>
          <a:off x="9044940" y="1714500"/>
          <a:ext cx="6459859" cy="2454859"/>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1" name="Chart 10">
            <a:extLst>
              <a:ext uri="{FF2B5EF4-FFF2-40B4-BE49-F238E27FC236}">
                <a16:creationId xmlns:a16="http://schemas.microsoft.com/office/drawing/2014/main" id="{BD92E0AB-AC41-6592-0E98-72732C7D3B79}"/>
              </a:ext>
            </a:extLst>
          </xdr:cNvPr>
          <xdr:cNvGraphicFramePr>
            <a:graphicFrameLocks/>
          </xdr:cNvGraphicFramePr>
        </xdr:nvGraphicFramePr>
        <xdr:xfrm>
          <a:off x="9046180" y="4049159"/>
          <a:ext cx="6370140" cy="2638971"/>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2" name="Chart 11">
            <a:extLst>
              <a:ext uri="{FF2B5EF4-FFF2-40B4-BE49-F238E27FC236}">
                <a16:creationId xmlns:a16="http://schemas.microsoft.com/office/drawing/2014/main" id="{32D90E63-7B40-5433-E677-0DE6BD0B3A6C}"/>
              </a:ext>
            </a:extLst>
          </xdr:cNvPr>
          <xdr:cNvGraphicFramePr>
            <a:graphicFrameLocks/>
          </xdr:cNvGraphicFramePr>
        </xdr:nvGraphicFramePr>
        <xdr:xfrm>
          <a:off x="9004432" y="6670719"/>
          <a:ext cx="6428113" cy="2454859"/>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editAs="oneCell">
    <xdr:from>
      <xdr:col>18</xdr:col>
      <xdr:colOff>12887</xdr:colOff>
      <xdr:row>2</xdr:row>
      <xdr:rowOff>152030</xdr:rowOff>
    </xdr:from>
    <xdr:to>
      <xdr:col>25</xdr:col>
      <xdr:colOff>47953</xdr:colOff>
      <xdr:row>2</xdr:row>
      <xdr:rowOff>2544584</xdr:rowOff>
    </xdr:to>
    <xdr:pic>
      <xdr:nvPicPr>
        <xdr:cNvPr id="13" name="Picture 12">
          <a:extLst>
            <a:ext uri="{FF2B5EF4-FFF2-40B4-BE49-F238E27FC236}">
              <a16:creationId xmlns:a16="http://schemas.microsoft.com/office/drawing/2014/main" id="{8617775C-48F1-4854-810C-EC183793E261}"/>
            </a:ext>
          </a:extLst>
        </xdr:cNvPr>
        <xdr:cNvPicPr>
          <a:picLocks noChangeAspect="1"/>
        </xdr:cNvPicPr>
      </xdr:nvPicPr>
      <xdr:blipFill>
        <a:blip xmlns:r="http://schemas.openxmlformats.org/officeDocument/2006/relationships" r:embed="rId8"/>
        <a:stretch>
          <a:fillRect/>
        </a:stretch>
      </xdr:blipFill>
      <xdr:spPr>
        <a:xfrm>
          <a:off x="15533034" y="454589"/>
          <a:ext cx="6985888" cy="2395729"/>
        </a:xfrm>
        <a:prstGeom prst="rect">
          <a:avLst/>
        </a:prstGeom>
      </xdr:spPr>
    </xdr:pic>
    <xdr:clientData/>
  </xdr:twoCellAnchor>
  <xdr:twoCellAnchor>
    <xdr:from>
      <xdr:col>21</xdr:col>
      <xdr:colOff>0</xdr:colOff>
      <xdr:row>4</xdr:row>
      <xdr:rowOff>44823</xdr:rowOff>
    </xdr:from>
    <xdr:to>
      <xdr:col>27</xdr:col>
      <xdr:colOff>30443</xdr:colOff>
      <xdr:row>7</xdr:row>
      <xdr:rowOff>809252</xdr:rowOff>
    </xdr:to>
    <xdr:graphicFrame macro="">
      <xdr:nvGraphicFramePr>
        <xdr:cNvPr id="14" name="Chart 13">
          <a:extLst>
            <a:ext uri="{FF2B5EF4-FFF2-40B4-BE49-F238E27FC236}">
              <a16:creationId xmlns:a16="http://schemas.microsoft.com/office/drawing/2014/main" id="{27301813-B292-4298-8B70-C76C3E956C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171263</xdr:colOff>
      <xdr:row>17</xdr:row>
      <xdr:rowOff>6351</xdr:rowOff>
    </xdr:from>
    <xdr:to>
      <xdr:col>24</xdr:col>
      <xdr:colOff>174572</xdr:colOff>
      <xdr:row>31</xdr:row>
      <xdr:rowOff>11625</xdr:rowOff>
    </xdr:to>
    <xdr:grpSp>
      <xdr:nvGrpSpPr>
        <xdr:cNvPr id="15" name="Group 14">
          <a:extLst>
            <a:ext uri="{FF2B5EF4-FFF2-40B4-BE49-F238E27FC236}">
              <a16:creationId xmlns:a16="http://schemas.microsoft.com/office/drawing/2014/main" id="{AC3337B3-7632-4486-A34E-F84D84B0D2E0}"/>
            </a:ext>
          </a:extLst>
        </xdr:cNvPr>
        <xdr:cNvGrpSpPr/>
      </xdr:nvGrpSpPr>
      <xdr:grpSpPr>
        <a:xfrm>
          <a:off x="15411263" y="9300030"/>
          <a:ext cx="6208166" cy="2672274"/>
          <a:chOff x="18216566" y="17662751"/>
          <a:chExt cx="6361477" cy="2495135"/>
        </a:xfrm>
      </xdr:grpSpPr>
      <xdr:grpSp>
        <xdr:nvGrpSpPr>
          <xdr:cNvPr id="16" name="Group 15">
            <a:extLst>
              <a:ext uri="{FF2B5EF4-FFF2-40B4-BE49-F238E27FC236}">
                <a16:creationId xmlns:a16="http://schemas.microsoft.com/office/drawing/2014/main" id="{934C57C8-9A66-CA3E-67F4-C6CE08514B06}"/>
              </a:ext>
            </a:extLst>
          </xdr:cNvPr>
          <xdr:cNvGrpSpPr/>
        </xdr:nvGrpSpPr>
        <xdr:grpSpPr>
          <a:xfrm>
            <a:off x="18216566" y="17662751"/>
            <a:ext cx="5232345" cy="2492887"/>
            <a:chOff x="18216565" y="17665918"/>
            <a:chExt cx="5235496" cy="2489806"/>
          </a:xfrm>
        </xdr:grpSpPr>
        <xdr:graphicFrame macro="">
          <xdr:nvGraphicFramePr>
            <xdr:cNvPr id="18" name="Chart 17">
              <a:extLst>
                <a:ext uri="{FF2B5EF4-FFF2-40B4-BE49-F238E27FC236}">
                  <a16:creationId xmlns:a16="http://schemas.microsoft.com/office/drawing/2014/main" id="{C8173C69-1212-D71C-5B78-1910142A18FF}"/>
                </a:ext>
              </a:extLst>
            </xdr:cNvPr>
            <xdr:cNvGraphicFramePr>
              <a:graphicFrameLocks/>
            </xdr:cNvGraphicFramePr>
          </xdr:nvGraphicFramePr>
          <xdr:xfrm>
            <a:off x="18216565" y="17665918"/>
            <a:ext cx="2895032" cy="2482803"/>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9" name="Chart 18">
              <a:extLst>
                <a:ext uri="{FF2B5EF4-FFF2-40B4-BE49-F238E27FC236}">
                  <a16:creationId xmlns:a16="http://schemas.microsoft.com/office/drawing/2014/main" id="{E511AF3C-F216-F855-AFF1-B26E9C5B8E7F}"/>
                </a:ext>
              </a:extLst>
            </xdr:cNvPr>
            <xdr:cNvGraphicFramePr>
              <a:graphicFrameLocks/>
            </xdr:cNvGraphicFramePr>
          </xdr:nvGraphicFramePr>
          <xdr:xfrm>
            <a:off x="20961464" y="17667167"/>
            <a:ext cx="2490597" cy="2488557"/>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20" name="Rectangle 19">
              <a:extLst>
                <a:ext uri="{FF2B5EF4-FFF2-40B4-BE49-F238E27FC236}">
                  <a16:creationId xmlns:a16="http://schemas.microsoft.com/office/drawing/2014/main" id="{DA367384-D50D-9AA0-6562-A9759C02017A}"/>
                </a:ext>
              </a:extLst>
            </xdr:cNvPr>
            <xdr:cNvSpPr/>
          </xdr:nvSpPr>
          <xdr:spPr>
            <a:xfrm>
              <a:off x="20575139" y="17889513"/>
              <a:ext cx="457475" cy="273843"/>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OR</a:t>
              </a:r>
            </a:p>
          </xdr:txBody>
        </xdr:sp>
        <xdr:sp macro="" textlink="">
          <xdr:nvSpPr>
            <xdr:cNvPr id="21" name="Rectangle 20">
              <a:extLst>
                <a:ext uri="{FF2B5EF4-FFF2-40B4-BE49-F238E27FC236}">
                  <a16:creationId xmlns:a16="http://schemas.microsoft.com/office/drawing/2014/main" id="{99B6CFAB-6EA2-60F2-E4A3-42ED457B3B7D}"/>
                </a:ext>
              </a:extLst>
            </xdr:cNvPr>
            <xdr:cNvSpPr/>
          </xdr:nvSpPr>
          <xdr:spPr>
            <a:xfrm>
              <a:off x="22845764" y="17887643"/>
              <a:ext cx="457475" cy="273843"/>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WA</a:t>
              </a:r>
            </a:p>
          </xdr:txBody>
        </xdr:sp>
      </xdr:grpSp>
      <xdr:pic>
        <xdr:nvPicPr>
          <xdr:cNvPr id="17" name="Picture 16" descr="Chart, line chart&#10;&#10;Description automatically generated">
            <a:extLst>
              <a:ext uri="{FF2B5EF4-FFF2-40B4-BE49-F238E27FC236}">
                <a16:creationId xmlns:a16="http://schemas.microsoft.com/office/drawing/2014/main" id="{02D08776-C6D1-7569-D48D-9329AB23E766}"/>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78506"/>
          <a:stretch/>
        </xdr:blipFill>
        <xdr:spPr bwMode="auto">
          <a:xfrm>
            <a:off x="23288669" y="17666249"/>
            <a:ext cx="1289374" cy="2491637"/>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28</xdr:col>
      <xdr:colOff>381000</xdr:colOff>
      <xdr:row>2</xdr:row>
      <xdr:rowOff>930088</xdr:rowOff>
    </xdr:from>
    <xdr:to>
      <xdr:col>39</xdr:col>
      <xdr:colOff>149218</xdr:colOff>
      <xdr:row>2</xdr:row>
      <xdr:rowOff>3385523</xdr:rowOff>
    </xdr:to>
    <xdr:graphicFrame macro="">
      <xdr:nvGraphicFramePr>
        <xdr:cNvPr id="22" name="Chart 21">
          <a:extLst>
            <a:ext uri="{FF2B5EF4-FFF2-40B4-BE49-F238E27FC236}">
              <a16:creationId xmlns:a16="http://schemas.microsoft.com/office/drawing/2014/main" id="{F3F2E8A5-30A4-4721-9F21-8980351DB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0</xdr:colOff>
      <xdr:row>5</xdr:row>
      <xdr:rowOff>0</xdr:rowOff>
    </xdr:from>
    <xdr:to>
      <xdr:col>39</xdr:col>
      <xdr:colOff>340099</xdr:colOff>
      <xdr:row>7</xdr:row>
      <xdr:rowOff>795475</xdr:rowOff>
    </xdr:to>
    <xdr:graphicFrame macro="">
      <xdr:nvGraphicFramePr>
        <xdr:cNvPr id="23" name="Chart 22">
          <a:extLst>
            <a:ext uri="{FF2B5EF4-FFF2-40B4-BE49-F238E27FC236}">
              <a16:creationId xmlns:a16="http://schemas.microsoft.com/office/drawing/2014/main" id="{AF7E1F97-A963-4874-B0A2-14256F2E8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29</xdr:col>
      <xdr:colOff>19237</xdr:colOff>
      <xdr:row>8</xdr:row>
      <xdr:rowOff>168088</xdr:rowOff>
    </xdr:from>
    <xdr:to>
      <xdr:col>39</xdr:col>
      <xdr:colOff>416624</xdr:colOff>
      <xdr:row>18</xdr:row>
      <xdr:rowOff>153563</xdr:rowOff>
    </xdr:to>
    <xdr:graphicFrame macro="">
      <xdr:nvGraphicFramePr>
        <xdr:cNvPr id="24" name="Chart 23">
          <a:extLst>
            <a:ext uri="{FF2B5EF4-FFF2-40B4-BE49-F238E27FC236}">
              <a16:creationId xmlns:a16="http://schemas.microsoft.com/office/drawing/2014/main" id="{B2310C5E-FAEB-4617-9294-403369A37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41</xdr:col>
      <xdr:colOff>156888</xdr:colOff>
      <xdr:row>2</xdr:row>
      <xdr:rowOff>1154204</xdr:rowOff>
    </xdr:from>
    <xdr:to>
      <xdr:col>52</xdr:col>
      <xdr:colOff>197745</xdr:colOff>
      <xdr:row>6</xdr:row>
      <xdr:rowOff>1744</xdr:rowOff>
    </xdr:to>
    <xdr:grpSp>
      <xdr:nvGrpSpPr>
        <xdr:cNvPr id="25" name="Group 24">
          <a:extLst>
            <a:ext uri="{FF2B5EF4-FFF2-40B4-BE49-F238E27FC236}">
              <a16:creationId xmlns:a16="http://schemas.microsoft.com/office/drawing/2014/main" id="{5DA0DBDF-2E90-4ADE-A193-B07E53065B94}"/>
            </a:ext>
          </a:extLst>
        </xdr:cNvPr>
        <xdr:cNvGrpSpPr/>
      </xdr:nvGrpSpPr>
      <xdr:grpSpPr>
        <a:xfrm>
          <a:off x="32011209" y="1467168"/>
          <a:ext cx="6776393" cy="3650862"/>
          <a:chOff x="33084148" y="8051143"/>
          <a:chExt cx="6413860" cy="3762636"/>
        </a:xfrm>
      </xdr:grpSpPr>
      <xdr:grpSp>
        <xdr:nvGrpSpPr>
          <xdr:cNvPr id="33" name="Group 32">
            <a:extLst>
              <a:ext uri="{FF2B5EF4-FFF2-40B4-BE49-F238E27FC236}">
                <a16:creationId xmlns:a16="http://schemas.microsoft.com/office/drawing/2014/main" id="{6B83A73F-3255-A49B-37A6-F78BB02E6D67}"/>
              </a:ext>
            </a:extLst>
          </xdr:cNvPr>
          <xdr:cNvGrpSpPr/>
        </xdr:nvGrpSpPr>
        <xdr:grpSpPr>
          <a:xfrm>
            <a:off x="33084148" y="8051143"/>
            <a:ext cx="6413860" cy="3762636"/>
            <a:chOff x="33103044" y="8041117"/>
            <a:chExt cx="6417716" cy="3761883"/>
          </a:xfrm>
        </xdr:grpSpPr>
        <xdr:grpSp>
          <xdr:nvGrpSpPr>
            <xdr:cNvPr id="35" name="Group 34">
              <a:extLst>
                <a:ext uri="{FF2B5EF4-FFF2-40B4-BE49-F238E27FC236}">
                  <a16:creationId xmlns:a16="http://schemas.microsoft.com/office/drawing/2014/main" id="{F92A0E5A-F651-B8A2-9ABD-162F5406C722}"/>
                </a:ext>
              </a:extLst>
            </xdr:cNvPr>
            <xdr:cNvGrpSpPr/>
          </xdr:nvGrpSpPr>
          <xdr:grpSpPr>
            <a:xfrm>
              <a:off x="33103044" y="8041117"/>
              <a:ext cx="6417716" cy="3669119"/>
              <a:chOff x="32967390" y="8057433"/>
              <a:chExt cx="6428182" cy="3705470"/>
            </a:xfrm>
          </xdr:grpSpPr>
          <xdr:graphicFrame macro="">
            <xdr:nvGraphicFramePr>
              <xdr:cNvPr id="37" name="Chart 36">
                <a:extLst>
                  <a:ext uri="{FF2B5EF4-FFF2-40B4-BE49-F238E27FC236}">
                    <a16:creationId xmlns:a16="http://schemas.microsoft.com/office/drawing/2014/main" id="{9C42EA00-5C5E-7C17-E4CF-55783DCCB6FD}"/>
                  </a:ext>
                </a:extLst>
              </xdr:cNvPr>
              <xdr:cNvGraphicFramePr>
                <a:graphicFrameLocks/>
              </xdr:cNvGraphicFramePr>
            </xdr:nvGraphicFramePr>
            <xdr:xfrm>
              <a:off x="36188120" y="10096591"/>
              <a:ext cx="3207452" cy="1666312"/>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38" name="Chart 37">
                <a:extLst>
                  <a:ext uri="{FF2B5EF4-FFF2-40B4-BE49-F238E27FC236}">
                    <a16:creationId xmlns:a16="http://schemas.microsoft.com/office/drawing/2014/main" id="{46B486E8-535E-49DC-68A3-2AEB2C2EE0A0}"/>
                  </a:ext>
                </a:extLst>
              </xdr:cNvPr>
              <xdr:cNvGraphicFramePr>
                <a:graphicFrameLocks/>
              </xdr:cNvGraphicFramePr>
            </xdr:nvGraphicFramePr>
            <xdr:xfrm>
              <a:off x="32968255" y="10091427"/>
              <a:ext cx="3204587" cy="1666312"/>
            </xdr:xfrm>
            <a:graphic>
              <a:graphicData uri="http://schemas.openxmlformats.org/drawingml/2006/chart">
                <c:chart xmlns:c="http://schemas.openxmlformats.org/drawingml/2006/chart" xmlns:r="http://schemas.openxmlformats.org/officeDocument/2006/relationships" r:id="rId17"/>
              </a:graphicData>
            </a:graphic>
          </xdr:graphicFrame>
          <xdr:grpSp>
            <xdr:nvGrpSpPr>
              <xdr:cNvPr id="39" name="Group 38">
                <a:extLst>
                  <a:ext uri="{FF2B5EF4-FFF2-40B4-BE49-F238E27FC236}">
                    <a16:creationId xmlns:a16="http://schemas.microsoft.com/office/drawing/2014/main" id="{C881938F-698E-4D81-D568-26953AE79C33}"/>
                  </a:ext>
                </a:extLst>
              </xdr:cNvPr>
              <xdr:cNvGrpSpPr/>
            </xdr:nvGrpSpPr>
            <xdr:grpSpPr>
              <a:xfrm>
                <a:off x="32985643" y="8232893"/>
                <a:ext cx="6408799" cy="1666738"/>
                <a:chOff x="32965464" y="8225860"/>
                <a:chExt cx="6405481" cy="1663823"/>
              </a:xfrm>
            </xdr:grpSpPr>
            <xdr:graphicFrame macro="">
              <xdr:nvGraphicFramePr>
                <xdr:cNvPr id="42" name="Chart 41">
                  <a:extLst>
                    <a:ext uri="{FF2B5EF4-FFF2-40B4-BE49-F238E27FC236}">
                      <a16:creationId xmlns:a16="http://schemas.microsoft.com/office/drawing/2014/main" id="{A5AF3C26-E060-609F-B8A4-7C6B77A850AA}"/>
                    </a:ext>
                  </a:extLst>
                </xdr:cNvPr>
                <xdr:cNvGraphicFramePr>
                  <a:graphicFrameLocks/>
                </xdr:cNvGraphicFramePr>
              </xdr:nvGraphicFramePr>
              <xdr:xfrm>
                <a:off x="32965464" y="8226285"/>
                <a:ext cx="3204802" cy="1663398"/>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43" name="Chart 42">
                  <a:extLst>
                    <a:ext uri="{FF2B5EF4-FFF2-40B4-BE49-F238E27FC236}">
                      <a16:creationId xmlns:a16="http://schemas.microsoft.com/office/drawing/2014/main" id="{DB0E32B6-76A1-F991-1611-31D45BC17140}"/>
                    </a:ext>
                  </a:extLst>
                </xdr:cNvPr>
                <xdr:cNvGraphicFramePr>
                  <a:graphicFrameLocks/>
                </xdr:cNvGraphicFramePr>
              </xdr:nvGraphicFramePr>
              <xdr:xfrm>
                <a:off x="36163942" y="8225860"/>
                <a:ext cx="3207003" cy="1663398"/>
              </xdr:xfrm>
              <a:graphic>
                <a:graphicData uri="http://schemas.openxmlformats.org/drawingml/2006/chart">
                  <c:chart xmlns:c="http://schemas.openxmlformats.org/drawingml/2006/chart" xmlns:r="http://schemas.openxmlformats.org/officeDocument/2006/relationships" r:id="rId19"/>
                </a:graphicData>
              </a:graphic>
            </xdr:graphicFrame>
          </xdr:grpSp>
          <xdr:sp macro="" textlink="">
            <xdr:nvSpPr>
              <xdr:cNvPr id="40" name="Rectangle 39">
                <a:extLst>
                  <a:ext uri="{FF2B5EF4-FFF2-40B4-BE49-F238E27FC236}">
                    <a16:creationId xmlns:a16="http://schemas.microsoft.com/office/drawing/2014/main" id="{C771DC8C-E810-F00A-5A8D-9A4AA350F700}"/>
                  </a:ext>
                </a:extLst>
              </xdr:cNvPr>
              <xdr:cNvSpPr/>
            </xdr:nvSpPr>
            <xdr:spPr>
              <a:xfrm>
                <a:off x="32967390" y="8057433"/>
                <a:ext cx="6415124"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solidFill>
                      <a:srgbClr val="FFFFFF"/>
                    </a:solidFill>
                    <a:effectLst/>
                    <a:ea typeface="Calibri" panose="020F0502020204030204" pitchFamily="34" charset="0"/>
                    <a:cs typeface="Times New Roman" panose="02020603050405020304" pitchFamily="18" charset="0"/>
                  </a:rPr>
                  <a:t>Average Cost of Decarbonization</a:t>
                </a:r>
                <a:endParaRPr lang="en-US" sz="1100">
                  <a:effectLst/>
                  <a:ea typeface="Calibri" panose="020F0502020204030204" pitchFamily="34" charset="0"/>
                  <a:cs typeface="Times New Roman" panose="02020603050405020304" pitchFamily="18" charset="0"/>
                </a:endParaRPr>
              </a:p>
            </xdr:txBody>
          </xdr:sp>
          <xdr:sp macro="" textlink="">
            <xdr:nvSpPr>
              <xdr:cNvPr id="41" name="Rectangle 40">
                <a:extLst>
                  <a:ext uri="{FF2B5EF4-FFF2-40B4-BE49-F238E27FC236}">
                    <a16:creationId xmlns:a16="http://schemas.microsoft.com/office/drawing/2014/main" id="{8EAC5077-E73A-DF67-9617-B3930E33B256}"/>
                  </a:ext>
                </a:extLst>
              </xdr:cNvPr>
              <xdr:cNvSpPr/>
            </xdr:nvSpPr>
            <xdr:spPr>
              <a:xfrm>
                <a:off x="32969389" y="9921110"/>
                <a:ext cx="6396131"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solidFill>
                      <a:srgbClr val="FFFFFF"/>
                    </a:solidFill>
                    <a:effectLst/>
                    <a:ea typeface="Calibri" panose="020F0502020204030204" pitchFamily="34" charset="0"/>
                    <a:cs typeface="Times New Roman" panose="02020603050405020304" pitchFamily="18" charset="0"/>
                  </a:rPr>
                  <a:t>Percentage</a:t>
                </a:r>
                <a:r>
                  <a:rPr lang="en-US" sz="1100" b="1" baseline="0">
                    <a:solidFill>
                      <a:srgbClr val="FFFFFF"/>
                    </a:solidFill>
                    <a:effectLst/>
                    <a:ea typeface="Calibri" panose="020F0502020204030204" pitchFamily="34" charset="0"/>
                    <a:cs typeface="Times New Roman" panose="02020603050405020304" pitchFamily="18" charset="0"/>
                  </a:rPr>
                  <a:t> of Deliveries in the Year</a:t>
                </a:r>
                <a:endParaRPr lang="en-US" sz="1100">
                  <a:effectLst/>
                  <a:ea typeface="Calibri" panose="020F0502020204030204" pitchFamily="34" charset="0"/>
                  <a:cs typeface="Times New Roman" panose="02020603050405020304" pitchFamily="18" charset="0"/>
                </a:endParaRPr>
              </a:p>
            </xdr:txBody>
          </xdr:sp>
        </xdr:grpSp>
        <xdr:pic>
          <xdr:nvPicPr>
            <xdr:cNvPr id="36" name="Picture 35">
              <a:extLst>
                <a:ext uri="{FF2B5EF4-FFF2-40B4-BE49-F238E27FC236}">
                  <a16:creationId xmlns:a16="http://schemas.microsoft.com/office/drawing/2014/main" id="{3E311DE9-2FDC-FC15-6299-3C88EF8AABBC}"/>
                </a:ext>
              </a:extLst>
            </xdr:cNvPr>
            <xdr:cNvPicPr>
              <a:picLocks noChangeAspect="1"/>
            </xdr:cNvPicPr>
          </xdr:nvPicPr>
          <xdr:blipFill>
            <a:blip xmlns:r="http://schemas.openxmlformats.org/officeDocument/2006/relationships" r:embed="rId20"/>
            <a:stretch>
              <a:fillRect/>
            </a:stretch>
          </xdr:blipFill>
          <xdr:spPr>
            <a:xfrm>
              <a:off x="34018904" y="11596226"/>
              <a:ext cx="4572000" cy="206774"/>
            </a:xfrm>
            <a:prstGeom prst="rect">
              <a:avLst/>
            </a:prstGeom>
          </xdr:spPr>
        </xdr:pic>
      </xdr:grpSp>
      <xdr:pic>
        <xdr:nvPicPr>
          <xdr:cNvPr id="34" name="Picture 33">
            <a:extLst>
              <a:ext uri="{FF2B5EF4-FFF2-40B4-BE49-F238E27FC236}">
                <a16:creationId xmlns:a16="http://schemas.microsoft.com/office/drawing/2014/main" id="{9C9DBBFD-6B04-E66C-37DD-F1137E05A422}"/>
              </a:ext>
            </a:extLst>
          </xdr:cNvPr>
          <xdr:cNvPicPr>
            <a:picLocks noChangeAspect="1"/>
          </xdr:cNvPicPr>
        </xdr:nvPicPr>
        <xdr:blipFill>
          <a:blip xmlns:r="http://schemas.openxmlformats.org/officeDocument/2006/relationships" r:embed="rId21"/>
          <a:stretch>
            <a:fillRect/>
          </a:stretch>
        </xdr:blipFill>
        <xdr:spPr>
          <a:xfrm>
            <a:off x="33811052" y="9700468"/>
            <a:ext cx="4663440" cy="179768"/>
          </a:xfrm>
          <a:prstGeom prst="rect">
            <a:avLst/>
          </a:prstGeom>
        </xdr:spPr>
      </xdr:pic>
    </xdr:grpSp>
    <xdr:clientData/>
  </xdr:twoCellAnchor>
  <xdr:twoCellAnchor>
    <xdr:from>
      <xdr:col>41</xdr:col>
      <xdr:colOff>212912</xdr:colOff>
      <xdr:row>6</xdr:row>
      <xdr:rowOff>470647</xdr:rowOff>
    </xdr:from>
    <xdr:to>
      <xdr:col>52</xdr:col>
      <xdr:colOff>41</xdr:colOff>
      <xdr:row>18</xdr:row>
      <xdr:rowOff>984</xdr:rowOff>
    </xdr:to>
    <xdr:grpSp>
      <xdr:nvGrpSpPr>
        <xdr:cNvPr id="44" name="Group 43">
          <a:extLst>
            <a:ext uri="{FF2B5EF4-FFF2-40B4-BE49-F238E27FC236}">
              <a16:creationId xmlns:a16="http://schemas.microsoft.com/office/drawing/2014/main" id="{89885DD2-453B-4419-A3AC-EE7BB70AA77A}"/>
            </a:ext>
          </a:extLst>
        </xdr:cNvPr>
        <xdr:cNvGrpSpPr/>
      </xdr:nvGrpSpPr>
      <xdr:grpSpPr>
        <a:xfrm>
          <a:off x="32067233" y="5586933"/>
          <a:ext cx="6522665" cy="3898230"/>
          <a:chOff x="16799713" y="3298299"/>
          <a:chExt cx="6423618" cy="4026885"/>
        </a:xfrm>
      </xdr:grpSpPr>
      <xdr:grpSp>
        <xdr:nvGrpSpPr>
          <xdr:cNvPr id="45" name="Group 44">
            <a:extLst>
              <a:ext uri="{FF2B5EF4-FFF2-40B4-BE49-F238E27FC236}">
                <a16:creationId xmlns:a16="http://schemas.microsoft.com/office/drawing/2014/main" id="{D5440AAA-46A3-B4D4-F3FC-1BDCCB693B78}"/>
              </a:ext>
            </a:extLst>
          </xdr:cNvPr>
          <xdr:cNvGrpSpPr/>
        </xdr:nvGrpSpPr>
        <xdr:grpSpPr>
          <a:xfrm>
            <a:off x="16799713" y="3304443"/>
            <a:ext cx="6423618" cy="4020741"/>
            <a:chOff x="16891884" y="3298695"/>
            <a:chExt cx="6464116" cy="4020741"/>
          </a:xfrm>
        </xdr:grpSpPr>
        <xdr:grpSp>
          <xdr:nvGrpSpPr>
            <xdr:cNvPr id="48" name="Group 47">
              <a:extLst>
                <a:ext uri="{FF2B5EF4-FFF2-40B4-BE49-F238E27FC236}">
                  <a16:creationId xmlns:a16="http://schemas.microsoft.com/office/drawing/2014/main" id="{6359BC73-827E-42E7-7E4F-768AF44886DE}"/>
                </a:ext>
              </a:extLst>
            </xdr:cNvPr>
            <xdr:cNvGrpSpPr/>
          </xdr:nvGrpSpPr>
          <xdr:grpSpPr>
            <a:xfrm>
              <a:off x="16937687" y="5363657"/>
              <a:ext cx="6418313" cy="1955779"/>
              <a:chOff x="16931119" y="5232277"/>
              <a:chExt cx="6418313" cy="1955779"/>
            </a:xfrm>
          </xdr:grpSpPr>
          <xdr:graphicFrame macro="">
            <xdr:nvGraphicFramePr>
              <xdr:cNvPr id="54" name="Chart 53">
                <a:extLst>
                  <a:ext uri="{FF2B5EF4-FFF2-40B4-BE49-F238E27FC236}">
                    <a16:creationId xmlns:a16="http://schemas.microsoft.com/office/drawing/2014/main" id="{B6B97F8B-7B8A-7E2F-2756-08BC6FD6BDFC}"/>
                  </a:ext>
                </a:extLst>
              </xdr:cNvPr>
              <xdr:cNvGraphicFramePr>
                <a:graphicFrameLocks/>
              </xdr:cNvGraphicFramePr>
            </xdr:nvGraphicFramePr>
            <xdr:xfrm>
              <a:off x="16959453" y="5359256"/>
              <a:ext cx="3215553" cy="18288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55" name="Chart 54">
                <a:extLst>
                  <a:ext uri="{FF2B5EF4-FFF2-40B4-BE49-F238E27FC236}">
                    <a16:creationId xmlns:a16="http://schemas.microsoft.com/office/drawing/2014/main" id="{59A0847A-4C00-0AAD-0087-9804E9C337FC}"/>
                  </a:ext>
                </a:extLst>
              </xdr:cNvPr>
              <xdr:cNvGraphicFramePr>
                <a:graphicFrameLocks/>
              </xdr:cNvGraphicFramePr>
            </xdr:nvGraphicFramePr>
            <xdr:xfrm>
              <a:off x="20133879" y="5302649"/>
              <a:ext cx="3215553" cy="1828800"/>
            </xdr:xfrm>
            <a:graphic>
              <a:graphicData uri="http://schemas.openxmlformats.org/drawingml/2006/chart">
                <c:chart xmlns:c="http://schemas.openxmlformats.org/drawingml/2006/chart" xmlns:r="http://schemas.openxmlformats.org/officeDocument/2006/relationships" r:id="rId23"/>
              </a:graphicData>
            </a:graphic>
          </xdr:graphicFrame>
          <xdr:sp macro="" textlink="">
            <xdr:nvSpPr>
              <xdr:cNvPr id="56" name="Rectangle 55">
                <a:extLst>
                  <a:ext uri="{FF2B5EF4-FFF2-40B4-BE49-F238E27FC236}">
                    <a16:creationId xmlns:a16="http://schemas.microsoft.com/office/drawing/2014/main" id="{2809C416-93B2-FDE4-C1C7-52F4C637C1B6}"/>
                  </a:ext>
                </a:extLst>
              </xdr:cNvPr>
              <xdr:cNvSpPr/>
            </xdr:nvSpPr>
            <xdr:spPr>
              <a:xfrm>
                <a:off x="16931119" y="5232277"/>
                <a:ext cx="4490076"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Residential Average Annaul Payment</a:t>
                </a:r>
              </a:p>
            </xdr:txBody>
          </xdr:sp>
          <xdr:pic>
            <xdr:nvPicPr>
              <xdr:cNvPr id="57" name="Picture 56">
                <a:extLst>
                  <a:ext uri="{FF2B5EF4-FFF2-40B4-BE49-F238E27FC236}">
                    <a16:creationId xmlns:a16="http://schemas.microsoft.com/office/drawing/2014/main" id="{84457519-4734-EC41-722F-D61FAA0507FB}"/>
                  </a:ext>
                </a:extLst>
              </xdr:cNvPr>
              <xdr:cNvPicPr>
                <a:picLocks noChangeAspect="1"/>
              </xdr:cNvPicPr>
            </xdr:nvPicPr>
            <xdr:blipFill>
              <a:blip xmlns:r="http://schemas.openxmlformats.org/officeDocument/2006/relationships" r:embed="rId24"/>
              <a:stretch>
                <a:fillRect/>
              </a:stretch>
            </xdr:blipFill>
            <xdr:spPr>
              <a:xfrm>
                <a:off x="16934795" y="5449829"/>
                <a:ext cx="164964" cy="1737360"/>
              </a:xfrm>
              <a:prstGeom prst="rect">
                <a:avLst/>
              </a:prstGeom>
            </xdr:spPr>
          </xdr:pic>
          <xdr:pic>
            <xdr:nvPicPr>
              <xdr:cNvPr id="58" name="Picture 57">
                <a:extLst>
                  <a:ext uri="{FF2B5EF4-FFF2-40B4-BE49-F238E27FC236}">
                    <a16:creationId xmlns:a16="http://schemas.microsoft.com/office/drawing/2014/main" id="{B8196272-3A37-99B2-E761-DB3002675E8C}"/>
                  </a:ext>
                </a:extLst>
              </xdr:cNvPr>
              <xdr:cNvPicPr>
                <a:picLocks noChangeAspect="1"/>
              </xdr:cNvPicPr>
            </xdr:nvPicPr>
            <xdr:blipFill>
              <a:blip xmlns:r="http://schemas.openxmlformats.org/officeDocument/2006/relationships" r:embed="rId24"/>
              <a:stretch>
                <a:fillRect/>
              </a:stretch>
            </xdr:blipFill>
            <xdr:spPr>
              <a:xfrm>
                <a:off x="20141764" y="5440784"/>
                <a:ext cx="164964" cy="1737360"/>
              </a:xfrm>
              <a:prstGeom prst="rect">
                <a:avLst/>
              </a:prstGeom>
            </xdr:spPr>
          </xdr:pic>
        </xdr:grpSp>
        <xdr:grpSp>
          <xdr:nvGrpSpPr>
            <xdr:cNvPr id="49" name="Group 48">
              <a:extLst>
                <a:ext uri="{FF2B5EF4-FFF2-40B4-BE49-F238E27FC236}">
                  <a16:creationId xmlns:a16="http://schemas.microsoft.com/office/drawing/2014/main" id="{88D04D30-4070-ADDE-CCDA-A285A5680053}"/>
                </a:ext>
              </a:extLst>
            </xdr:cNvPr>
            <xdr:cNvGrpSpPr/>
          </xdr:nvGrpSpPr>
          <xdr:grpSpPr>
            <a:xfrm>
              <a:off x="16891884" y="3298695"/>
              <a:ext cx="6337251" cy="1970149"/>
              <a:chOff x="16891884" y="3298695"/>
              <a:chExt cx="6337251" cy="1970149"/>
            </a:xfrm>
          </xdr:grpSpPr>
          <xdr:grpSp>
            <xdr:nvGrpSpPr>
              <xdr:cNvPr id="50" name="Group 49">
                <a:extLst>
                  <a:ext uri="{FF2B5EF4-FFF2-40B4-BE49-F238E27FC236}">
                    <a16:creationId xmlns:a16="http://schemas.microsoft.com/office/drawing/2014/main" id="{A95F95C4-BAA1-DEEE-E799-2C11A0E6988B}"/>
                  </a:ext>
                </a:extLst>
              </xdr:cNvPr>
              <xdr:cNvGrpSpPr/>
            </xdr:nvGrpSpPr>
            <xdr:grpSpPr>
              <a:xfrm>
                <a:off x="16891884" y="3429571"/>
                <a:ext cx="6337251" cy="1839273"/>
                <a:chOff x="16948049" y="1557572"/>
                <a:chExt cx="6322767" cy="1767276"/>
              </a:xfrm>
            </xdr:grpSpPr>
            <xdr:graphicFrame macro="">
              <xdr:nvGraphicFramePr>
                <xdr:cNvPr id="52" name="Chart 51">
                  <a:extLst>
                    <a:ext uri="{FF2B5EF4-FFF2-40B4-BE49-F238E27FC236}">
                      <a16:creationId xmlns:a16="http://schemas.microsoft.com/office/drawing/2014/main" id="{ECA90023-E705-D4B6-8A60-0DD95013775E}"/>
                    </a:ext>
                  </a:extLst>
                </xdr:cNvPr>
                <xdr:cNvGraphicFramePr>
                  <a:graphicFrameLocks/>
                </xdr:cNvGraphicFramePr>
              </xdr:nvGraphicFramePr>
              <xdr:xfrm>
                <a:off x="16948049" y="1567635"/>
                <a:ext cx="3208286" cy="1757213"/>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53" name="Chart 52">
                  <a:extLst>
                    <a:ext uri="{FF2B5EF4-FFF2-40B4-BE49-F238E27FC236}">
                      <a16:creationId xmlns:a16="http://schemas.microsoft.com/office/drawing/2014/main" id="{B214E817-0CA0-0A45-6E14-4AE8D940EBA7}"/>
                    </a:ext>
                  </a:extLst>
                </xdr:cNvPr>
                <xdr:cNvGraphicFramePr>
                  <a:graphicFrameLocks/>
                </xdr:cNvGraphicFramePr>
              </xdr:nvGraphicFramePr>
              <xdr:xfrm>
                <a:off x="20062613" y="1557572"/>
                <a:ext cx="3208203" cy="1757213"/>
              </xdr:xfrm>
              <a:graphic>
                <a:graphicData uri="http://schemas.openxmlformats.org/drawingml/2006/chart">
                  <c:chart xmlns:c="http://schemas.openxmlformats.org/drawingml/2006/chart" xmlns:r="http://schemas.openxmlformats.org/officeDocument/2006/relationships" r:id="rId26"/>
                </a:graphicData>
              </a:graphic>
            </xdr:graphicFrame>
          </xdr:grpSp>
          <xdr:sp macro="" textlink="">
            <xdr:nvSpPr>
              <xdr:cNvPr id="51" name="Rectangle 50">
                <a:extLst>
                  <a:ext uri="{FF2B5EF4-FFF2-40B4-BE49-F238E27FC236}">
                    <a16:creationId xmlns:a16="http://schemas.microsoft.com/office/drawing/2014/main" id="{2AAD0178-C069-91BE-0664-DCAC105F861A}"/>
                  </a:ext>
                </a:extLst>
              </xdr:cNvPr>
              <xdr:cNvSpPr/>
            </xdr:nvSpPr>
            <xdr:spPr>
              <a:xfrm>
                <a:off x="16939565" y="3298695"/>
                <a:ext cx="4369773"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Residential Use Per Customer</a:t>
                </a:r>
              </a:p>
            </xdr:txBody>
          </xdr:sp>
        </xdr:grpSp>
      </xdr:grpSp>
      <xdr:pic>
        <xdr:nvPicPr>
          <xdr:cNvPr id="46" name="Picture 45">
            <a:extLst>
              <a:ext uri="{FF2B5EF4-FFF2-40B4-BE49-F238E27FC236}">
                <a16:creationId xmlns:a16="http://schemas.microsoft.com/office/drawing/2014/main" id="{3CA0EB0C-8542-792E-572E-A29570FDE404}"/>
              </a:ext>
            </a:extLst>
          </xdr:cNvPr>
          <xdr:cNvPicPr>
            <a:picLocks noChangeAspect="1"/>
          </xdr:cNvPicPr>
        </xdr:nvPicPr>
        <xdr:blipFill>
          <a:blip xmlns:r="http://schemas.openxmlformats.org/officeDocument/2006/relationships" r:embed="rId27"/>
          <a:stretch>
            <a:fillRect/>
          </a:stretch>
        </xdr:blipFill>
        <xdr:spPr>
          <a:xfrm>
            <a:off x="21271897" y="3298299"/>
            <a:ext cx="1726276" cy="376743"/>
          </a:xfrm>
          <a:prstGeom prst="rect">
            <a:avLst/>
          </a:prstGeom>
        </xdr:spPr>
      </xdr:pic>
      <xdr:pic>
        <xdr:nvPicPr>
          <xdr:cNvPr id="47" name="Picture 46">
            <a:extLst>
              <a:ext uri="{FF2B5EF4-FFF2-40B4-BE49-F238E27FC236}">
                <a16:creationId xmlns:a16="http://schemas.microsoft.com/office/drawing/2014/main" id="{BB689049-DDA2-500B-46DC-48AFCC6BFAD3}"/>
              </a:ext>
            </a:extLst>
          </xdr:cNvPr>
          <xdr:cNvPicPr>
            <a:picLocks noChangeAspect="1"/>
          </xdr:cNvPicPr>
        </xdr:nvPicPr>
        <xdr:blipFill>
          <a:blip xmlns:r="http://schemas.openxmlformats.org/officeDocument/2006/relationships" r:embed="rId27"/>
          <a:stretch>
            <a:fillRect/>
          </a:stretch>
        </xdr:blipFill>
        <xdr:spPr>
          <a:xfrm>
            <a:off x="21333500" y="5360771"/>
            <a:ext cx="1726276" cy="37674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160150</xdr:colOff>
      <xdr:row>36</xdr:row>
      <xdr:rowOff>151252</xdr:rowOff>
    </xdr:from>
    <xdr:to>
      <xdr:col>21</xdr:col>
      <xdr:colOff>693550</xdr:colOff>
      <xdr:row>41</xdr:row>
      <xdr:rowOff>293050</xdr:rowOff>
    </xdr:to>
    <xdr:graphicFrame macro="">
      <xdr:nvGraphicFramePr>
        <xdr:cNvPr id="2" name="Chart 1">
          <a:extLst>
            <a:ext uri="{FF2B5EF4-FFF2-40B4-BE49-F238E27FC236}">
              <a16:creationId xmlns:a16="http://schemas.microsoft.com/office/drawing/2014/main" id="{A1DBD5FF-CC78-440A-8AD7-711F82880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220603</xdr:colOff>
      <xdr:row>43</xdr:row>
      <xdr:rowOff>4235</xdr:rowOff>
    </xdr:from>
    <xdr:to>
      <xdr:col>21</xdr:col>
      <xdr:colOff>785338</xdr:colOff>
      <xdr:row>57</xdr:row>
      <xdr:rowOff>111302</xdr:rowOff>
    </xdr:to>
    <xdr:graphicFrame macro="">
      <xdr:nvGraphicFramePr>
        <xdr:cNvPr id="4" name="Chart 3">
          <a:extLst>
            <a:ext uri="{FF2B5EF4-FFF2-40B4-BE49-F238E27FC236}">
              <a16:creationId xmlns:a16="http://schemas.microsoft.com/office/drawing/2014/main" id="{5E6DE062-B869-43A6-BBBC-B50E2489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1096616</xdr:colOff>
      <xdr:row>36</xdr:row>
      <xdr:rowOff>123962</xdr:rowOff>
    </xdr:from>
    <xdr:to>
      <xdr:col>27</xdr:col>
      <xdr:colOff>512554</xdr:colOff>
      <xdr:row>41</xdr:row>
      <xdr:rowOff>265760</xdr:rowOff>
    </xdr:to>
    <xdr:graphicFrame macro="">
      <xdr:nvGraphicFramePr>
        <xdr:cNvPr id="22" name="Chart 21">
          <a:extLst>
            <a:ext uri="{FF2B5EF4-FFF2-40B4-BE49-F238E27FC236}">
              <a16:creationId xmlns:a16="http://schemas.microsoft.com/office/drawing/2014/main" id="{EDEC6514-5D2D-4308-ADB0-49915118F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287878</xdr:colOff>
      <xdr:row>58</xdr:row>
      <xdr:rowOff>117657</xdr:rowOff>
    </xdr:from>
    <xdr:to>
      <xdr:col>21</xdr:col>
      <xdr:colOff>782191</xdr:colOff>
      <xdr:row>72</xdr:row>
      <xdr:rowOff>108924</xdr:rowOff>
    </xdr:to>
    <xdr:grpSp>
      <xdr:nvGrpSpPr>
        <xdr:cNvPr id="11" name="Group 10">
          <a:extLst>
            <a:ext uri="{FF2B5EF4-FFF2-40B4-BE49-F238E27FC236}">
              <a16:creationId xmlns:a16="http://schemas.microsoft.com/office/drawing/2014/main" id="{629CE7E2-CB3C-A5D9-47A9-D462ACC2B6C9}"/>
            </a:ext>
          </a:extLst>
        </xdr:cNvPr>
        <xdr:cNvGrpSpPr/>
      </xdr:nvGrpSpPr>
      <xdr:grpSpPr>
        <a:xfrm>
          <a:off x="18116050" y="14418295"/>
          <a:ext cx="6077934" cy="2658267"/>
          <a:chOff x="18216566" y="17662751"/>
          <a:chExt cx="6361477" cy="2495135"/>
        </a:xfrm>
      </xdr:grpSpPr>
      <xdr:grpSp>
        <xdr:nvGrpSpPr>
          <xdr:cNvPr id="10" name="Group 9">
            <a:extLst>
              <a:ext uri="{FF2B5EF4-FFF2-40B4-BE49-F238E27FC236}">
                <a16:creationId xmlns:a16="http://schemas.microsoft.com/office/drawing/2014/main" id="{0DA329DB-A5D3-E140-E945-0777D73D2530}"/>
              </a:ext>
            </a:extLst>
          </xdr:cNvPr>
          <xdr:cNvGrpSpPr/>
        </xdr:nvGrpSpPr>
        <xdr:grpSpPr>
          <a:xfrm>
            <a:off x="18216566" y="17662751"/>
            <a:ext cx="5232345" cy="2492887"/>
            <a:chOff x="18216565" y="17665918"/>
            <a:chExt cx="5235496" cy="2489806"/>
          </a:xfrm>
        </xdr:grpSpPr>
        <xdr:graphicFrame macro="">
          <xdr:nvGraphicFramePr>
            <xdr:cNvPr id="17" name="Chart 16">
              <a:extLst>
                <a:ext uri="{FF2B5EF4-FFF2-40B4-BE49-F238E27FC236}">
                  <a16:creationId xmlns:a16="http://schemas.microsoft.com/office/drawing/2014/main" id="{BB4CDCE8-6423-44A8-8AEA-504B1BCE06D1}"/>
                </a:ext>
              </a:extLst>
            </xdr:cNvPr>
            <xdr:cNvGraphicFramePr>
              <a:graphicFrameLocks/>
            </xdr:cNvGraphicFramePr>
          </xdr:nvGraphicFramePr>
          <xdr:xfrm>
            <a:off x="18216565" y="17665918"/>
            <a:ext cx="2895032" cy="2482803"/>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9" name="Chart 18">
              <a:extLst>
                <a:ext uri="{FF2B5EF4-FFF2-40B4-BE49-F238E27FC236}">
                  <a16:creationId xmlns:a16="http://schemas.microsoft.com/office/drawing/2014/main" id="{0AB30908-DA41-4666-AC9B-154A0A55F53B}"/>
                </a:ext>
              </a:extLst>
            </xdr:cNvPr>
            <xdr:cNvGraphicFramePr>
              <a:graphicFrameLocks/>
            </xdr:cNvGraphicFramePr>
          </xdr:nvGraphicFramePr>
          <xdr:xfrm>
            <a:off x="20961464" y="17667167"/>
            <a:ext cx="2490597" cy="2488557"/>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28" name="Rectangle 27">
              <a:extLst>
                <a:ext uri="{FF2B5EF4-FFF2-40B4-BE49-F238E27FC236}">
                  <a16:creationId xmlns:a16="http://schemas.microsoft.com/office/drawing/2014/main" id="{01832D94-AABD-47B5-90AB-1B0AB7FF6259}"/>
                </a:ext>
              </a:extLst>
            </xdr:cNvPr>
            <xdr:cNvSpPr/>
          </xdr:nvSpPr>
          <xdr:spPr>
            <a:xfrm>
              <a:off x="20575139" y="17889513"/>
              <a:ext cx="457475" cy="273843"/>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OR</a:t>
              </a:r>
            </a:p>
          </xdr:txBody>
        </xdr:sp>
        <xdr:sp macro="" textlink="">
          <xdr:nvSpPr>
            <xdr:cNvPr id="29" name="Rectangle 28">
              <a:extLst>
                <a:ext uri="{FF2B5EF4-FFF2-40B4-BE49-F238E27FC236}">
                  <a16:creationId xmlns:a16="http://schemas.microsoft.com/office/drawing/2014/main" id="{B0237BDB-3150-4345-8684-B1D4F5543FD3}"/>
                </a:ext>
              </a:extLst>
            </xdr:cNvPr>
            <xdr:cNvSpPr/>
          </xdr:nvSpPr>
          <xdr:spPr>
            <a:xfrm>
              <a:off x="22845764" y="17887643"/>
              <a:ext cx="457475" cy="273843"/>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WA</a:t>
              </a:r>
            </a:p>
          </xdr:txBody>
        </xdr:sp>
      </xdr:grpSp>
      <xdr:pic>
        <xdr:nvPicPr>
          <xdr:cNvPr id="31" name="Picture 30" descr="Chart, line chart&#10;&#10;Description automatically generated">
            <a:extLst>
              <a:ext uri="{FF2B5EF4-FFF2-40B4-BE49-F238E27FC236}">
                <a16:creationId xmlns:a16="http://schemas.microsoft.com/office/drawing/2014/main" id="{C8CB89C7-6EC6-4492-AFEB-EAAC0E2DFE9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78506"/>
          <a:stretch/>
        </xdr:blipFill>
        <xdr:spPr bwMode="auto">
          <a:xfrm>
            <a:off x="23288669" y="17666249"/>
            <a:ext cx="1289374" cy="2491637"/>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28</xdr:col>
      <xdr:colOff>26378</xdr:colOff>
      <xdr:row>36</xdr:row>
      <xdr:rowOff>192518</xdr:rowOff>
    </xdr:from>
    <xdr:to>
      <xdr:col>33</xdr:col>
      <xdr:colOff>875637</xdr:colOff>
      <xdr:row>47</xdr:row>
      <xdr:rowOff>124599</xdr:rowOff>
    </xdr:to>
    <xdr:grpSp>
      <xdr:nvGrpSpPr>
        <xdr:cNvPr id="40" name="Group 39">
          <a:extLst>
            <a:ext uri="{FF2B5EF4-FFF2-40B4-BE49-F238E27FC236}">
              <a16:creationId xmlns:a16="http://schemas.microsoft.com/office/drawing/2014/main" id="{240CA9D3-F22F-04BF-6E1E-02346DF94228}"/>
            </a:ext>
          </a:extLst>
        </xdr:cNvPr>
        <xdr:cNvGrpSpPr/>
      </xdr:nvGrpSpPr>
      <xdr:grpSpPr>
        <a:xfrm>
          <a:off x="31255240" y="8581087"/>
          <a:ext cx="6432880" cy="3748650"/>
          <a:chOff x="33084144" y="8051144"/>
          <a:chExt cx="6413864" cy="3762635"/>
        </a:xfrm>
      </xdr:grpSpPr>
      <xdr:grpSp>
        <xdr:nvGrpSpPr>
          <xdr:cNvPr id="38" name="Group 37">
            <a:extLst>
              <a:ext uri="{FF2B5EF4-FFF2-40B4-BE49-F238E27FC236}">
                <a16:creationId xmlns:a16="http://schemas.microsoft.com/office/drawing/2014/main" id="{FD84E542-495D-BF5A-283F-AEF63BBC8DC5}"/>
              </a:ext>
            </a:extLst>
          </xdr:cNvPr>
          <xdr:cNvGrpSpPr/>
        </xdr:nvGrpSpPr>
        <xdr:grpSpPr>
          <a:xfrm>
            <a:off x="33084144" y="8051144"/>
            <a:ext cx="6413864" cy="3762635"/>
            <a:chOff x="33103040" y="8041118"/>
            <a:chExt cx="6417720" cy="3761882"/>
          </a:xfrm>
        </xdr:grpSpPr>
        <xdr:grpSp>
          <xdr:nvGrpSpPr>
            <xdr:cNvPr id="24" name="Group 23">
              <a:extLst>
                <a:ext uri="{FF2B5EF4-FFF2-40B4-BE49-F238E27FC236}">
                  <a16:creationId xmlns:a16="http://schemas.microsoft.com/office/drawing/2014/main" id="{932D62D0-5451-90C4-61A0-CCA095A0A768}"/>
                </a:ext>
              </a:extLst>
            </xdr:cNvPr>
            <xdr:cNvGrpSpPr/>
          </xdr:nvGrpSpPr>
          <xdr:grpSpPr>
            <a:xfrm>
              <a:off x="33103040" y="8041118"/>
              <a:ext cx="6417720" cy="3669118"/>
              <a:chOff x="32967386" y="8057434"/>
              <a:chExt cx="6428186" cy="3705469"/>
            </a:xfrm>
          </xdr:grpSpPr>
          <xdr:graphicFrame macro="">
            <xdr:nvGraphicFramePr>
              <xdr:cNvPr id="36" name="Chart 35">
                <a:extLst>
                  <a:ext uri="{FF2B5EF4-FFF2-40B4-BE49-F238E27FC236}">
                    <a16:creationId xmlns:a16="http://schemas.microsoft.com/office/drawing/2014/main" id="{4ADED3C3-38F3-4794-B003-6B140E57D21C}"/>
                  </a:ext>
                </a:extLst>
              </xdr:cNvPr>
              <xdr:cNvGraphicFramePr>
                <a:graphicFrameLocks/>
              </xdr:cNvGraphicFramePr>
            </xdr:nvGraphicFramePr>
            <xdr:xfrm>
              <a:off x="36188120" y="10096591"/>
              <a:ext cx="3207452" cy="1666312"/>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7" name="Chart 6">
                <a:extLst>
                  <a:ext uri="{FF2B5EF4-FFF2-40B4-BE49-F238E27FC236}">
                    <a16:creationId xmlns:a16="http://schemas.microsoft.com/office/drawing/2014/main" id="{B5282D8E-D55D-4BA3-8AE7-04C3A3E705CE}"/>
                  </a:ext>
                </a:extLst>
              </xdr:cNvPr>
              <xdr:cNvGraphicFramePr>
                <a:graphicFrameLocks/>
              </xdr:cNvGraphicFramePr>
            </xdr:nvGraphicFramePr>
            <xdr:xfrm>
              <a:off x="32968255" y="10091427"/>
              <a:ext cx="3204587" cy="1666312"/>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12" name="Group 11">
                <a:extLst>
                  <a:ext uri="{FF2B5EF4-FFF2-40B4-BE49-F238E27FC236}">
                    <a16:creationId xmlns:a16="http://schemas.microsoft.com/office/drawing/2014/main" id="{9E227FCB-36DB-A205-84EB-DA4D4710297E}"/>
                  </a:ext>
                </a:extLst>
              </xdr:cNvPr>
              <xdr:cNvGrpSpPr/>
            </xdr:nvGrpSpPr>
            <xdr:grpSpPr>
              <a:xfrm>
                <a:off x="32985643" y="8232893"/>
                <a:ext cx="6408799" cy="1666738"/>
                <a:chOff x="32965464" y="8225860"/>
                <a:chExt cx="6405481" cy="1663823"/>
              </a:xfrm>
            </xdr:grpSpPr>
            <xdr:graphicFrame macro="">
              <xdr:nvGraphicFramePr>
                <xdr:cNvPr id="26" name="Chart 25">
                  <a:extLst>
                    <a:ext uri="{FF2B5EF4-FFF2-40B4-BE49-F238E27FC236}">
                      <a16:creationId xmlns:a16="http://schemas.microsoft.com/office/drawing/2014/main" id="{2A7C3564-1B75-4DD6-FF64-3328C0B4A9E3}"/>
                    </a:ext>
                  </a:extLst>
                </xdr:cNvPr>
                <xdr:cNvGraphicFramePr>
                  <a:graphicFrameLocks/>
                </xdr:cNvGraphicFramePr>
              </xdr:nvGraphicFramePr>
              <xdr:xfrm>
                <a:off x="32965464" y="8226285"/>
                <a:ext cx="3204802" cy="1663398"/>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27" name="Chart 26">
                  <a:extLst>
                    <a:ext uri="{FF2B5EF4-FFF2-40B4-BE49-F238E27FC236}">
                      <a16:creationId xmlns:a16="http://schemas.microsoft.com/office/drawing/2014/main" id="{93465E45-6443-3953-F77A-655FF080DBF5}"/>
                    </a:ext>
                  </a:extLst>
                </xdr:cNvPr>
                <xdr:cNvGraphicFramePr>
                  <a:graphicFrameLocks/>
                </xdr:cNvGraphicFramePr>
              </xdr:nvGraphicFramePr>
              <xdr:xfrm>
                <a:off x="36163942" y="8225860"/>
                <a:ext cx="3207003" cy="1663398"/>
              </xdr:xfrm>
              <a:graphic>
                <a:graphicData uri="http://schemas.openxmlformats.org/drawingml/2006/chart">
                  <c:chart xmlns:c="http://schemas.openxmlformats.org/drawingml/2006/chart" xmlns:r="http://schemas.openxmlformats.org/officeDocument/2006/relationships" r:id="rId10"/>
                </a:graphicData>
              </a:graphic>
            </xdr:graphicFrame>
          </xdr:grpSp>
          <xdr:sp macro="" textlink="">
            <xdr:nvSpPr>
              <xdr:cNvPr id="32" name="Rectangle 31">
                <a:extLst>
                  <a:ext uri="{FF2B5EF4-FFF2-40B4-BE49-F238E27FC236}">
                    <a16:creationId xmlns:a16="http://schemas.microsoft.com/office/drawing/2014/main" id="{DA93F558-A008-1529-74E5-7A3CCDC1D9FF}"/>
                  </a:ext>
                </a:extLst>
              </xdr:cNvPr>
              <xdr:cNvSpPr/>
            </xdr:nvSpPr>
            <xdr:spPr>
              <a:xfrm>
                <a:off x="32967386" y="8057434"/>
                <a:ext cx="6415123"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solidFill>
                      <a:srgbClr val="FFFFFF"/>
                    </a:solidFill>
                    <a:effectLst/>
                    <a:ea typeface="Calibri" panose="020F0502020204030204" pitchFamily="34" charset="0"/>
                    <a:cs typeface="Times New Roman" panose="02020603050405020304" pitchFamily="18" charset="0"/>
                  </a:rPr>
                  <a:t>Average Cost of Decarbonization</a:t>
                </a:r>
                <a:endParaRPr lang="en-US" sz="1100">
                  <a:effectLst/>
                  <a:ea typeface="Calibri" panose="020F0502020204030204" pitchFamily="34" charset="0"/>
                  <a:cs typeface="Times New Roman" panose="02020603050405020304" pitchFamily="18" charset="0"/>
                </a:endParaRPr>
              </a:p>
            </xdr:txBody>
          </xdr:sp>
          <xdr:sp macro="" textlink="">
            <xdr:nvSpPr>
              <xdr:cNvPr id="34" name="Rectangle 33">
                <a:extLst>
                  <a:ext uri="{FF2B5EF4-FFF2-40B4-BE49-F238E27FC236}">
                    <a16:creationId xmlns:a16="http://schemas.microsoft.com/office/drawing/2014/main" id="{3D0EBDC2-0D8E-4F7E-9678-596554C51682}"/>
                  </a:ext>
                </a:extLst>
              </xdr:cNvPr>
              <xdr:cNvSpPr/>
            </xdr:nvSpPr>
            <xdr:spPr>
              <a:xfrm>
                <a:off x="32969389" y="9921110"/>
                <a:ext cx="6396131"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solidFill>
                      <a:srgbClr val="FFFFFF"/>
                    </a:solidFill>
                    <a:effectLst/>
                    <a:ea typeface="Calibri" panose="020F0502020204030204" pitchFamily="34" charset="0"/>
                    <a:cs typeface="Times New Roman" panose="02020603050405020304" pitchFamily="18" charset="0"/>
                  </a:rPr>
                  <a:t>Percentage</a:t>
                </a:r>
                <a:r>
                  <a:rPr lang="en-US" sz="1100" b="1" baseline="0">
                    <a:solidFill>
                      <a:srgbClr val="FFFFFF"/>
                    </a:solidFill>
                    <a:effectLst/>
                    <a:ea typeface="Calibri" panose="020F0502020204030204" pitchFamily="34" charset="0"/>
                    <a:cs typeface="Times New Roman" panose="02020603050405020304" pitchFamily="18" charset="0"/>
                  </a:rPr>
                  <a:t> of Deliveries in the Year</a:t>
                </a:r>
                <a:endParaRPr lang="en-US" sz="1100">
                  <a:effectLst/>
                  <a:ea typeface="Calibri" panose="020F0502020204030204" pitchFamily="34" charset="0"/>
                  <a:cs typeface="Times New Roman" panose="02020603050405020304" pitchFamily="18" charset="0"/>
                </a:endParaRPr>
              </a:p>
            </xdr:txBody>
          </xdr:sp>
        </xdr:grpSp>
        <xdr:pic>
          <xdr:nvPicPr>
            <xdr:cNvPr id="37" name="Picture 36">
              <a:extLst>
                <a:ext uri="{FF2B5EF4-FFF2-40B4-BE49-F238E27FC236}">
                  <a16:creationId xmlns:a16="http://schemas.microsoft.com/office/drawing/2014/main" id="{A9993074-6D31-5F82-F92C-6496F3333673}"/>
                </a:ext>
              </a:extLst>
            </xdr:cNvPr>
            <xdr:cNvPicPr>
              <a:picLocks noChangeAspect="1"/>
            </xdr:cNvPicPr>
          </xdr:nvPicPr>
          <xdr:blipFill>
            <a:blip xmlns:r="http://schemas.openxmlformats.org/officeDocument/2006/relationships" r:embed="rId11"/>
            <a:stretch>
              <a:fillRect/>
            </a:stretch>
          </xdr:blipFill>
          <xdr:spPr>
            <a:xfrm>
              <a:off x="34018904" y="11596226"/>
              <a:ext cx="4572000" cy="206774"/>
            </a:xfrm>
            <a:prstGeom prst="rect">
              <a:avLst/>
            </a:prstGeom>
          </xdr:spPr>
        </xdr:pic>
      </xdr:grpSp>
      <xdr:pic>
        <xdr:nvPicPr>
          <xdr:cNvPr id="39" name="Picture 38">
            <a:extLst>
              <a:ext uri="{FF2B5EF4-FFF2-40B4-BE49-F238E27FC236}">
                <a16:creationId xmlns:a16="http://schemas.microsoft.com/office/drawing/2014/main" id="{E921A45C-60DE-F9F1-E635-2EBD4FE1E7C6}"/>
              </a:ext>
            </a:extLst>
          </xdr:cNvPr>
          <xdr:cNvPicPr>
            <a:picLocks noChangeAspect="1"/>
          </xdr:cNvPicPr>
        </xdr:nvPicPr>
        <xdr:blipFill>
          <a:blip xmlns:r="http://schemas.openxmlformats.org/officeDocument/2006/relationships" r:embed="rId12"/>
          <a:stretch>
            <a:fillRect/>
          </a:stretch>
        </xdr:blipFill>
        <xdr:spPr>
          <a:xfrm>
            <a:off x="33811052" y="9700468"/>
            <a:ext cx="4663440" cy="179768"/>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1076941</xdr:colOff>
      <xdr:row>42</xdr:row>
      <xdr:rowOff>25538</xdr:rowOff>
    </xdr:from>
    <xdr:to>
      <xdr:col>30</xdr:col>
      <xdr:colOff>133638</xdr:colOff>
      <xdr:row>56</xdr:row>
      <xdr:rowOff>10823</xdr:rowOff>
    </xdr:to>
    <xdr:graphicFrame macro="">
      <xdr:nvGraphicFramePr>
        <xdr:cNvPr id="2" name="Chart 1">
          <a:extLst>
            <a:ext uri="{FF2B5EF4-FFF2-40B4-BE49-F238E27FC236}">
              <a16:creationId xmlns:a16="http://schemas.microsoft.com/office/drawing/2014/main" id="{648EA7F2-2C0A-47E3-A6B0-BF4131F86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1044466</xdr:colOff>
      <xdr:row>57</xdr:row>
      <xdr:rowOff>118242</xdr:rowOff>
    </xdr:from>
    <xdr:to>
      <xdr:col>30</xdr:col>
      <xdr:colOff>107513</xdr:colOff>
      <xdr:row>71</xdr:row>
      <xdr:rowOff>94003</xdr:rowOff>
    </xdr:to>
    <xdr:graphicFrame macro="">
      <xdr:nvGraphicFramePr>
        <xdr:cNvPr id="3" name="Chart 2">
          <a:extLst>
            <a:ext uri="{FF2B5EF4-FFF2-40B4-BE49-F238E27FC236}">
              <a16:creationId xmlns:a16="http://schemas.microsoft.com/office/drawing/2014/main" id="{14BA98E4-11D7-43D3-B021-5287B6188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184149</xdr:colOff>
      <xdr:row>32</xdr:row>
      <xdr:rowOff>26987</xdr:rowOff>
    </xdr:from>
    <xdr:to>
      <xdr:col>10</xdr:col>
      <xdr:colOff>1200149</xdr:colOff>
      <xdr:row>59</xdr:row>
      <xdr:rowOff>179387</xdr:rowOff>
    </xdr:to>
    <xdr:graphicFrame macro="">
      <xdr:nvGraphicFramePr>
        <xdr:cNvPr id="2" name="Chart 1">
          <a:extLst>
            <a:ext uri="{FF2B5EF4-FFF2-40B4-BE49-F238E27FC236}">
              <a16:creationId xmlns:a16="http://schemas.microsoft.com/office/drawing/2014/main" id="{35C10515-537F-43D5-BA8A-786741D04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7240</xdr:colOff>
      <xdr:row>6</xdr:row>
      <xdr:rowOff>175260</xdr:rowOff>
    </xdr:from>
    <xdr:to>
      <xdr:col>24</xdr:col>
      <xdr:colOff>576227</xdr:colOff>
      <xdr:row>47</xdr:row>
      <xdr:rowOff>73744</xdr:rowOff>
    </xdr:to>
    <xdr:grpSp>
      <xdr:nvGrpSpPr>
        <xdr:cNvPr id="2" name="Group 1">
          <a:extLst>
            <a:ext uri="{FF2B5EF4-FFF2-40B4-BE49-F238E27FC236}">
              <a16:creationId xmlns:a16="http://schemas.microsoft.com/office/drawing/2014/main" id="{F62EA058-340A-4F5F-88CC-06DA4B83F45D}"/>
            </a:ext>
          </a:extLst>
        </xdr:cNvPr>
        <xdr:cNvGrpSpPr/>
      </xdr:nvGrpSpPr>
      <xdr:grpSpPr>
        <a:xfrm>
          <a:off x="9017890" y="1756410"/>
          <a:ext cx="6664987" cy="7718509"/>
          <a:chOff x="9004432" y="1714500"/>
          <a:chExt cx="6500367" cy="7411078"/>
        </a:xfrm>
      </xdr:grpSpPr>
      <xdr:graphicFrame macro="">
        <xdr:nvGraphicFramePr>
          <xdr:cNvPr id="3" name="Chart 2">
            <a:extLst>
              <a:ext uri="{FF2B5EF4-FFF2-40B4-BE49-F238E27FC236}">
                <a16:creationId xmlns:a16="http://schemas.microsoft.com/office/drawing/2014/main" id="{FFFA6A28-8D53-49CC-B7E5-FAC65F38F175}"/>
              </a:ext>
            </a:extLst>
          </xdr:cNvPr>
          <xdr:cNvGraphicFramePr>
            <a:graphicFrameLocks/>
          </xdr:cNvGraphicFramePr>
        </xdr:nvGraphicFramePr>
        <xdr:xfrm>
          <a:off x="9044940" y="1714500"/>
          <a:ext cx="6459859" cy="245485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B088311-6AC0-5636-95EE-0D48CE7798A6}"/>
              </a:ext>
            </a:extLst>
          </xdr:cNvPr>
          <xdr:cNvGraphicFramePr>
            <a:graphicFrameLocks/>
          </xdr:cNvGraphicFramePr>
        </xdr:nvGraphicFramePr>
        <xdr:xfrm>
          <a:off x="9046180" y="4049159"/>
          <a:ext cx="6370140" cy="263897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DFAB7D70-DFE8-B004-3B49-479C36074216}"/>
              </a:ext>
            </a:extLst>
          </xdr:cNvPr>
          <xdr:cNvGraphicFramePr>
            <a:graphicFrameLocks/>
          </xdr:cNvGraphicFramePr>
        </xdr:nvGraphicFramePr>
        <xdr:xfrm>
          <a:off x="9004432" y="6670719"/>
          <a:ext cx="6428113" cy="2454859"/>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26</xdr:col>
      <xdr:colOff>541728</xdr:colOff>
      <xdr:row>14</xdr:row>
      <xdr:rowOff>178861</xdr:rowOff>
    </xdr:from>
    <xdr:to>
      <xdr:col>37</xdr:col>
      <xdr:colOff>285902</xdr:colOff>
      <xdr:row>36</xdr:row>
      <xdr:rowOff>14746</xdr:rowOff>
    </xdr:to>
    <xdr:grpSp>
      <xdr:nvGrpSpPr>
        <xdr:cNvPr id="7" name="Group 6">
          <a:extLst>
            <a:ext uri="{FF2B5EF4-FFF2-40B4-BE49-F238E27FC236}">
              <a16:creationId xmlns:a16="http://schemas.microsoft.com/office/drawing/2014/main" id="{8BEF15E0-284B-4BDF-89A8-C63485B4FBEE}"/>
            </a:ext>
          </a:extLst>
        </xdr:cNvPr>
        <xdr:cNvGrpSpPr/>
      </xdr:nvGrpSpPr>
      <xdr:grpSpPr>
        <a:xfrm>
          <a:off x="16867578" y="3293536"/>
          <a:ext cx="6449774" cy="4026885"/>
          <a:chOff x="16799713" y="3298299"/>
          <a:chExt cx="6423618" cy="4026885"/>
        </a:xfrm>
      </xdr:grpSpPr>
      <xdr:grpSp>
        <xdr:nvGrpSpPr>
          <xdr:cNvPr id="8" name="Group 7">
            <a:extLst>
              <a:ext uri="{FF2B5EF4-FFF2-40B4-BE49-F238E27FC236}">
                <a16:creationId xmlns:a16="http://schemas.microsoft.com/office/drawing/2014/main" id="{85E90B79-C377-1BC9-82A3-C23C37631E10}"/>
              </a:ext>
            </a:extLst>
          </xdr:cNvPr>
          <xdr:cNvGrpSpPr/>
        </xdr:nvGrpSpPr>
        <xdr:grpSpPr>
          <a:xfrm>
            <a:off x="16799713" y="3304443"/>
            <a:ext cx="6423618" cy="4020741"/>
            <a:chOff x="16891884" y="3298695"/>
            <a:chExt cx="6464116" cy="4020741"/>
          </a:xfrm>
        </xdr:grpSpPr>
        <xdr:grpSp>
          <xdr:nvGrpSpPr>
            <xdr:cNvPr id="11" name="Group 10">
              <a:extLst>
                <a:ext uri="{FF2B5EF4-FFF2-40B4-BE49-F238E27FC236}">
                  <a16:creationId xmlns:a16="http://schemas.microsoft.com/office/drawing/2014/main" id="{321B9A2C-581D-B92C-4C90-C9A6241A38C0}"/>
                </a:ext>
              </a:extLst>
            </xdr:cNvPr>
            <xdr:cNvGrpSpPr/>
          </xdr:nvGrpSpPr>
          <xdr:grpSpPr>
            <a:xfrm>
              <a:off x="16937687" y="5363657"/>
              <a:ext cx="6418313" cy="1955779"/>
              <a:chOff x="16931119" y="5232277"/>
              <a:chExt cx="6418313" cy="1955779"/>
            </a:xfrm>
          </xdr:grpSpPr>
          <xdr:graphicFrame macro="">
            <xdr:nvGraphicFramePr>
              <xdr:cNvPr id="17" name="Chart 16">
                <a:extLst>
                  <a:ext uri="{FF2B5EF4-FFF2-40B4-BE49-F238E27FC236}">
                    <a16:creationId xmlns:a16="http://schemas.microsoft.com/office/drawing/2014/main" id="{E133F803-67E7-F159-7261-69A3163693A1}"/>
                  </a:ext>
                </a:extLst>
              </xdr:cNvPr>
              <xdr:cNvGraphicFramePr>
                <a:graphicFrameLocks/>
              </xdr:cNvGraphicFramePr>
            </xdr:nvGraphicFramePr>
            <xdr:xfrm>
              <a:off x="16959453" y="5359256"/>
              <a:ext cx="3215553" cy="18288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8" name="Chart 17">
                <a:extLst>
                  <a:ext uri="{FF2B5EF4-FFF2-40B4-BE49-F238E27FC236}">
                    <a16:creationId xmlns:a16="http://schemas.microsoft.com/office/drawing/2014/main" id="{31F71ED4-4CDA-8EF7-3919-B5E0FDDEF2C5}"/>
                  </a:ext>
                </a:extLst>
              </xdr:cNvPr>
              <xdr:cNvGraphicFramePr>
                <a:graphicFrameLocks/>
              </xdr:cNvGraphicFramePr>
            </xdr:nvGraphicFramePr>
            <xdr:xfrm>
              <a:off x="20133879" y="5302649"/>
              <a:ext cx="3215553" cy="1828800"/>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19" name="Rectangle 18">
                <a:extLst>
                  <a:ext uri="{FF2B5EF4-FFF2-40B4-BE49-F238E27FC236}">
                    <a16:creationId xmlns:a16="http://schemas.microsoft.com/office/drawing/2014/main" id="{5B0109D4-E3B8-E22D-C8FF-9DF08F13D349}"/>
                  </a:ext>
                </a:extLst>
              </xdr:cNvPr>
              <xdr:cNvSpPr/>
            </xdr:nvSpPr>
            <xdr:spPr>
              <a:xfrm>
                <a:off x="16931119" y="5232277"/>
                <a:ext cx="4490076"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Residential Average Annaul Payment</a:t>
                </a:r>
              </a:p>
            </xdr:txBody>
          </xdr:sp>
          <xdr:pic>
            <xdr:nvPicPr>
              <xdr:cNvPr id="20" name="Picture 19">
                <a:extLst>
                  <a:ext uri="{FF2B5EF4-FFF2-40B4-BE49-F238E27FC236}">
                    <a16:creationId xmlns:a16="http://schemas.microsoft.com/office/drawing/2014/main" id="{B9A6468B-856A-7F88-0A2C-68B75BFF84BF}"/>
                  </a:ext>
                </a:extLst>
              </xdr:cNvPr>
              <xdr:cNvPicPr>
                <a:picLocks noChangeAspect="1"/>
              </xdr:cNvPicPr>
            </xdr:nvPicPr>
            <xdr:blipFill>
              <a:blip xmlns:r="http://schemas.openxmlformats.org/officeDocument/2006/relationships" r:embed="rId6"/>
              <a:stretch>
                <a:fillRect/>
              </a:stretch>
            </xdr:blipFill>
            <xdr:spPr>
              <a:xfrm>
                <a:off x="16934795" y="5449829"/>
                <a:ext cx="164964" cy="1737360"/>
              </a:xfrm>
              <a:prstGeom prst="rect">
                <a:avLst/>
              </a:prstGeom>
            </xdr:spPr>
          </xdr:pic>
          <xdr:pic>
            <xdr:nvPicPr>
              <xdr:cNvPr id="21" name="Picture 20">
                <a:extLst>
                  <a:ext uri="{FF2B5EF4-FFF2-40B4-BE49-F238E27FC236}">
                    <a16:creationId xmlns:a16="http://schemas.microsoft.com/office/drawing/2014/main" id="{9B0016D0-FEB4-A858-9AB2-775D4F1C3651}"/>
                  </a:ext>
                </a:extLst>
              </xdr:cNvPr>
              <xdr:cNvPicPr>
                <a:picLocks noChangeAspect="1"/>
              </xdr:cNvPicPr>
            </xdr:nvPicPr>
            <xdr:blipFill>
              <a:blip xmlns:r="http://schemas.openxmlformats.org/officeDocument/2006/relationships" r:embed="rId6"/>
              <a:stretch>
                <a:fillRect/>
              </a:stretch>
            </xdr:blipFill>
            <xdr:spPr>
              <a:xfrm>
                <a:off x="20141764" y="5440784"/>
                <a:ext cx="164964" cy="1737360"/>
              </a:xfrm>
              <a:prstGeom prst="rect">
                <a:avLst/>
              </a:prstGeom>
            </xdr:spPr>
          </xdr:pic>
        </xdr:grpSp>
        <xdr:grpSp>
          <xdr:nvGrpSpPr>
            <xdr:cNvPr id="12" name="Group 11">
              <a:extLst>
                <a:ext uri="{FF2B5EF4-FFF2-40B4-BE49-F238E27FC236}">
                  <a16:creationId xmlns:a16="http://schemas.microsoft.com/office/drawing/2014/main" id="{19F66C02-13DE-523A-37A6-7A3CF4274405}"/>
                </a:ext>
              </a:extLst>
            </xdr:cNvPr>
            <xdr:cNvGrpSpPr/>
          </xdr:nvGrpSpPr>
          <xdr:grpSpPr>
            <a:xfrm>
              <a:off x="16891884" y="3298695"/>
              <a:ext cx="6337251" cy="1970149"/>
              <a:chOff x="16891884" y="3298695"/>
              <a:chExt cx="6337251" cy="1970149"/>
            </a:xfrm>
          </xdr:grpSpPr>
          <xdr:grpSp>
            <xdr:nvGrpSpPr>
              <xdr:cNvPr id="13" name="Group 12">
                <a:extLst>
                  <a:ext uri="{FF2B5EF4-FFF2-40B4-BE49-F238E27FC236}">
                    <a16:creationId xmlns:a16="http://schemas.microsoft.com/office/drawing/2014/main" id="{58B22AF8-60C9-C630-C36F-75BB599A1875}"/>
                  </a:ext>
                </a:extLst>
              </xdr:cNvPr>
              <xdr:cNvGrpSpPr/>
            </xdr:nvGrpSpPr>
            <xdr:grpSpPr>
              <a:xfrm>
                <a:off x="16891884" y="3429571"/>
                <a:ext cx="6337251" cy="1839273"/>
                <a:chOff x="16948049" y="1557572"/>
                <a:chExt cx="6322767" cy="1767276"/>
              </a:xfrm>
            </xdr:grpSpPr>
            <xdr:graphicFrame macro="">
              <xdr:nvGraphicFramePr>
                <xdr:cNvPr id="15" name="Chart 14">
                  <a:extLst>
                    <a:ext uri="{FF2B5EF4-FFF2-40B4-BE49-F238E27FC236}">
                      <a16:creationId xmlns:a16="http://schemas.microsoft.com/office/drawing/2014/main" id="{7DC51D22-FDE8-07BB-E50F-91706459C28F}"/>
                    </a:ext>
                  </a:extLst>
                </xdr:cNvPr>
                <xdr:cNvGraphicFramePr>
                  <a:graphicFrameLocks/>
                </xdr:cNvGraphicFramePr>
              </xdr:nvGraphicFramePr>
              <xdr:xfrm>
                <a:off x="16948049" y="1567635"/>
                <a:ext cx="3208286" cy="175721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6" name="Chart 15">
                  <a:extLst>
                    <a:ext uri="{FF2B5EF4-FFF2-40B4-BE49-F238E27FC236}">
                      <a16:creationId xmlns:a16="http://schemas.microsoft.com/office/drawing/2014/main" id="{881C7369-C445-A336-F83B-4449AC3F231D}"/>
                    </a:ext>
                  </a:extLst>
                </xdr:cNvPr>
                <xdr:cNvGraphicFramePr>
                  <a:graphicFrameLocks/>
                </xdr:cNvGraphicFramePr>
              </xdr:nvGraphicFramePr>
              <xdr:xfrm>
                <a:off x="20062613" y="1557572"/>
                <a:ext cx="3208203" cy="1757213"/>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
            <xdr:nvSpPr>
              <xdr:cNvPr id="14" name="Rectangle 13">
                <a:extLst>
                  <a:ext uri="{FF2B5EF4-FFF2-40B4-BE49-F238E27FC236}">
                    <a16:creationId xmlns:a16="http://schemas.microsoft.com/office/drawing/2014/main" id="{9A56870D-A84E-247E-DDF0-1FE904F87619}"/>
                  </a:ext>
                </a:extLst>
              </xdr:cNvPr>
              <xdr:cNvSpPr/>
            </xdr:nvSpPr>
            <xdr:spPr>
              <a:xfrm>
                <a:off x="16939565" y="3298695"/>
                <a:ext cx="4369773" cy="18288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100" b="1"/>
                  <a:t>Residential Use Per Customer</a:t>
                </a:r>
              </a:p>
            </xdr:txBody>
          </xdr:sp>
        </xdr:grpSp>
      </xdr:grpSp>
      <xdr:pic>
        <xdr:nvPicPr>
          <xdr:cNvPr id="9" name="Picture 8">
            <a:extLst>
              <a:ext uri="{FF2B5EF4-FFF2-40B4-BE49-F238E27FC236}">
                <a16:creationId xmlns:a16="http://schemas.microsoft.com/office/drawing/2014/main" id="{166079EC-ABA4-B7A3-99D0-84810980B30E}"/>
              </a:ext>
            </a:extLst>
          </xdr:cNvPr>
          <xdr:cNvPicPr>
            <a:picLocks noChangeAspect="1"/>
          </xdr:cNvPicPr>
        </xdr:nvPicPr>
        <xdr:blipFill>
          <a:blip xmlns:r="http://schemas.openxmlformats.org/officeDocument/2006/relationships" r:embed="rId9"/>
          <a:stretch>
            <a:fillRect/>
          </a:stretch>
        </xdr:blipFill>
        <xdr:spPr>
          <a:xfrm>
            <a:off x="21271897" y="3298299"/>
            <a:ext cx="1726276" cy="376743"/>
          </a:xfrm>
          <a:prstGeom prst="rect">
            <a:avLst/>
          </a:prstGeom>
        </xdr:spPr>
      </xdr:pic>
      <xdr:pic>
        <xdr:nvPicPr>
          <xdr:cNvPr id="10" name="Picture 9">
            <a:extLst>
              <a:ext uri="{FF2B5EF4-FFF2-40B4-BE49-F238E27FC236}">
                <a16:creationId xmlns:a16="http://schemas.microsoft.com/office/drawing/2014/main" id="{54DEEF0F-BBD0-C8C5-F75F-5A90F1064088}"/>
              </a:ext>
            </a:extLst>
          </xdr:cNvPr>
          <xdr:cNvPicPr>
            <a:picLocks noChangeAspect="1"/>
          </xdr:cNvPicPr>
        </xdr:nvPicPr>
        <xdr:blipFill>
          <a:blip xmlns:r="http://schemas.openxmlformats.org/officeDocument/2006/relationships" r:embed="rId9"/>
          <a:stretch>
            <a:fillRect/>
          </a:stretch>
        </xdr:blipFill>
        <xdr:spPr>
          <a:xfrm>
            <a:off x="21333500" y="5360771"/>
            <a:ext cx="1726276" cy="376743"/>
          </a:xfrm>
          <a:prstGeom prst="rect">
            <a:avLst/>
          </a:prstGeom>
        </xdr:spPr>
      </xdr:pic>
    </xdr:grpSp>
    <xdr:clientData/>
  </xdr:twoCellAnchor>
  <xdr:twoCellAnchor>
    <xdr:from>
      <xdr:col>0</xdr:col>
      <xdr:colOff>469985</xdr:colOff>
      <xdr:row>12</xdr:row>
      <xdr:rowOff>104691</xdr:rowOff>
    </xdr:from>
    <xdr:to>
      <xdr:col>10</xdr:col>
      <xdr:colOff>247264</xdr:colOff>
      <xdr:row>41</xdr:row>
      <xdr:rowOff>125430</xdr:rowOff>
    </xdr:to>
    <xdr:grpSp>
      <xdr:nvGrpSpPr>
        <xdr:cNvPr id="23" name="Group 22">
          <a:extLst>
            <a:ext uri="{FF2B5EF4-FFF2-40B4-BE49-F238E27FC236}">
              <a16:creationId xmlns:a16="http://schemas.microsoft.com/office/drawing/2014/main" id="{58202324-ADE7-4554-B7BE-1D9C0569F42D}"/>
            </a:ext>
          </a:extLst>
        </xdr:cNvPr>
        <xdr:cNvGrpSpPr/>
      </xdr:nvGrpSpPr>
      <xdr:grpSpPr>
        <a:xfrm>
          <a:off x="469985" y="2838366"/>
          <a:ext cx="6349529" cy="5545239"/>
          <a:chOff x="469896" y="2838366"/>
          <a:chExt cx="6340108" cy="5545239"/>
        </a:xfrm>
      </xdr:grpSpPr>
      <xdr:grpSp>
        <xdr:nvGrpSpPr>
          <xdr:cNvPr id="24" name="Group 23">
            <a:extLst>
              <a:ext uri="{FF2B5EF4-FFF2-40B4-BE49-F238E27FC236}">
                <a16:creationId xmlns:a16="http://schemas.microsoft.com/office/drawing/2014/main" id="{BFD1A3A6-354B-AB53-24C7-94B42E03F2DA}"/>
              </a:ext>
            </a:extLst>
          </xdr:cNvPr>
          <xdr:cNvGrpSpPr/>
        </xdr:nvGrpSpPr>
        <xdr:grpSpPr>
          <a:xfrm>
            <a:off x="469896" y="2838366"/>
            <a:ext cx="6340108" cy="5365380"/>
            <a:chOff x="93477" y="1830804"/>
            <a:chExt cx="6366458" cy="5133564"/>
          </a:xfrm>
        </xdr:grpSpPr>
        <xdr:graphicFrame macro="">
          <xdr:nvGraphicFramePr>
            <xdr:cNvPr id="27" name="Chart 26">
              <a:extLst>
                <a:ext uri="{FF2B5EF4-FFF2-40B4-BE49-F238E27FC236}">
                  <a16:creationId xmlns:a16="http://schemas.microsoft.com/office/drawing/2014/main" id="{C38E805D-275F-338D-DD37-CFA90B3554F0}"/>
                </a:ext>
              </a:extLst>
            </xdr:cNvPr>
            <xdr:cNvGraphicFramePr>
              <a:graphicFrameLocks/>
            </xdr:cNvGraphicFramePr>
          </xdr:nvGraphicFramePr>
          <xdr:xfrm>
            <a:off x="94482" y="4339693"/>
            <a:ext cx="3198842" cy="2624675"/>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28" name="Chart 27">
              <a:extLst>
                <a:ext uri="{FF2B5EF4-FFF2-40B4-BE49-F238E27FC236}">
                  <a16:creationId xmlns:a16="http://schemas.microsoft.com/office/drawing/2014/main" id="{7B15CC1E-2D7D-60B6-91A7-B365C8972655}"/>
                </a:ext>
              </a:extLst>
            </xdr:cNvPr>
            <xdr:cNvGraphicFramePr>
              <a:graphicFrameLocks/>
            </xdr:cNvGraphicFramePr>
          </xdr:nvGraphicFramePr>
          <xdr:xfrm>
            <a:off x="3261093" y="4314062"/>
            <a:ext cx="3198842" cy="2624674"/>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29" name="Chart 28">
              <a:extLst>
                <a:ext uri="{FF2B5EF4-FFF2-40B4-BE49-F238E27FC236}">
                  <a16:creationId xmlns:a16="http://schemas.microsoft.com/office/drawing/2014/main" id="{97A926DB-8FA8-B6D4-A1FA-C05E20D269A1}"/>
                </a:ext>
              </a:extLst>
            </xdr:cNvPr>
            <xdr:cNvGraphicFramePr>
              <a:graphicFrameLocks/>
            </xdr:cNvGraphicFramePr>
          </xdr:nvGraphicFramePr>
          <xdr:xfrm>
            <a:off x="93477" y="1830804"/>
            <a:ext cx="3213705" cy="2624675"/>
          </xdr:xfrm>
          <a:graphic>
            <a:graphicData uri="http://schemas.openxmlformats.org/drawingml/2006/chart">
              <c:chart xmlns:c="http://schemas.openxmlformats.org/drawingml/2006/chart" xmlns:r="http://schemas.openxmlformats.org/officeDocument/2006/relationships" r:id="rId12"/>
            </a:graphicData>
          </a:graphic>
        </xdr:graphicFrame>
      </xdr:grpSp>
      <xdr:sp macro="" textlink="">
        <xdr:nvSpPr>
          <xdr:cNvPr id="25" name="Arrow: Right 24">
            <a:extLst>
              <a:ext uri="{FF2B5EF4-FFF2-40B4-BE49-F238E27FC236}">
                <a16:creationId xmlns:a16="http://schemas.microsoft.com/office/drawing/2014/main" id="{B7D2A0C5-5B0C-ADEB-536A-BC0889D2D449}"/>
              </a:ext>
            </a:extLst>
          </xdr:cNvPr>
          <xdr:cNvSpPr/>
        </xdr:nvSpPr>
        <xdr:spPr>
          <a:xfrm>
            <a:off x="3462297" y="6567173"/>
            <a:ext cx="281940" cy="335280"/>
          </a:xfrm>
          <a:prstGeom prst="rightArrow">
            <a:avLst/>
          </a:prstGeom>
          <a:solidFill>
            <a:srgbClr val="1FFFFA"/>
          </a:solidFill>
          <a:ln w="190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6" name="Picture 25">
            <a:extLst>
              <a:ext uri="{FF2B5EF4-FFF2-40B4-BE49-F238E27FC236}">
                <a16:creationId xmlns:a16="http://schemas.microsoft.com/office/drawing/2014/main" id="{BA53F37B-4279-E397-112D-633B67005C0A}"/>
              </a:ext>
            </a:extLst>
          </xdr:cNvPr>
          <xdr:cNvPicPr>
            <a:picLocks noChangeAspect="1"/>
          </xdr:cNvPicPr>
        </xdr:nvPicPr>
        <xdr:blipFill>
          <a:blip xmlns:r="http://schemas.openxmlformats.org/officeDocument/2006/relationships" r:embed="rId13"/>
          <a:stretch>
            <a:fillRect/>
          </a:stretch>
        </xdr:blipFill>
        <xdr:spPr>
          <a:xfrm>
            <a:off x="1952626" y="8109285"/>
            <a:ext cx="2915283" cy="27432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ategic%20Planning%20Team/IRP%20Team%20Folder/2022IRP_Results/2022%20IRP%20Capacity%20Resource%20Results_Scenari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yan\Ryan\2022%20IRP%20Monte%20Carlo%20Equipment%20and%20Coefficie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yan\Ryan\2022%20IRP%20MonteCarlo%20Load%20Peak%20Load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yan\Ryan\2022%20IRP%20Scenario%20Load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yan\Ryan\CPP%20and%20CCA%20Compliance%20High%20Lev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yan\Ryan\2022%20IRP%20MonteCarlo%20Annual%20Load%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rategic%20Planning%20Team/IRP%20Team%20Folder/2022IRP_Results/2022%20IRP%20Compliance%20Resources%20Results_Scenari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Storage Expansion Cost"/>
      <sheetName val="Pipeline Expansion Costs"/>
      <sheetName val="System Daily Sales Demand"/>
      <sheetName val="Pipeline Expansion"/>
      <sheetName val="Storage Expansion"/>
      <sheetName val="Peak Day Forecast"/>
      <sheetName val="Capacity_IRP Doc"/>
      <sheetName val="Template-Capacity"/>
      <sheetName val="Storage Expansion - Ref"/>
      <sheetName val="Pipeline Expansion - Ref"/>
      <sheetName val="DSM"/>
    </sheetNames>
    <sheetDataSet>
      <sheetData sheetId="0">
        <row r="2">
          <cell r="B2" t="str">
            <v>Reference_QC</v>
          </cell>
          <cell r="C2" t="str">
            <v>Sample 1</v>
          </cell>
          <cell r="D2">
            <v>1</v>
          </cell>
        </row>
        <row r="3">
          <cell r="B3" t="str">
            <v>Reference</v>
          </cell>
          <cell r="C3" t="str">
            <v>Reference</v>
          </cell>
          <cell r="D3">
            <v>1</v>
          </cell>
        </row>
        <row r="4">
          <cell r="B4" t="str">
            <v>Scenario 1- Balanced Decarbonization</v>
          </cell>
          <cell r="C4" t="str">
            <v>Sample 2</v>
          </cell>
          <cell r="D4">
            <v>2</v>
          </cell>
        </row>
        <row r="5">
          <cell r="B5" t="str">
            <v>Scenario 2- Carbon Neutral</v>
          </cell>
          <cell r="C5" t="str">
            <v>Sample 3</v>
          </cell>
          <cell r="D5">
            <v>3</v>
          </cell>
        </row>
        <row r="6">
          <cell r="B6" t="str">
            <v>Scenario 3- Dual-Fuel Heating</v>
          </cell>
          <cell r="C6" t="str">
            <v>Sample 4</v>
          </cell>
          <cell r="D6">
            <v>4</v>
          </cell>
        </row>
        <row r="7">
          <cell r="B7" t="str">
            <v>Scenario 4- New Gas Customer Moratorium</v>
          </cell>
          <cell r="C7" t="str">
            <v>Sample 5</v>
          </cell>
          <cell r="D7">
            <v>5</v>
          </cell>
        </row>
        <row r="8">
          <cell r="B8" t="str">
            <v>Scenario 5- Aggressive Building Electrification</v>
          </cell>
          <cell r="C8" t="str">
            <v>Sample 6</v>
          </cell>
          <cell r="D8">
            <v>6</v>
          </cell>
        </row>
        <row r="9">
          <cell r="B9" t="str">
            <v>Scenario 6- Full Building Electrification</v>
          </cell>
          <cell r="C9" t="str">
            <v>Sample 7</v>
          </cell>
          <cell r="D9">
            <v>7</v>
          </cell>
        </row>
        <row r="10">
          <cell r="B10" t="str">
            <v>Scenario 7- RNG and H2 Policy Support</v>
          </cell>
          <cell r="C10" t="str">
            <v>Sample 8</v>
          </cell>
          <cell r="D10">
            <v>8</v>
          </cell>
        </row>
        <row r="11">
          <cell r="B11" t="str">
            <v>Scenario 8- Limited RNG</v>
          </cell>
          <cell r="C11" t="str">
            <v>Sample 9</v>
          </cell>
          <cell r="D11">
            <v>9</v>
          </cell>
        </row>
        <row r="12">
          <cell r="B12" t="str">
            <v>Scenario 9- Supply-Focused Decarbonization</v>
          </cell>
          <cell r="C12" t="str">
            <v>Sample 10</v>
          </cell>
          <cell r="D12">
            <v>10</v>
          </cell>
        </row>
        <row r="26">
          <cell r="B26" t="str">
            <v>Value</v>
          </cell>
        </row>
        <row r="27">
          <cell r="B27">
            <v>32247548</v>
          </cell>
        </row>
        <row r="28">
          <cell r="B28">
            <v>42566764</v>
          </cell>
        </row>
        <row r="29">
          <cell r="B29">
            <v>49016273</v>
          </cell>
        </row>
        <row r="30">
          <cell r="B30">
            <v>41276862</v>
          </cell>
        </row>
        <row r="31">
          <cell r="B31">
            <v>33801163</v>
          </cell>
        </row>
        <row r="32">
          <cell r="B32">
            <v>28171458</v>
          </cell>
        </row>
        <row r="33">
          <cell r="B33">
            <v>22805466</v>
          </cell>
        </row>
        <row r="34">
          <cell r="B34">
            <v>17439474</v>
          </cell>
        </row>
        <row r="35">
          <cell r="B35">
            <v>12073482</v>
          </cell>
        </row>
        <row r="36">
          <cell r="B36">
            <v>7303711</v>
          </cell>
        </row>
      </sheetData>
      <sheetData sheetId="1" refreshError="1"/>
      <sheetData sheetId="2" refreshError="1"/>
      <sheetData sheetId="3" refreshError="1"/>
      <sheetData sheetId="4"/>
      <sheetData sheetId="5"/>
      <sheetData sheetId="6">
        <row r="1">
          <cell r="D1" t="str">
            <v>Peak Day Sales Load</v>
          </cell>
        </row>
        <row r="2">
          <cell r="A2" t="str">
            <v>Fiscal Year</v>
          </cell>
          <cell r="B2" t="str">
            <v>Gas Year</v>
          </cell>
          <cell r="D2" t="str">
            <v>Reference</v>
          </cell>
          <cell r="E2" t="str">
            <v>Scenario 1- Balanced Decarbonization</v>
          </cell>
          <cell r="F2" t="str">
            <v>Scenario 2- Carbon Neutral</v>
          </cell>
          <cell r="G2" t="str">
            <v>Scenario 3- Dual-Fuel Heating</v>
          </cell>
          <cell r="H2" t="str">
            <v>Scenario 4- New Gas Customer Moratorium</v>
          </cell>
          <cell r="I2" t="str">
            <v>Scenario 5- Aggressive Building Electrification</v>
          </cell>
          <cell r="J2" t="str">
            <v>Scenario 6- Full Building Electrification</v>
          </cell>
          <cell r="K2" t="str">
            <v>Scenario 7- RNG and H2 Policy Support</v>
          </cell>
          <cell r="L2" t="str">
            <v>Scenario 8- Limited RNG</v>
          </cell>
          <cell r="M2" t="str">
            <v>Scenario 9- Supply-Focused Decarbonization</v>
          </cell>
        </row>
        <row r="3">
          <cell r="D3" t="str">
            <v>Dth</v>
          </cell>
          <cell r="E3" t="str">
            <v>Dth</v>
          </cell>
          <cell r="F3" t="str">
            <v>Dth</v>
          </cell>
          <cell r="G3" t="str">
            <v>Dth</v>
          </cell>
          <cell r="H3" t="str">
            <v>Dth</v>
          </cell>
          <cell r="I3" t="str">
            <v>Dth</v>
          </cell>
          <cell r="J3" t="str">
            <v>Dth</v>
          </cell>
          <cell r="K3" t="str">
            <v>Dth</v>
          </cell>
          <cell r="L3" t="str">
            <v>Dth</v>
          </cell>
          <cell r="M3" t="str">
            <v>Dth</v>
          </cell>
        </row>
        <row r="4">
          <cell r="A4">
            <v>2023</v>
          </cell>
          <cell r="B4" t="str">
            <v>2022-23</v>
          </cell>
          <cell r="D4">
            <v>1008708</v>
          </cell>
          <cell r="E4">
            <v>1008709</v>
          </cell>
          <cell r="F4">
            <v>1008708</v>
          </cell>
          <cell r="G4">
            <v>1008709</v>
          </cell>
          <cell r="H4">
            <v>1008709</v>
          </cell>
          <cell r="I4">
            <v>1008708</v>
          </cell>
          <cell r="J4">
            <v>1008708</v>
          </cell>
          <cell r="K4">
            <v>1008709</v>
          </cell>
          <cell r="L4">
            <v>1008709</v>
          </cell>
          <cell r="M4">
            <v>1008709</v>
          </cell>
        </row>
        <row r="5">
          <cell r="A5">
            <v>2024</v>
          </cell>
          <cell r="B5" t="str">
            <v>2023-24</v>
          </cell>
          <cell r="D5">
            <v>1018191</v>
          </cell>
          <cell r="E5">
            <v>1010720</v>
          </cell>
          <cell r="F5">
            <v>1008013</v>
          </cell>
          <cell r="G5">
            <v>1010720</v>
          </cell>
          <cell r="H5">
            <v>1010720</v>
          </cell>
          <cell r="I5">
            <v>1017804</v>
          </cell>
          <cell r="J5">
            <v>984991</v>
          </cell>
          <cell r="K5">
            <v>1010720</v>
          </cell>
          <cell r="L5">
            <v>1010720</v>
          </cell>
          <cell r="M5">
            <v>1010714</v>
          </cell>
        </row>
        <row r="6">
          <cell r="A6">
            <v>2025</v>
          </cell>
          <cell r="B6" t="str">
            <v>2024-25</v>
          </cell>
          <cell r="D6">
            <v>1027864</v>
          </cell>
          <cell r="E6">
            <v>1011574</v>
          </cell>
          <cell r="F6">
            <v>1006556</v>
          </cell>
          <cell r="G6">
            <v>1012252</v>
          </cell>
          <cell r="H6">
            <v>997832</v>
          </cell>
          <cell r="I6">
            <v>997645</v>
          </cell>
          <cell r="J6">
            <v>946244</v>
          </cell>
          <cell r="K6">
            <v>1011574</v>
          </cell>
          <cell r="L6">
            <v>1011516</v>
          </cell>
          <cell r="M6">
            <v>1012239</v>
          </cell>
        </row>
        <row r="7">
          <cell r="A7">
            <v>2026</v>
          </cell>
          <cell r="B7" t="str">
            <v>2025-26</v>
          </cell>
          <cell r="D7">
            <v>1038545</v>
          </cell>
          <cell r="E7">
            <v>1012970</v>
          </cell>
          <cell r="F7">
            <v>1006030</v>
          </cell>
          <cell r="G7">
            <v>1015004</v>
          </cell>
          <cell r="H7">
            <v>985146</v>
          </cell>
          <cell r="I7">
            <v>978203</v>
          </cell>
          <cell r="J7">
            <v>908252</v>
          </cell>
          <cell r="K7">
            <v>1012970</v>
          </cell>
          <cell r="L7">
            <v>1012857</v>
          </cell>
          <cell r="M7">
            <v>1014983</v>
          </cell>
        </row>
        <row r="8">
          <cell r="A8">
            <v>2027</v>
          </cell>
          <cell r="B8" t="str">
            <v>2026-27</v>
          </cell>
          <cell r="D8">
            <v>1051101</v>
          </cell>
          <cell r="E8">
            <v>1015329</v>
          </cell>
          <cell r="F8">
            <v>1006869</v>
          </cell>
          <cell r="G8">
            <v>1019437</v>
          </cell>
          <cell r="H8">
            <v>974156</v>
          </cell>
          <cell r="I8">
            <v>960909</v>
          </cell>
          <cell r="J8">
            <v>872203</v>
          </cell>
          <cell r="K8">
            <v>1015406</v>
          </cell>
          <cell r="L8">
            <v>1015237</v>
          </cell>
          <cell r="M8">
            <v>1019407</v>
          </cell>
        </row>
        <row r="9">
          <cell r="A9">
            <v>2028</v>
          </cell>
          <cell r="B9" t="str">
            <v>2027-28</v>
          </cell>
          <cell r="D9">
            <v>1060815</v>
          </cell>
          <cell r="E9">
            <v>1014358</v>
          </cell>
          <cell r="F9">
            <v>1004614</v>
          </cell>
          <cell r="G9">
            <v>1021126</v>
          </cell>
          <cell r="H9">
            <v>960585</v>
          </cell>
          <cell r="I9">
            <v>941520</v>
          </cell>
          <cell r="J9">
            <v>834291</v>
          </cell>
          <cell r="K9">
            <v>1014510</v>
          </cell>
          <cell r="L9">
            <v>1014287</v>
          </cell>
          <cell r="M9">
            <v>1021098</v>
          </cell>
        </row>
        <row r="10">
          <cell r="A10">
            <v>2029</v>
          </cell>
          <cell r="B10" t="str">
            <v>2028-29</v>
          </cell>
          <cell r="D10">
            <v>1072524</v>
          </cell>
          <cell r="E10">
            <v>1014039</v>
          </cell>
          <cell r="F10">
            <v>1003294</v>
          </cell>
          <cell r="G10">
            <v>1024060</v>
          </cell>
          <cell r="H10">
            <v>948233</v>
          </cell>
          <cell r="I10">
            <v>923767</v>
          </cell>
          <cell r="J10">
            <v>797818</v>
          </cell>
          <cell r="K10">
            <v>1014263</v>
          </cell>
          <cell r="L10">
            <v>1013988</v>
          </cell>
          <cell r="M10">
            <v>1024034</v>
          </cell>
        </row>
        <row r="11">
          <cell r="A11">
            <v>2030</v>
          </cell>
          <cell r="B11" t="str">
            <v>2029-30</v>
          </cell>
          <cell r="D11">
            <v>1081316</v>
          </cell>
          <cell r="E11">
            <v>1010367</v>
          </cell>
          <cell r="F11">
            <v>998738</v>
          </cell>
          <cell r="G11">
            <v>1024172</v>
          </cell>
          <cell r="H11">
            <v>933842</v>
          </cell>
          <cell r="I11">
            <v>903812</v>
          </cell>
          <cell r="J11">
            <v>759531</v>
          </cell>
          <cell r="K11">
            <v>1010653</v>
          </cell>
          <cell r="L11">
            <v>1010337</v>
          </cell>
          <cell r="M11">
            <v>1024147</v>
          </cell>
        </row>
        <row r="12">
          <cell r="A12">
            <v>2031</v>
          </cell>
          <cell r="B12" t="str">
            <v>2030-31</v>
          </cell>
          <cell r="D12">
            <v>1091507</v>
          </cell>
          <cell r="E12">
            <v>1008086</v>
          </cell>
          <cell r="F12">
            <v>995008</v>
          </cell>
          <cell r="G12">
            <v>1025592</v>
          </cell>
          <cell r="H12">
            <v>921272</v>
          </cell>
          <cell r="I12">
            <v>885219</v>
          </cell>
          <cell r="J12">
            <v>722445</v>
          </cell>
          <cell r="K12">
            <v>1008433</v>
          </cell>
          <cell r="L12">
            <v>1008076</v>
          </cell>
          <cell r="M12">
            <v>1025569</v>
          </cell>
        </row>
        <row r="13">
          <cell r="A13">
            <v>2032</v>
          </cell>
          <cell r="B13" t="str">
            <v>2031-32</v>
          </cell>
          <cell r="D13">
            <v>1102273</v>
          </cell>
          <cell r="E13">
            <v>1005792</v>
          </cell>
          <cell r="F13">
            <v>990518</v>
          </cell>
          <cell r="G13">
            <v>1026869</v>
          </cell>
          <cell r="H13">
            <v>909993</v>
          </cell>
          <cell r="I13">
            <v>867586</v>
          </cell>
          <cell r="J13">
            <v>686172</v>
          </cell>
          <cell r="K13">
            <v>1006199</v>
          </cell>
          <cell r="L13">
            <v>1005802</v>
          </cell>
          <cell r="M13">
            <v>1026846</v>
          </cell>
        </row>
        <row r="14">
          <cell r="A14">
            <v>2033</v>
          </cell>
          <cell r="B14" t="str">
            <v>2032-33</v>
          </cell>
          <cell r="D14">
            <v>1112746</v>
          </cell>
          <cell r="E14">
            <v>1002488</v>
          </cell>
          <cell r="F14">
            <v>984453</v>
          </cell>
          <cell r="G14">
            <v>1026990</v>
          </cell>
          <cell r="H14">
            <v>899077</v>
          </cell>
          <cell r="I14">
            <v>849890</v>
          </cell>
          <cell r="J14">
            <v>649798</v>
          </cell>
          <cell r="K14">
            <v>1002953</v>
          </cell>
          <cell r="L14">
            <v>1002516</v>
          </cell>
          <cell r="M14">
            <v>1026969</v>
          </cell>
        </row>
        <row r="15">
          <cell r="A15">
            <v>2034</v>
          </cell>
          <cell r="B15" t="str">
            <v>2033-34</v>
          </cell>
          <cell r="D15">
            <v>1121629</v>
          </cell>
          <cell r="E15">
            <v>999298</v>
          </cell>
          <cell r="F15">
            <v>978003</v>
          </cell>
          <cell r="G15">
            <v>1027140</v>
          </cell>
          <cell r="H15">
            <v>888343</v>
          </cell>
          <cell r="I15">
            <v>831527</v>
          </cell>
          <cell r="J15">
            <v>612948</v>
          </cell>
          <cell r="K15">
            <v>999820</v>
          </cell>
          <cell r="L15">
            <v>999345</v>
          </cell>
          <cell r="M15">
            <v>1027121</v>
          </cell>
        </row>
        <row r="16">
          <cell r="A16">
            <v>2035</v>
          </cell>
          <cell r="B16" t="str">
            <v>2034-35</v>
          </cell>
          <cell r="D16">
            <v>1130124</v>
          </cell>
          <cell r="E16">
            <v>996014</v>
          </cell>
          <cell r="F16">
            <v>970749</v>
          </cell>
          <cell r="G16">
            <v>1027118</v>
          </cell>
          <cell r="H16">
            <v>877960</v>
          </cell>
          <cell r="I16">
            <v>812964</v>
          </cell>
          <cell r="J16">
            <v>575985</v>
          </cell>
          <cell r="K16">
            <v>996592</v>
          </cell>
          <cell r="L16">
            <v>996079</v>
          </cell>
          <cell r="M16">
            <v>1027100</v>
          </cell>
        </row>
        <row r="17">
          <cell r="A17">
            <v>2036</v>
          </cell>
          <cell r="B17" t="str">
            <v>2035-36</v>
          </cell>
          <cell r="D17">
            <v>1140104</v>
          </cell>
          <cell r="E17">
            <v>993029</v>
          </cell>
          <cell r="F17">
            <v>962939</v>
          </cell>
          <cell r="G17">
            <v>1027307</v>
          </cell>
          <cell r="H17">
            <v>869125</v>
          </cell>
          <cell r="I17">
            <v>795768</v>
          </cell>
          <cell r="J17">
            <v>540003</v>
          </cell>
          <cell r="K17">
            <v>993663</v>
          </cell>
          <cell r="L17">
            <v>993112</v>
          </cell>
          <cell r="M17">
            <v>1027290</v>
          </cell>
        </row>
        <row r="18">
          <cell r="A18">
            <v>2037</v>
          </cell>
          <cell r="B18" t="str">
            <v>2036-37</v>
          </cell>
          <cell r="D18">
            <v>1149011</v>
          </cell>
          <cell r="E18">
            <v>988199</v>
          </cell>
          <cell r="F18">
            <v>952918</v>
          </cell>
          <cell r="G18">
            <v>1025480</v>
          </cell>
          <cell r="H18">
            <v>859615</v>
          </cell>
          <cell r="I18">
            <v>777792</v>
          </cell>
          <cell r="J18">
            <v>503429</v>
          </cell>
          <cell r="K18">
            <v>988886</v>
          </cell>
          <cell r="L18">
            <v>988299</v>
          </cell>
          <cell r="M18">
            <v>1025464</v>
          </cell>
        </row>
        <row r="19">
          <cell r="A19">
            <v>2038</v>
          </cell>
          <cell r="B19" t="str">
            <v>2037-38</v>
          </cell>
          <cell r="D19">
            <v>1156416</v>
          </cell>
          <cell r="E19">
            <v>982951</v>
          </cell>
          <cell r="F19">
            <v>942161</v>
          </cell>
          <cell r="G19">
            <v>1023110</v>
          </cell>
          <cell r="H19">
            <v>849848</v>
          </cell>
          <cell r="I19">
            <v>759251</v>
          </cell>
          <cell r="J19">
            <v>466541</v>
          </cell>
          <cell r="K19">
            <v>983690</v>
          </cell>
          <cell r="L19">
            <v>983068</v>
          </cell>
          <cell r="M19">
            <v>1023096</v>
          </cell>
        </row>
        <row r="20">
          <cell r="A20">
            <v>2039</v>
          </cell>
          <cell r="B20" t="str">
            <v>2038-39</v>
          </cell>
          <cell r="D20">
            <v>1166190</v>
          </cell>
          <cell r="E20">
            <v>980021</v>
          </cell>
          <cell r="F20">
            <v>933473</v>
          </cell>
          <cell r="G20">
            <v>1023077</v>
          </cell>
          <cell r="H20">
            <v>842105</v>
          </cell>
          <cell r="I20">
            <v>742399</v>
          </cell>
          <cell r="J20">
            <v>430653</v>
          </cell>
          <cell r="K20">
            <v>980813</v>
          </cell>
          <cell r="L20">
            <v>980156</v>
          </cell>
          <cell r="M20">
            <v>1023064</v>
          </cell>
        </row>
        <row r="21">
          <cell r="A21">
            <v>2040</v>
          </cell>
          <cell r="B21" t="str">
            <v>2039-40</v>
          </cell>
          <cell r="D21">
            <v>1173967</v>
          </cell>
          <cell r="E21">
            <v>975624</v>
          </cell>
          <cell r="F21">
            <v>923133</v>
          </cell>
          <cell r="G21">
            <v>1021413</v>
          </cell>
          <cell r="H21">
            <v>833321</v>
          </cell>
          <cell r="I21">
            <v>724441</v>
          </cell>
          <cell r="J21">
            <v>394125</v>
          </cell>
          <cell r="K21">
            <v>976466</v>
          </cell>
          <cell r="L21">
            <v>975775</v>
          </cell>
          <cell r="M21">
            <v>1021401</v>
          </cell>
        </row>
        <row r="22">
          <cell r="A22">
            <v>2041</v>
          </cell>
          <cell r="B22" t="str">
            <v>2040-41</v>
          </cell>
          <cell r="D22">
            <v>1181592</v>
          </cell>
          <cell r="E22">
            <v>971286</v>
          </cell>
          <cell r="F22">
            <v>913072</v>
          </cell>
          <cell r="G22">
            <v>1019739</v>
          </cell>
          <cell r="H22">
            <v>824426</v>
          </cell>
          <cell r="I22">
            <v>706140</v>
          </cell>
          <cell r="J22">
            <v>357375</v>
          </cell>
          <cell r="K22">
            <v>972176</v>
          </cell>
          <cell r="L22">
            <v>971453</v>
          </cell>
          <cell r="M22">
            <v>1019728</v>
          </cell>
        </row>
        <row r="23">
          <cell r="A23">
            <v>2042</v>
          </cell>
          <cell r="B23" t="str">
            <v>2041-42</v>
          </cell>
          <cell r="D23">
            <v>1189893</v>
          </cell>
          <cell r="E23">
            <v>970393</v>
          </cell>
          <cell r="F23">
            <v>906729</v>
          </cell>
          <cell r="G23">
            <v>1021633</v>
          </cell>
          <cell r="H23">
            <v>817036</v>
          </cell>
          <cell r="I23">
            <v>688401</v>
          </cell>
          <cell r="J23">
            <v>320934</v>
          </cell>
          <cell r="K23">
            <v>971331</v>
          </cell>
          <cell r="L23">
            <v>970575</v>
          </cell>
          <cell r="M23">
            <v>1021624</v>
          </cell>
        </row>
        <row r="24">
          <cell r="A24">
            <v>2043</v>
          </cell>
          <cell r="B24" t="str">
            <v>2042-43</v>
          </cell>
          <cell r="D24">
            <v>1199026</v>
          </cell>
          <cell r="E24">
            <v>969442</v>
          </cell>
          <cell r="F24">
            <v>900301</v>
          </cell>
          <cell r="G24">
            <v>1023430</v>
          </cell>
          <cell r="H24">
            <v>810195</v>
          </cell>
          <cell r="I24">
            <v>671121</v>
          </cell>
          <cell r="J24">
            <v>284660</v>
          </cell>
          <cell r="K24">
            <v>970428</v>
          </cell>
          <cell r="L24">
            <v>969641</v>
          </cell>
          <cell r="M24">
            <v>1023422</v>
          </cell>
        </row>
        <row r="25">
          <cell r="A25">
            <v>2044</v>
          </cell>
          <cell r="B25" t="str">
            <v>2043-44</v>
          </cell>
          <cell r="D25">
            <v>1206813</v>
          </cell>
          <cell r="E25">
            <v>967386</v>
          </cell>
          <cell r="F25">
            <v>892785</v>
          </cell>
          <cell r="G25">
            <v>1024001</v>
          </cell>
          <cell r="H25">
            <v>802698</v>
          </cell>
          <cell r="I25">
            <v>653213</v>
          </cell>
          <cell r="J25">
            <v>248122</v>
          </cell>
          <cell r="K25">
            <v>968418</v>
          </cell>
          <cell r="L25">
            <v>967600</v>
          </cell>
          <cell r="M25">
            <v>1023994</v>
          </cell>
        </row>
        <row r="26">
          <cell r="A26">
            <v>2045</v>
          </cell>
          <cell r="B26" t="str">
            <v>2044-45</v>
          </cell>
          <cell r="D26">
            <v>1214623</v>
          </cell>
          <cell r="E26">
            <v>964282</v>
          </cell>
          <cell r="F26">
            <v>884447</v>
          </cell>
          <cell r="G26">
            <v>1023445</v>
          </cell>
          <cell r="H26">
            <v>794900</v>
          </cell>
          <cell r="I26">
            <v>635105</v>
          </cell>
          <cell r="J26">
            <v>211456</v>
          </cell>
          <cell r="K26">
            <v>965358</v>
          </cell>
          <cell r="L26">
            <v>964510</v>
          </cell>
          <cell r="M26">
            <v>1023439</v>
          </cell>
        </row>
        <row r="27">
          <cell r="A27">
            <v>2046</v>
          </cell>
          <cell r="B27" t="str">
            <v>2045-46</v>
          </cell>
          <cell r="D27">
            <v>1223090</v>
          </cell>
          <cell r="E27">
            <v>961832</v>
          </cell>
          <cell r="F27">
            <v>876719</v>
          </cell>
          <cell r="G27">
            <v>1023534</v>
          </cell>
          <cell r="H27">
            <v>787787</v>
          </cell>
          <cell r="I27">
            <v>617503</v>
          </cell>
          <cell r="J27">
            <v>174960</v>
          </cell>
          <cell r="K27">
            <v>962952</v>
          </cell>
          <cell r="L27">
            <v>962075</v>
          </cell>
          <cell r="M27">
            <v>1023530</v>
          </cell>
        </row>
        <row r="28">
          <cell r="A28">
            <v>2047</v>
          </cell>
          <cell r="B28" t="str">
            <v>2046-47</v>
          </cell>
          <cell r="D28">
            <v>1229438</v>
          </cell>
          <cell r="E28">
            <v>957698</v>
          </cell>
          <cell r="F28">
            <v>867516</v>
          </cell>
          <cell r="G28">
            <v>1021775</v>
          </cell>
          <cell r="H28">
            <v>779530</v>
          </cell>
          <cell r="I28">
            <v>598871</v>
          </cell>
          <cell r="J28">
            <v>138202</v>
          </cell>
          <cell r="K28">
            <v>958859</v>
          </cell>
          <cell r="L28">
            <v>957954</v>
          </cell>
          <cell r="M28">
            <v>1021772</v>
          </cell>
        </row>
        <row r="29">
          <cell r="A29">
            <v>2048</v>
          </cell>
          <cell r="B29" t="str">
            <v>2047-48</v>
          </cell>
          <cell r="D29">
            <v>1237217</v>
          </cell>
          <cell r="E29">
            <v>955135</v>
          </cell>
          <cell r="F29">
            <v>859813</v>
          </cell>
          <cell r="G29">
            <v>1021647</v>
          </cell>
          <cell r="H29">
            <v>772750</v>
          </cell>
          <cell r="I29">
            <v>581096</v>
          </cell>
          <cell r="J29">
            <v>135986</v>
          </cell>
          <cell r="K29">
            <v>956338</v>
          </cell>
          <cell r="L29">
            <v>955405</v>
          </cell>
          <cell r="M29">
            <v>1021644</v>
          </cell>
        </row>
        <row r="30">
          <cell r="A30">
            <v>2049</v>
          </cell>
          <cell r="B30" t="str">
            <v>2048-49</v>
          </cell>
          <cell r="D30">
            <v>1245282</v>
          </cell>
          <cell r="E30">
            <v>951368</v>
          </cell>
          <cell r="F30">
            <v>851080</v>
          </cell>
          <cell r="G30">
            <v>1020236</v>
          </cell>
          <cell r="H30">
            <v>765689</v>
          </cell>
          <cell r="I30">
            <v>563274</v>
          </cell>
          <cell r="J30">
            <v>133710</v>
          </cell>
          <cell r="K30">
            <v>952612</v>
          </cell>
          <cell r="L30">
            <v>951651</v>
          </cell>
          <cell r="M30">
            <v>1020235</v>
          </cell>
        </row>
        <row r="31">
          <cell r="A31">
            <v>2050</v>
          </cell>
          <cell r="B31" t="str">
            <v>2049-50</v>
          </cell>
          <cell r="D31">
            <v>1252729</v>
          </cell>
          <cell r="E31">
            <v>947341</v>
          </cell>
          <cell r="F31">
            <v>842042</v>
          </cell>
          <cell r="G31">
            <v>1018346</v>
          </cell>
          <cell r="H31">
            <v>758596</v>
          </cell>
          <cell r="I31">
            <v>545291</v>
          </cell>
          <cell r="J31">
            <v>131398</v>
          </cell>
          <cell r="K31">
            <v>948626</v>
          </cell>
          <cell r="L31">
            <v>947638</v>
          </cell>
          <cell r="M31">
            <v>1018346</v>
          </cell>
        </row>
      </sheetData>
      <sheetData sheetId="7">
        <row r="5">
          <cell r="U5" t="str">
            <v>Existing Supply-side Capacity</v>
          </cell>
        </row>
      </sheetData>
      <sheetData sheetId="8" refreshError="1"/>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puts"/>
      <sheetName val="OR-Res-Existing Cust"/>
      <sheetName val="OR-Res-Cust Growth"/>
      <sheetName val="OR-Com-Existing Cust"/>
      <sheetName val="OR-Com-Cust Growth"/>
      <sheetName val="WA-Res-Existing Cust"/>
      <sheetName val="WA-Res-Cust Growth"/>
      <sheetName val="WA-Com-Existing Cust"/>
      <sheetName val="WA-Com-Cust Growth"/>
      <sheetName val="Customer Counts"/>
      <sheetName val="Customer Count Summary"/>
      <sheetName val="Customer Count Graphs"/>
      <sheetName val="Oregon DSM Scenario Costs"/>
      <sheetName val="Oregon DSM MC Costs"/>
      <sheetName val="Washington DSM Scenario Costs"/>
      <sheetName val="Washington DSM MC Costs"/>
      <sheetName val="OR Res Incremental EE"/>
      <sheetName val="OR Res Hybrid Systems"/>
      <sheetName val="OR Res Gas Heat Pumps"/>
      <sheetName val="OR Res Electrification"/>
      <sheetName val="OR Res Total Load Reduction"/>
      <sheetName val="OR Com Incremental EE"/>
      <sheetName val="OR Com Hybrid Systems"/>
      <sheetName val="OR Com Gas Heat Pumps"/>
      <sheetName val="OR Com Electrification"/>
      <sheetName val="WA Res Incremental EE"/>
      <sheetName val="WA Com Incremental EE"/>
    </sheetNames>
    <sheetDataSet>
      <sheetData sheetId="0">
        <row r="73">
          <cell r="C73">
            <v>400</v>
          </cell>
        </row>
        <row r="74">
          <cell r="C74">
            <v>4000</v>
          </cell>
        </row>
        <row r="75">
          <cell r="C75">
            <v>1600</v>
          </cell>
        </row>
        <row r="77">
          <cell r="C77">
            <v>1000</v>
          </cell>
        </row>
        <row r="78">
          <cell r="C78">
            <v>13333.333333333332</v>
          </cell>
        </row>
      </sheetData>
      <sheetData sheetId="1">
        <row r="4">
          <cell r="SO4">
            <v>620629.41041013587</v>
          </cell>
          <cell r="SP4">
            <v>620629.41041013587</v>
          </cell>
          <cell r="SQ4">
            <v>620629.41041013587</v>
          </cell>
          <cell r="SR4">
            <v>620629.41041013587</v>
          </cell>
          <cell r="SS4">
            <v>620629.41041013587</v>
          </cell>
          <cell r="ST4">
            <v>620629.41041013587</v>
          </cell>
          <cell r="SU4">
            <v>620629.41041013587</v>
          </cell>
          <cell r="SV4">
            <v>620629.41041013587</v>
          </cell>
          <cell r="SW4">
            <v>620629.41041013587</v>
          </cell>
          <cell r="SX4">
            <v>620629.41041013587</v>
          </cell>
        </row>
        <row r="5">
          <cell r="SO5">
            <v>619599.72584776359</v>
          </cell>
          <cell r="SP5">
            <v>619599.72584776359</v>
          </cell>
          <cell r="SQ5">
            <v>619599.72584776359</v>
          </cell>
          <cell r="SR5">
            <v>619599.72584776359</v>
          </cell>
          <cell r="SS5">
            <v>619599.72584776359</v>
          </cell>
          <cell r="ST5">
            <v>619599.72584776359</v>
          </cell>
          <cell r="SU5">
            <v>595804.23399373039</v>
          </cell>
          <cell r="SV5">
            <v>619599.72584776359</v>
          </cell>
          <cell r="SW5">
            <v>619599.72584776359</v>
          </cell>
          <cell r="SX5">
            <v>619599.72584776359</v>
          </cell>
        </row>
        <row r="6">
          <cell r="SO6">
            <v>618491.47333648684</v>
          </cell>
          <cell r="SP6">
            <v>618491.47333648684</v>
          </cell>
          <cell r="SQ6">
            <v>618491.47333648684</v>
          </cell>
          <cell r="SR6">
            <v>618491.47333648684</v>
          </cell>
          <cell r="SS6">
            <v>618491.47333648684</v>
          </cell>
          <cell r="ST6">
            <v>618491.47333648684</v>
          </cell>
          <cell r="SU6">
            <v>570979.05757732491</v>
          </cell>
          <cell r="SV6">
            <v>618491.47333648684</v>
          </cell>
          <cell r="SW6">
            <v>618491.47333648684</v>
          </cell>
          <cell r="SX6">
            <v>618491.47333648684</v>
          </cell>
        </row>
        <row r="7">
          <cell r="SO7">
            <v>617463.83765557117</v>
          </cell>
          <cell r="SP7">
            <v>617463.83765557117</v>
          </cell>
          <cell r="SQ7">
            <v>617463.83765557117</v>
          </cell>
          <cell r="SR7">
            <v>617463.83765557117</v>
          </cell>
          <cell r="SS7">
            <v>617463.83765557117</v>
          </cell>
          <cell r="ST7">
            <v>606121.64386975707</v>
          </cell>
          <cell r="SU7">
            <v>546153.88116091944</v>
          </cell>
          <cell r="SV7">
            <v>617463.83765557117</v>
          </cell>
          <cell r="SW7">
            <v>617463.83765557117</v>
          </cell>
          <cell r="SX7">
            <v>617463.83765557117</v>
          </cell>
        </row>
        <row r="8">
          <cell r="SO8">
            <v>616427.0051656561</v>
          </cell>
          <cell r="SP8">
            <v>616427.0051656561</v>
          </cell>
          <cell r="SQ8">
            <v>616427.0051656561</v>
          </cell>
          <cell r="SR8">
            <v>616427.0051656561</v>
          </cell>
          <cell r="SS8">
            <v>616427.0051656561</v>
          </cell>
          <cell r="ST8">
            <v>593751.8144030273</v>
          </cell>
          <cell r="SU8">
            <v>521328.70474451402</v>
          </cell>
          <cell r="SV8">
            <v>616427.0051656561</v>
          </cell>
          <cell r="SW8">
            <v>616427.0051656561</v>
          </cell>
          <cell r="SX8">
            <v>616427.0051656561</v>
          </cell>
        </row>
        <row r="9">
          <cell r="SO9">
            <v>615391.71308080654</v>
          </cell>
          <cell r="SP9">
            <v>615391.71308080654</v>
          </cell>
          <cell r="SQ9">
            <v>615391.71308080654</v>
          </cell>
          <cell r="SR9">
            <v>615391.71308080654</v>
          </cell>
          <cell r="SS9">
            <v>615391.71308080654</v>
          </cell>
          <cell r="ST9">
            <v>581381.98493629752</v>
          </cell>
          <cell r="SU9">
            <v>496503.5283281086</v>
          </cell>
          <cell r="SV9">
            <v>615391.71308080654</v>
          </cell>
          <cell r="SW9">
            <v>615391.71308080654</v>
          </cell>
          <cell r="SX9">
            <v>615391.71308080654</v>
          </cell>
        </row>
        <row r="10">
          <cell r="SO10">
            <v>614349.20287521614</v>
          </cell>
          <cell r="SP10">
            <v>614349.20287521614</v>
          </cell>
          <cell r="SQ10">
            <v>614349.20287521614</v>
          </cell>
          <cell r="SR10">
            <v>614349.20287521614</v>
          </cell>
          <cell r="SS10">
            <v>614349.20287521614</v>
          </cell>
          <cell r="ST10">
            <v>569012.15546956775</v>
          </cell>
          <cell r="SU10">
            <v>471678.35191170318</v>
          </cell>
          <cell r="SV10">
            <v>614349.20287521614</v>
          </cell>
          <cell r="SW10">
            <v>614349.20287521614</v>
          </cell>
          <cell r="SX10">
            <v>614349.20287521614</v>
          </cell>
        </row>
        <row r="11">
          <cell r="SO11">
            <v>613298.5799655515</v>
          </cell>
          <cell r="SP11">
            <v>613298.5799655515</v>
          </cell>
          <cell r="SQ11">
            <v>613298.5799655515</v>
          </cell>
          <cell r="SR11">
            <v>613298.5799655515</v>
          </cell>
          <cell r="SS11">
            <v>613298.5799655515</v>
          </cell>
          <cell r="ST11">
            <v>556642.32600283797</v>
          </cell>
          <cell r="SU11">
            <v>446853.17549529776</v>
          </cell>
          <cell r="SV11">
            <v>613298.5799655515</v>
          </cell>
          <cell r="SW11">
            <v>613298.5799655515</v>
          </cell>
          <cell r="SX11">
            <v>613298.5799655515</v>
          </cell>
        </row>
        <row r="12">
          <cell r="SO12">
            <v>612246.02711281518</v>
          </cell>
          <cell r="SP12">
            <v>612246.02711281518</v>
          </cell>
          <cell r="SQ12">
            <v>612246.02711281518</v>
          </cell>
          <cell r="SR12">
            <v>612246.02711281518</v>
          </cell>
          <cell r="SS12">
            <v>612246.02711281518</v>
          </cell>
          <cell r="ST12">
            <v>544272.4965361082</v>
          </cell>
          <cell r="SU12">
            <v>422027.99907889235</v>
          </cell>
          <cell r="SV12">
            <v>612246.02711281518</v>
          </cell>
          <cell r="SW12">
            <v>612246.02711281518</v>
          </cell>
          <cell r="SX12">
            <v>612246.02711281518</v>
          </cell>
        </row>
        <row r="13">
          <cell r="SO13">
            <v>611194.45164172165</v>
          </cell>
          <cell r="SP13">
            <v>611194.45164172165</v>
          </cell>
          <cell r="SQ13">
            <v>611194.45164172165</v>
          </cell>
          <cell r="SR13">
            <v>611194.45164172165</v>
          </cell>
          <cell r="SS13">
            <v>611194.45164172165</v>
          </cell>
          <cell r="ST13">
            <v>531902.66706937843</v>
          </cell>
          <cell r="SU13">
            <v>397202.82266248693</v>
          </cell>
          <cell r="SV13">
            <v>611194.45164172165</v>
          </cell>
          <cell r="SW13">
            <v>611194.45164172165</v>
          </cell>
          <cell r="SX13">
            <v>611194.45164172165</v>
          </cell>
        </row>
        <row r="14">
          <cell r="SO14">
            <v>610175.44486749568</v>
          </cell>
          <cell r="SP14">
            <v>610175.44486749568</v>
          </cell>
          <cell r="SQ14">
            <v>610175.44486749568</v>
          </cell>
          <cell r="SR14">
            <v>610175.44486749568</v>
          </cell>
          <cell r="SS14">
            <v>610175.44486749568</v>
          </cell>
          <cell r="ST14">
            <v>519532.83760264871</v>
          </cell>
          <cell r="SU14">
            <v>372377.64624608151</v>
          </cell>
          <cell r="SV14">
            <v>610175.44486749568</v>
          </cell>
          <cell r="SW14">
            <v>610175.44486749568</v>
          </cell>
          <cell r="SX14">
            <v>610175.44486749568</v>
          </cell>
        </row>
        <row r="15">
          <cell r="SO15">
            <v>609251.89944825834</v>
          </cell>
          <cell r="SP15">
            <v>609251.89944825834</v>
          </cell>
          <cell r="SQ15">
            <v>609251.89944825834</v>
          </cell>
          <cell r="SR15">
            <v>609251.89944825834</v>
          </cell>
          <cell r="SS15">
            <v>609251.89944825834</v>
          </cell>
          <cell r="ST15">
            <v>507163.00813591899</v>
          </cell>
          <cell r="SU15">
            <v>347552.46982967609</v>
          </cell>
          <cell r="SV15">
            <v>609251.89944825834</v>
          </cell>
          <cell r="SW15">
            <v>609251.89944825834</v>
          </cell>
          <cell r="SX15">
            <v>609251.89944825834</v>
          </cell>
        </row>
        <row r="16">
          <cell r="SO16">
            <v>608391.73765091086</v>
          </cell>
          <cell r="SP16">
            <v>608391.73765091086</v>
          </cell>
          <cell r="SQ16">
            <v>608391.73765091086</v>
          </cell>
          <cell r="SR16">
            <v>608391.73765091086</v>
          </cell>
          <cell r="SS16">
            <v>608391.73765091086</v>
          </cell>
          <cell r="ST16">
            <v>494793.17866918928</v>
          </cell>
          <cell r="SU16">
            <v>322727.29341327067</v>
          </cell>
          <cell r="SV16">
            <v>608391.73765091086</v>
          </cell>
          <cell r="SW16">
            <v>608391.73765091086</v>
          </cell>
          <cell r="SX16">
            <v>608391.73765091086</v>
          </cell>
        </row>
        <row r="17">
          <cell r="SO17">
            <v>607528.22316154046</v>
          </cell>
          <cell r="SP17">
            <v>607528.22316154046</v>
          </cell>
          <cell r="SQ17">
            <v>607528.22316154046</v>
          </cell>
          <cell r="SR17">
            <v>607528.22316154046</v>
          </cell>
          <cell r="SS17">
            <v>607528.22316154046</v>
          </cell>
          <cell r="ST17">
            <v>482423.34920245956</v>
          </cell>
          <cell r="SU17">
            <v>297902.11699686525</v>
          </cell>
          <cell r="SV17">
            <v>607528.22316154046</v>
          </cell>
          <cell r="SW17">
            <v>607528.22316154046</v>
          </cell>
          <cell r="SX17">
            <v>607528.22316154046</v>
          </cell>
        </row>
        <row r="18">
          <cell r="SO18">
            <v>606674.56594188348</v>
          </cell>
          <cell r="SP18">
            <v>606674.56594188348</v>
          </cell>
          <cell r="SQ18">
            <v>606674.56594188348</v>
          </cell>
          <cell r="SR18">
            <v>606674.56594188348</v>
          </cell>
          <cell r="SS18">
            <v>606674.56594188348</v>
          </cell>
          <cell r="ST18">
            <v>470053.51973572985</v>
          </cell>
          <cell r="SU18">
            <v>273076.94058045984</v>
          </cell>
          <cell r="SV18">
            <v>606674.56594188348</v>
          </cell>
          <cell r="SW18">
            <v>606674.56594188348</v>
          </cell>
          <cell r="SX18">
            <v>606674.56594188348</v>
          </cell>
        </row>
        <row r="19">
          <cell r="SO19">
            <v>605860.13504451292</v>
          </cell>
          <cell r="SP19">
            <v>605860.13504451292</v>
          </cell>
          <cell r="SQ19">
            <v>605860.13504451292</v>
          </cell>
          <cell r="SR19">
            <v>605860.13504451292</v>
          </cell>
          <cell r="SS19">
            <v>605860.13504451292</v>
          </cell>
          <cell r="ST19">
            <v>457683.69026900013</v>
          </cell>
          <cell r="SU19">
            <v>248251.76416405439</v>
          </cell>
          <cell r="SV19">
            <v>605860.13504451292</v>
          </cell>
          <cell r="SW19">
            <v>605860.13504451292</v>
          </cell>
          <cell r="SX19">
            <v>605860.13504451292</v>
          </cell>
        </row>
        <row r="20">
          <cell r="SO20">
            <v>605072.56903128687</v>
          </cell>
          <cell r="SP20">
            <v>605072.56903128687</v>
          </cell>
          <cell r="SQ20">
            <v>605072.56903128687</v>
          </cell>
          <cell r="SR20">
            <v>605072.56903128687</v>
          </cell>
          <cell r="SS20">
            <v>605072.56903128687</v>
          </cell>
          <cell r="ST20">
            <v>445313.86080227041</v>
          </cell>
          <cell r="SU20">
            <v>223426.58774764894</v>
          </cell>
          <cell r="SV20">
            <v>605072.56903128687</v>
          </cell>
          <cell r="SW20">
            <v>605072.56903128687</v>
          </cell>
          <cell r="SX20">
            <v>605072.56903128687</v>
          </cell>
        </row>
        <row r="21">
          <cell r="SO21">
            <v>604282.84634571883</v>
          </cell>
          <cell r="SP21">
            <v>604282.84634571883</v>
          </cell>
          <cell r="SQ21">
            <v>604282.84634571883</v>
          </cell>
          <cell r="SR21">
            <v>604282.84634571883</v>
          </cell>
          <cell r="SS21">
            <v>604282.84634571883</v>
          </cell>
          <cell r="ST21">
            <v>432944.0313355407</v>
          </cell>
          <cell r="SU21">
            <v>198601.41133124349</v>
          </cell>
          <cell r="SV21">
            <v>604282.84634571883</v>
          </cell>
          <cell r="SW21">
            <v>604282.84634571883</v>
          </cell>
          <cell r="SX21">
            <v>604282.84634571883</v>
          </cell>
        </row>
        <row r="22">
          <cell r="SO22">
            <v>603491.00795884349</v>
          </cell>
          <cell r="SP22">
            <v>603491.00795884349</v>
          </cell>
          <cell r="SQ22">
            <v>603491.00795884349</v>
          </cell>
          <cell r="SR22">
            <v>603491.00795884349</v>
          </cell>
          <cell r="SS22">
            <v>603491.00795884349</v>
          </cell>
          <cell r="ST22">
            <v>420574.20186881098</v>
          </cell>
          <cell r="SU22">
            <v>173776.23491483805</v>
          </cell>
          <cell r="SV22">
            <v>603491.00795884349</v>
          </cell>
          <cell r="SW22">
            <v>603491.00795884349</v>
          </cell>
          <cell r="SX22">
            <v>603491.00795884349</v>
          </cell>
        </row>
        <row r="23">
          <cell r="SO23">
            <v>602694.22868259356</v>
          </cell>
          <cell r="SP23">
            <v>602694.22868259356</v>
          </cell>
          <cell r="SQ23">
            <v>602694.22868259356</v>
          </cell>
          <cell r="SR23">
            <v>602694.22868259356</v>
          </cell>
          <cell r="SS23">
            <v>602694.22868259356</v>
          </cell>
          <cell r="ST23">
            <v>408204.37240208127</v>
          </cell>
          <cell r="SU23">
            <v>148951.0584984326</v>
          </cell>
          <cell r="SV23">
            <v>602694.22868259356</v>
          </cell>
          <cell r="SW23">
            <v>602694.22868259356</v>
          </cell>
          <cell r="SX23">
            <v>602694.22868259356</v>
          </cell>
        </row>
        <row r="24">
          <cell r="SO24">
            <v>601886.78689767828</v>
          </cell>
          <cell r="SP24">
            <v>601886.78689767828</v>
          </cell>
          <cell r="SQ24">
            <v>601886.78689767828</v>
          </cell>
          <cell r="SR24">
            <v>601886.78689767828</v>
          </cell>
          <cell r="SS24">
            <v>601886.78689767828</v>
          </cell>
          <cell r="ST24">
            <v>395834.54293535155</v>
          </cell>
          <cell r="SU24">
            <v>124125.88208202716</v>
          </cell>
          <cell r="SV24">
            <v>601886.78689767828</v>
          </cell>
          <cell r="SW24">
            <v>601886.78689767828</v>
          </cell>
          <cell r="SX24">
            <v>601886.78689767828</v>
          </cell>
        </row>
        <row r="25">
          <cell r="SO25">
            <v>601071.10154136422</v>
          </cell>
          <cell r="SP25">
            <v>601071.10154136422</v>
          </cell>
          <cell r="SQ25">
            <v>601071.10154136422</v>
          </cell>
          <cell r="SR25">
            <v>601071.10154136422</v>
          </cell>
          <cell r="SS25">
            <v>601071.10154136422</v>
          </cell>
          <cell r="ST25">
            <v>383464.71346862183</v>
          </cell>
          <cell r="SU25">
            <v>99300.705665621732</v>
          </cell>
          <cell r="SV25">
            <v>601071.10154136422</v>
          </cell>
          <cell r="SW25">
            <v>601071.10154136422</v>
          </cell>
          <cell r="SX25">
            <v>601071.10154136422</v>
          </cell>
        </row>
        <row r="26">
          <cell r="SO26">
            <v>600252.97616296588</v>
          </cell>
          <cell r="SP26">
            <v>600252.97616296588</v>
          </cell>
          <cell r="SQ26">
            <v>600252.97616296588</v>
          </cell>
          <cell r="SR26">
            <v>600252.97616296588</v>
          </cell>
          <cell r="SS26">
            <v>600252.97616296588</v>
          </cell>
          <cell r="ST26">
            <v>371094.88400189212</v>
          </cell>
          <cell r="SU26">
            <v>74475.529249216299</v>
          </cell>
          <cell r="SV26">
            <v>600252.97616296588</v>
          </cell>
          <cell r="SW26">
            <v>600252.97616296588</v>
          </cell>
          <cell r="SX26">
            <v>600252.97616296588</v>
          </cell>
        </row>
        <row r="27">
          <cell r="SO27">
            <v>599432.19840769737</v>
          </cell>
          <cell r="SP27">
            <v>599432.19840769737</v>
          </cell>
          <cell r="SQ27">
            <v>599432.19840769737</v>
          </cell>
          <cell r="SR27">
            <v>599432.19840769737</v>
          </cell>
          <cell r="SS27">
            <v>599432.19840769737</v>
          </cell>
          <cell r="ST27">
            <v>358725.0545351624</v>
          </cell>
          <cell r="SU27">
            <v>49650.352832810866</v>
          </cell>
          <cell r="SV27">
            <v>599432.19840769737</v>
          </cell>
          <cell r="SW27">
            <v>599432.19840769737</v>
          </cell>
          <cell r="SX27">
            <v>599432.19840769737</v>
          </cell>
        </row>
        <row r="28">
          <cell r="SO28">
            <v>598608.93377873453</v>
          </cell>
          <cell r="SP28">
            <v>598608.93377873453</v>
          </cell>
          <cell r="SQ28">
            <v>598608.93377873453</v>
          </cell>
          <cell r="SR28">
            <v>598608.93377873453</v>
          </cell>
          <cell r="SS28">
            <v>598608.93377873453</v>
          </cell>
          <cell r="ST28">
            <v>346355.22506843269</v>
          </cell>
          <cell r="SU28">
            <v>31031.470520506795</v>
          </cell>
          <cell r="SV28">
            <v>598608.93377873453</v>
          </cell>
          <cell r="SW28">
            <v>598608.93377873453</v>
          </cell>
          <cell r="SX28">
            <v>598608.93377873453</v>
          </cell>
        </row>
        <row r="29">
          <cell r="SO29">
            <v>597783.09558828198</v>
          </cell>
          <cell r="SP29">
            <v>597783.09558828198</v>
          </cell>
          <cell r="SQ29">
            <v>597783.09558828198</v>
          </cell>
          <cell r="SR29">
            <v>597783.09558828198</v>
          </cell>
          <cell r="SS29">
            <v>597783.09558828198</v>
          </cell>
          <cell r="ST29">
            <v>333985.39560170297</v>
          </cell>
          <cell r="SU29">
            <v>31031.470520506795</v>
          </cell>
          <cell r="SV29">
            <v>597783.09558828198</v>
          </cell>
          <cell r="SW29">
            <v>597783.09558828198</v>
          </cell>
          <cell r="SX29">
            <v>597783.09558828198</v>
          </cell>
        </row>
        <row r="30">
          <cell r="SO30">
            <v>596954.72377737507</v>
          </cell>
          <cell r="SP30">
            <v>596954.72377737507</v>
          </cell>
          <cell r="SQ30">
            <v>596954.72377737507</v>
          </cell>
          <cell r="SR30">
            <v>596954.72377737507</v>
          </cell>
          <cell r="SS30">
            <v>596954.72377737507</v>
          </cell>
          <cell r="ST30">
            <v>321615.56613497325</v>
          </cell>
          <cell r="SU30">
            <v>31031.470520506795</v>
          </cell>
          <cell r="SV30">
            <v>596954.72377737507</v>
          </cell>
          <cell r="SW30">
            <v>596954.72377737507</v>
          </cell>
          <cell r="SX30">
            <v>596954.72377737507</v>
          </cell>
        </row>
        <row r="31">
          <cell r="SO31">
            <v>596123.60292375891</v>
          </cell>
          <cell r="SP31">
            <v>596123.60292375891</v>
          </cell>
          <cell r="SQ31">
            <v>596123.60292375891</v>
          </cell>
          <cell r="SR31">
            <v>596123.60292375891</v>
          </cell>
          <cell r="SS31">
            <v>596123.60292375891</v>
          </cell>
          <cell r="ST31">
            <v>309245.73666824354</v>
          </cell>
          <cell r="SU31">
            <v>31031.470520506795</v>
          </cell>
          <cell r="SV31">
            <v>596123.60292375891</v>
          </cell>
          <cell r="SW31">
            <v>596123.60292375891</v>
          </cell>
          <cell r="SX31">
            <v>596123.60292375891</v>
          </cell>
        </row>
        <row r="32">
          <cell r="SO32">
            <v>595289.90021278837</v>
          </cell>
          <cell r="SP32">
            <v>595289.90021278837</v>
          </cell>
          <cell r="SQ32">
            <v>595289.90021278837</v>
          </cell>
          <cell r="SR32">
            <v>595289.90021278837</v>
          </cell>
          <cell r="SS32">
            <v>595289.90021278837</v>
          </cell>
          <cell r="ST32">
            <v>296875.90720151382</v>
          </cell>
          <cell r="SU32">
            <v>31031.470520506795</v>
          </cell>
          <cell r="SV32">
            <v>595289.90021278837</v>
          </cell>
          <cell r="SW32">
            <v>595289.90021278837</v>
          </cell>
          <cell r="SX32">
            <v>595289.90021278837</v>
          </cell>
        </row>
        <row r="36">
          <cell r="SO36">
            <v>0</v>
          </cell>
          <cell r="SP36">
            <v>0</v>
          </cell>
          <cell r="SQ36">
            <v>0</v>
          </cell>
          <cell r="SR36">
            <v>0</v>
          </cell>
          <cell r="SS36">
            <v>0</v>
          </cell>
          <cell r="ST36">
            <v>0</v>
          </cell>
          <cell r="SU36">
            <v>0</v>
          </cell>
          <cell r="SV36">
            <v>0</v>
          </cell>
          <cell r="SW36">
            <v>0</v>
          </cell>
          <cell r="SX36">
            <v>0</v>
          </cell>
        </row>
        <row r="37">
          <cell r="SO37">
            <v>0</v>
          </cell>
          <cell r="SP37">
            <v>0</v>
          </cell>
          <cell r="SQ37">
            <v>0</v>
          </cell>
          <cell r="SR37">
            <v>0</v>
          </cell>
          <cell r="SS37">
            <v>0</v>
          </cell>
          <cell r="ST37">
            <v>0</v>
          </cell>
          <cell r="SU37">
            <v>0</v>
          </cell>
          <cell r="SV37">
            <v>0</v>
          </cell>
          <cell r="SW37">
            <v>0</v>
          </cell>
          <cell r="SX37">
            <v>0</v>
          </cell>
        </row>
        <row r="38">
          <cell r="SO38">
            <v>0</v>
          </cell>
          <cell r="SP38">
            <v>0</v>
          </cell>
          <cell r="SQ38">
            <v>0</v>
          </cell>
          <cell r="SR38">
            <v>0</v>
          </cell>
          <cell r="SS38">
            <v>0</v>
          </cell>
          <cell r="ST38">
            <v>0</v>
          </cell>
          <cell r="SU38">
            <v>0</v>
          </cell>
          <cell r="SV38">
            <v>0</v>
          </cell>
          <cell r="SW38">
            <v>0</v>
          </cell>
          <cell r="SX38">
            <v>0</v>
          </cell>
        </row>
        <row r="39">
          <cell r="SO39">
            <v>0</v>
          </cell>
          <cell r="SP39">
            <v>1234.9276753111426</v>
          </cell>
          <cell r="SQ39">
            <v>493.97107012445696</v>
          </cell>
          <cell r="SR39">
            <v>0</v>
          </cell>
          <cell r="SS39">
            <v>1234.9276753111426</v>
          </cell>
          <cell r="ST39">
            <v>0</v>
          </cell>
          <cell r="SU39">
            <v>0</v>
          </cell>
          <cell r="SV39">
            <v>1234.9276753111426</v>
          </cell>
          <cell r="SW39">
            <v>1234.9276753111426</v>
          </cell>
          <cell r="SX39">
            <v>0</v>
          </cell>
        </row>
        <row r="40">
          <cell r="SO40">
            <v>0</v>
          </cell>
          <cell r="SP40">
            <v>2465.7080206626247</v>
          </cell>
          <cell r="SQ40">
            <v>986.28320826504978</v>
          </cell>
          <cell r="SR40">
            <v>0</v>
          </cell>
          <cell r="SS40">
            <v>2465.7080206626247</v>
          </cell>
          <cell r="ST40">
            <v>0</v>
          </cell>
          <cell r="SU40">
            <v>0</v>
          </cell>
          <cell r="SV40">
            <v>2465.7080206626247</v>
          </cell>
          <cell r="SW40">
            <v>2465.7080206626247</v>
          </cell>
          <cell r="SX40">
            <v>0</v>
          </cell>
        </row>
        <row r="41">
          <cell r="SO41">
            <v>0</v>
          </cell>
          <cell r="SP41">
            <v>3692.3502784848392</v>
          </cell>
          <cell r="SQ41">
            <v>1723.0967966262585</v>
          </cell>
          <cell r="SR41">
            <v>0</v>
          </cell>
          <cell r="SS41">
            <v>3692.3502784848392</v>
          </cell>
          <cell r="ST41">
            <v>0</v>
          </cell>
          <cell r="SU41">
            <v>0</v>
          </cell>
          <cell r="SV41">
            <v>3692.3502784848392</v>
          </cell>
          <cell r="SW41">
            <v>3692.3502784848392</v>
          </cell>
          <cell r="SX41">
            <v>0</v>
          </cell>
        </row>
        <row r="42">
          <cell r="SO42">
            <v>0</v>
          </cell>
          <cell r="SP42">
            <v>4914.7936230017294</v>
          </cell>
          <cell r="SQ42">
            <v>2457.3968115008647</v>
          </cell>
          <cell r="SR42">
            <v>0</v>
          </cell>
          <cell r="SS42">
            <v>4914.7936230017294</v>
          </cell>
          <cell r="ST42">
            <v>0</v>
          </cell>
          <cell r="SU42">
            <v>0</v>
          </cell>
          <cell r="SV42">
            <v>4914.7936230017294</v>
          </cell>
          <cell r="SW42">
            <v>4914.7936230017294</v>
          </cell>
          <cell r="SX42">
            <v>0</v>
          </cell>
        </row>
        <row r="43">
          <cell r="SO43">
            <v>0</v>
          </cell>
          <cell r="SP43">
            <v>6132.9857996555147</v>
          </cell>
          <cell r="SQ43">
            <v>3434.4720478070885</v>
          </cell>
          <cell r="SR43">
            <v>0</v>
          </cell>
          <cell r="SS43">
            <v>6132.9857996555147</v>
          </cell>
          <cell r="ST43">
            <v>0</v>
          </cell>
          <cell r="SU43">
            <v>0</v>
          </cell>
          <cell r="SV43">
            <v>6132.9857996555147</v>
          </cell>
          <cell r="SW43">
            <v>6132.9857996555147</v>
          </cell>
          <cell r="SX43">
            <v>0</v>
          </cell>
        </row>
        <row r="44">
          <cell r="SO44">
            <v>0</v>
          </cell>
          <cell r="SP44">
            <v>7346.9523253537818</v>
          </cell>
          <cell r="SQ44">
            <v>4408.1713952122691</v>
          </cell>
          <cell r="SR44">
            <v>0</v>
          </cell>
          <cell r="SS44">
            <v>6122.4602711281514</v>
          </cell>
          <cell r="ST44">
            <v>0</v>
          </cell>
          <cell r="SU44">
            <v>0</v>
          </cell>
          <cell r="SV44">
            <v>7346.9523253537818</v>
          </cell>
          <cell r="SW44">
            <v>7346.9523253537818</v>
          </cell>
          <cell r="SX44">
            <v>0</v>
          </cell>
        </row>
        <row r="45">
          <cell r="SO45">
            <v>0</v>
          </cell>
          <cell r="SP45">
            <v>7334.3334197006598</v>
          </cell>
          <cell r="SQ45">
            <v>5622.9889551038395</v>
          </cell>
          <cell r="SR45">
            <v>0</v>
          </cell>
          <cell r="SS45">
            <v>6111.9445164172166</v>
          </cell>
          <cell r="ST45">
            <v>0</v>
          </cell>
          <cell r="SU45">
            <v>0</v>
          </cell>
          <cell r="SV45">
            <v>7334.3334197006598</v>
          </cell>
          <cell r="SW45">
            <v>7334.3334197006598</v>
          </cell>
          <cell r="SX45">
            <v>0</v>
          </cell>
        </row>
        <row r="46">
          <cell r="SO46">
            <v>0</v>
          </cell>
          <cell r="SP46">
            <v>7322.1053384099478</v>
          </cell>
          <cell r="SQ46">
            <v>6833.9649825159522</v>
          </cell>
          <cell r="SR46">
            <v>0</v>
          </cell>
          <cell r="SS46">
            <v>6101.7544486749566</v>
          </cell>
          <cell r="ST46">
            <v>0</v>
          </cell>
          <cell r="SU46">
            <v>0</v>
          </cell>
          <cell r="SV46">
            <v>7322.1053384099478</v>
          </cell>
          <cell r="SW46">
            <v>7322.1053384099478</v>
          </cell>
          <cell r="SX46">
            <v>0</v>
          </cell>
        </row>
        <row r="47">
          <cell r="SO47">
            <v>0</v>
          </cell>
          <cell r="SP47">
            <v>7311.0227933791002</v>
          </cell>
          <cell r="SQ47">
            <v>8285.8258324963135</v>
          </cell>
          <cell r="SR47">
            <v>0</v>
          </cell>
          <cell r="SS47">
            <v>6092.5189944825834</v>
          </cell>
          <cell r="ST47">
            <v>0</v>
          </cell>
          <cell r="SU47">
            <v>0</v>
          </cell>
          <cell r="SV47">
            <v>7311.0227933791002</v>
          </cell>
          <cell r="SW47">
            <v>7311.0227933791002</v>
          </cell>
          <cell r="SX47">
            <v>0</v>
          </cell>
        </row>
        <row r="48">
          <cell r="SO48">
            <v>0</v>
          </cell>
          <cell r="SP48">
            <v>7300.7008518109296</v>
          </cell>
          <cell r="SQ48">
            <v>9734.2678024145735</v>
          </cell>
          <cell r="SR48">
            <v>0</v>
          </cell>
          <cell r="SS48">
            <v>6083.9173765091082</v>
          </cell>
          <cell r="ST48">
            <v>0</v>
          </cell>
          <cell r="SU48">
            <v>0</v>
          </cell>
          <cell r="SV48">
            <v>7300.7008518109296</v>
          </cell>
          <cell r="SW48">
            <v>7300.7008518109296</v>
          </cell>
          <cell r="SX48">
            <v>0</v>
          </cell>
        </row>
        <row r="49">
          <cell r="SO49">
            <v>0</v>
          </cell>
          <cell r="SP49">
            <v>7290.3386779384846</v>
          </cell>
          <cell r="SQ49">
            <v>11421.53059543696</v>
          </cell>
          <cell r="SR49">
            <v>0</v>
          </cell>
          <cell r="SS49">
            <v>6075.2822316154043</v>
          </cell>
          <cell r="ST49">
            <v>0</v>
          </cell>
          <cell r="SU49">
            <v>0</v>
          </cell>
          <cell r="SV49">
            <v>7290.3386779384846</v>
          </cell>
          <cell r="SW49">
            <v>7290.3386779384846</v>
          </cell>
          <cell r="SX49">
            <v>0</v>
          </cell>
        </row>
        <row r="50">
          <cell r="SO50">
            <v>0</v>
          </cell>
          <cell r="SP50">
            <v>7280.0947913026021</v>
          </cell>
          <cell r="SQ50">
            <v>12861.500797967932</v>
          </cell>
          <cell r="SR50">
            <v>0</v>
          </cell>
          <cell r="SS50">
            <v>6066.7456594188352</v>
          </cell>
          <cell r="ST50">
            <v>0</v>
          </cell>
          <cell r="SU50">
            <v>0</v>
          </cell>
          <cell r="SV50">
            <v>7280.0947913026021</v>
          </cell>
          <cell r="SW50">
            <v>7280.0947913026021</v>
          </cell>
          <cell r="SX50">
            <v>0</v>
          </cell>
        </row>
        <row r="51">
          <cell r="SO51">
            <v>0</v>
          </cell>
          <cell r="SP51">
            <v>7270.321620534155</v>
          </cell>
          <cell r="SQ51">
            <v>14055.955133032699</v>
          </cell>
          <cell r="SR51">
            <v>0</v>
          </cell>
          <cell r="SS51">
            <v>6058.6013504451294</v>
          </cell>
          <cell r="ST51">
            <v>0</v>
          </cell>
          <cell r="SU51">
            <v>0</v>
          </cell>
          <cell r="SV51">
            <v>7270.321620534155</v>
          </cell>
          <cell r="SW51">
            <v>7270.321620534155</v>
          </cell>
          <cell r="SX51">
            <v>0</v>
          </cell>
        </row>
        <row r="52">
          <cell r="SO52">
            <v>0</v>
          </cell>
          <cell r="SP52">
            <v>7260.8708283754431</v>
          </cell>
          <cell r="SQ52">
            <v>15005.799711975915</v>
          </cell>
          <cell r="SR52">
            <v>0</v>
          </cell>
          <cell r="SS52">
            <v>6050.7256903128691</v>
          </cell>
          <cell r="ST52">
            <v>0</v>
          </cell>
          <cell r="SU52">
            <v>0</v>
          </cell>
          <cell r="SV52">
            <v>7260.8708283754431</v>
          </cell>
          <cell r="SW52">
            <v>7260.8708283754431</v>
          </cell>
          <cell r="SX52">
            <v>0</v>
          </cell>
        </row>
        <row r="53">
          <cell r="SO53">
            <v>0</v>
          </cell>
          <cell r="SP53">
            <v>7251.3941561486254</v>
          </cell>
          <cell r="SQ53">
            <v>15711.354004988691</v>
          </cell>
          <cell r="SR53">
            <v>0</v>
          </cell>
          <cell r="SS53">
            <v>6042.8284634571883</v>
          </cell>
          <cell r="ST53">
            <v>0</v>
          </cell>
          <cell r="SU53">
            <v>0</v>
          </cell>
          <cell r="SV53">
            <v>7251.3941561486254</v>
          </cell>
          <cell r="SW53">
            <v>7251.3941561486254</v>
          </cell>
          <cell r="SX53">
            <v>0</v>
          </cell>
        </row>
        <row r="54">
          <cell r="SO54">
            <v>0</v>
          </cell>
          <cell r="SP54">
            <v>7241.8920955061221</v>
          </cell>
          <cell r="SQ54">
            <v>16173.559013297006</v>
          </cell>
          <cell r="SR54">
            <v>0</v>
          </cell>
          <cell r="SS54">
            <v>6034.9100795884351</v>
          </cell>
          <cell r="ST54">
            <v>0</v>
          </cell>
          <cell r="SU54">
            <v>0</v>
          </cell>
          <cell r="SV54">
            <v>7241.8920955061221</v>
          </cell>
          <cell r="SW54">
            <v>7241.8920955061221</v>
          </cell>
          <cell r="SX54">
            <v>0</v>
          </cell>
        </row>
        <row r="55">
          <cell r="SO55">
            <v>0</v>
          </cell>
          <cell r="SP55">
            <v>7232.330744191122</v>
          </cell>
          <cell r="SQ55">
            <v>16393.283020166546</v>
          </cell>
          <cell r="SR55">
            <v>0</v>
          </cell>
          <cell r="SS55">
            <v>6026.9422868259353</v>
          </cell>
          <cell r="ST55">
            <v>0</v>
          </cell>
          <cell r="SU55">
            <v>0</v>
          </cell>
          <cell r="SV55">
            <v>7232.330744191122</v>
          </cell>
          <cell r="SW55">
            <v>7232.330744191122</v>
          </cell>
          <cell r="SX55">
            <v>0</v>
          </cell>
        </row>
        <row r="56">
          <cell r="SO56">
            <v>0</v>
          </cell>
          <cell r="SP56">
            <v>7222.6414427721393</v>
          </cell>
          <cell r="SQ56">
            <v>16371.32060361685</v>
          </cell>
          <cell r="SR56">
            <v>0</v>
          </cell>
          <cell r="SS56">
            <v>6018.867868976783</v>
          </cell>
          <cell r="ST56">
            <v>0</v>
          </cell>
          <cell r="SU56">
            <v>0</v>
          </cell>
          <cell r="SV56">
            <v>7222.6414427721393</v>
          </cell>
          <cell r="SW56">
            <v>7222.6414427721393</v>
          </cell>
          <cell r="SX56">
            <v>0</v>
          </cell>
        </row>
        <row r="57">
          <cell r="SO57">
            <v>0</v>
          </cell>
          <cell r="SP57">
            <v>7212.8532184963706</v>
          </cell>
          <cell r="SQ57">
            <v>16349.133961925108</v>
          </cell>
          <cell r="SR57">
            <v>0</v>
          </cell>
          <cell r="SS57">
            <v>6010.7110154136426</v>
          </cell>
          <cell r="ST57">
            <v>0</v>
          </cell>
          <cell r="SU57">
            <v>0</v>
          </cell>
          <cell r="SV57">
            <v>7212.8532184963706</v>
          </cell>
          <cell r="SW57">
            <v>7212.8532184963706</v>
          </cell>
          <cell r="SX57">
            <v>0</v>
          </cell>
        </row>
        <row r="58">
          <cell r="SO58">
            <v>0</v>
          </cell>
          <cell r="SP58">
            <v>7203.0357139555899</v>
          </cell>
          <cell r="SQ58">
            <v>16326.880951632673</v>
          </cell>
          <cell r="SR58">
            <v>0</v>
          </cell>
          <cell r="SS58">
            <v>6002.5297616296584</v>
          </cell>
          <cell r="ST58">
            <v>0</v>
          </cell>
          <cell r="SU58">
            <v>0</v>
          </cell>
          <cell r="SV58">
            <v>7203.0357139555899</v>
          </cell>
          <cell r="SW58">
            <v>7203.0357139555899</v>
          </cell>
          <cell r="SX58">
            <v>0</v>
          </cell>
        </row>
        <row r="59">
          <cell r="SO59">
            <v>0</v>
          </cell>
          <cell r="SP59">
            <v>7193.1863808923681</v>
          </cell>
          <cell r="SQ59">
            <v>16304.555796689368</v>
          </cell>
          <cell r="SR59">
            <v>0</v>
          </cell>
          <cell r="SS59">
            <v>5994.3219840769734</v>
          </cell>
          <cell r="ST59">
            <v>0</v>
          </cell>
          <cell r="SU59">
            <v>0</v>
          </cell>
          <cell r="SV59">
            <v>7193.1863808923681</v>
          </cell>
          <cell r="SW59">
            <v>7193.1863808923681</v>
          </cell>
          <cell r="SX59">
            <v>0</v>
          </cell>
        </row>
        <row r="60">
          <cell r="SO60">
            <v>0</v>
          </cell>
          <cell r="SP60">
            <v>7183.3072053448141</v>
          </cell>
          <cell r="SQ60">
            <v>16282.162998781581</v>
          </cell>
          <cell r="SR60">
            <v>0</v>
          </cell>
          <cell r="SS60">
            <v>5986.0893377873454</v>
          </cell>
          <cell r="ST60">
            <v>0</v>
          </cell>
          <cell r="SU60">
            <v>0</v>
          </cell>
          <cell r="SV60">
            <v>7183.3072053448141</v>
          </cell>
          <cell r="SW60">
            <v>7183.3072053448141</v>
          </cell>
          <cell r="SX60">
            <v>0</v>
          </cell>
        </row>
        <row r="61">
          <cell r="SO61">
            <v>0</v>
          </cell>
          <cell r="SP61">
            <v>7173.3971470593833</v>
          </cell>
          <cell r="SQ61">
            <v>16259.700200001271</v>
          </cell>
          <cell r="SR61">
            <v>0</v>
          </cell>
          <cell r="SS61">
            <v>5977.8309558828196</v>
          </cell>
          <cell r="ST61">
            <v>0</v>
          </cell>
          <cell r="SU61">
            <v>0</v>
          </cell>
          <cell r="SV61">
            <v>7173.3971470593833</v>
          </cell>
          <cell r="SW61">
            <v>7173.3971470593833</v>
          </cell>
          <cell r="SX61">
            <v>0</v>
          </cell>
        </row>
        <row r="62">
          <cell r="SO62">
            <v>0</v>
          </cell>
          <cell r="SP62">
            <v>7163.4566853285005</v>
          </cell>
          <cell r="SQ62">
            <v>16237.168486744602</v>
          </cell>
          <cell r="SR62">
            <v>0</v>
          </cell>
          <cell r="SS62">
            <v>5969.5472377737506</v>
          </cell>
          <cell r="ST62">
            <v>0</v>
          </cell>
          <cell r="SU62">
            <v>0</v>
          </cell>
          <cell r="SV62">
            <v>7163.4566853285005</v>
          </cell>
          <cell r="SW62">
            <v>7163.4566853285005</v>
          </cell>
          <cell r="SX62">
            <v>0</v>
          </cell>
        </row>
        <row r="63">
          <cell r="SO63">
            <v>0</v>
          </cell>
          <cell r="SP63">
            <v>7153.4832350851066</v>
          </cell>
          <cell r="SQ63">
            <v>16214.561999526242</v>
          </cell>
          <cell r="SR63">
            <v>0</v>
          </cell>
          <cell r="SS63">
            <v>5961.2360292375888</v>
          </cell>
          <cell r="ST63">
            <v>0</v>
          </cell>
          <cell r="SU63">
            <v>0</v>
          </cell>
          <cell r="SV63">
            <v>7153.4832350851066</v>
          </cell>
          <cell r="SW63">
            <v>7153.4832350851066</v>
          </cell>
          <cell r="SX63">
            <v>0</v>
          </cell>
        </row>
        <row r="64">
          <cell r="SO64">
            <v>0</v>
          </cell>
          <cell r="SP64">
            <v>7143.4788025534608</v>
          </cell>
          <cell r="SQ64">
            <v>16191.885285787846</v>
          </cell>
          <cell r="SR64">
            <v>0</v>
          </cell>
          <cell r="SS64">
            <v>5952.8990021278842</v>
          </cell>
          <cell r="ST64">
            <v>0</v>
          </cell>
          <cell r="SU64">
            <v>0</v>
          </cell>
          <cell r="SV64">
            <v>7143.4788025534608</v>
          </cell>
          <cell r="SW64">
            <v>7143.4788025534608</v>
          </cell>
          <cell r="SX64">
            <v>0</v>
          </cell>
        </row>
        <row r="100">
          <cell r="SO100">
            <v>0</v>
          </cell>
          <cell r="SP100">
            <v>0</v>
          </cell>
          <cell r="SQ100">
            <v>0</v>
          </cell>
          <cell r="SR100">
            <v>0</v>
          </cell>
          <cell r="SS100">
            <v>0</v>
          </cell>
          <cell r="ST100">
            <v>0</v>
          </cell>
          <cell r="SU100">
            <v>0</v>
          </cell>
          <cell r="SV100">
            <v>0</v>
          </cell>
          <cell r="SW100">
            <v>0</v>
          </cell>
          <cell r="SX100">
            <v>0</v>
          </cell>
        </row>
        <row r="101">
          <cell r="SO101">
            <v>0</v>
          </cell>
          <cell r="SP101">
            <v>0</v>
          </cell>
          <cell r="SQ101">
            <v>0</v>
          </cell>
          <cell r="SR101">
            <v>3717.5983550865813</v>
          </cell>
          <cell r="SS101">
            <v>0</v>
          </cell>
          <cell r="ST101">
            <v>0</v>
          </cell>
          <cell r="SU101">
            <v>0</v>
          </cell>
          <cell r="SV101">
            <v>0</v>
          </cell>
          <cell r="SW101">
            <v>0</v>
          </cell>
          <cell r="SX101">
            <v>0</v>
          </cell>
        </row>
        <row r="102">
          <cell r="SO102">
            <v>0</v>
          </cell>
          <cell r="SP102">
            <v>0</v>
          </cell>
          <cell r="SQ102">
            <v>0</v>
          </cell>
          <cell r="SR102">
            <v>7421.8976800378423</v>
          </cell>
          <cell r="SS102">
            <v>0</v>
          </cell>
          <cell r="ST102">
            <v>0</v>
          </cell>
          <cell r="SU102">
            <v>0</v>
          </cell>
          <cell r="SV102">
            <v>0</v>
          </cell>
          <cell r="SW102">
            <v>0</v>
          </cell>
          <cell r="SX102">
            <v>0</v>
          </cell>
        </row>
        <row r="103">
          <cell r="SO103">
            <v>0</v>
          </cell>
          <cell r="SP103">
            <v>7409.5660518668537</v>
          </cell>
          <cell r="SQ103">
            <v>2469.8553506222852</v>
          </cell>
          <cell r="SR103">
            <v>12349.276753111424</v>
          </cell>
          <cell r="SS103">
            <v>7409.5660518668537</v>
          </cell>
          <cell r="ST103">
            <v>0</v>
          </cell>
          <cell r="SU103">
            <v>0</v>
          </cell>
          <cell r="SV103">
            <v>1234.9276753111426</v>
          </cell>
          <cell r="SW103">
            <v>1234.9276753111426</v>
          </cell>
          <cell r="SX103">
            <v>2469.8553506222852</v>
          </cell>
        </row>
        <row r="104">
          <cell r="SO104">
            <v>0</v>
          </cell>
          <cell r="SP104">
            <v>7397.1240619878727</v>
          </cell>
          <cell r="SQ104">
            <v>2465.7080206626247</v>
          </cell>
          <cell r="SR104">
            <v>18492.810154969684</v>
          </cell>
          <cell r="SS104">
            <v>7397.1240619878727</v>
          </cell>
          <cell r="ST104">
            <v>0</v>
          </cell>
          <cell r="SU104">
            <v>0</v>
          </cell>
          <cell r="SV104">
            <v>2465.7080206626247</v>
          </cell>
          <cell r="SW104">
            <v>2465.7080206626247</v>
          </cell>
          <cell r="SX104">
            <v>3698.5620309939363</v>
          </cell>
        </row>
        <row r="105">
          <cell r="SO105">
            <v>0</v>
          </cell>
          <cell r="SP105">
            <v>7384.7005569696785</v>
          </cell>
          <cell r="SQ105">
            <v>2461.5668523232266</v>
          </cell>
          <cell r="SR105">
            <v>22154.101670909036</v>
          </cell>
          <cell r="SS105">
            <v>7384.7005569696785</v>
          </cell>
          <cell r="ST105">
            <v>0</v>
          </cell>
          <cell r="SU105">
            <v>0</v>
          </cell>
          <cell r="SV105">
            <v>3692.3502784848392</v>
          </cell>
          <cell r="SW105">
            <v>3692.3502784848392</v>
          </cell>
          <cell r="SX105">
            <v>4923.1337046464532</v>
          </cell>
        </row>
        <row r="106">
          <cell r="SO106">
            <v>0</v>
          </cell>
          <cell r="SP106">
            <v>7372.1904345025941</v>
          </cell>
          <cell r="SQ106">
            <v>2457.3968115008647</v>
          </cell>
          <cell r="SR106">
            <v>24573.968115008647</v>
          </cell>
          <cell r="SS106">
            <v>7372.1904345025941</v>
          </cell>
          <cell r="ST106">
            <v>0</v>
          </cell>
          <cell r="SU106">
            <v>0</v>
          </cell>
          <cell r="SV106">
            <v>4914.7936230017294</v>
          </cell>
          <cell r="SW106">
            <v>4914.7936230017294</v>
          </cell>
          <cell r="SX106">
            <v>6143.4920287521618</v>
          </cell>
        </row>
        <row r="107">
          <cell r="SO107">
            <v>0</v>
          </cell>
          <cell r="SP107">
            <v>7359.5829595866171</v>
          </cell>
          <cell r="SQ107">
            <v>2453.1943198622062</v>
          </cell>
          <cell r="SR107">
            <v>24531.943198622059</v>
          </cell>
          <cell r="SS107">
            <v>7359.5829595866171</v>
          </cell>
          <cell r="ST107">
            <v>0</v>
          </cell>
          <cell r="SU107">
            <v>0</v>
          </cell>
          <cell r="SV107">
            <v>6132.9857996555147</v>
          </cell>
          <cell r="SW107">
            <v>6132.9857996555147</v>
          </cell>
          <cell r="SX107">
            <v>7359.5829595866171</v>
          </cell>
        </row>
        <row r="108">
          <cell r="SO108">
            <v>0</v>
          </cell>
          <cell r="SP108">
            <v>7346.9523253537818</v>
          </cell>
          <cell r="SQ108">
            <v>2448.9841084512605</v>
          </cell>
          <cell r="SR108">
            <v>24489.841084512605</v>
          </cell>
          <cell r="SS108">
            <v>7346.9523253537818</v>
          </cell>
          <cell r="ST108">
            <v>0</v>
          </cell>
          <cell r="SU108">
            <v>0</v>
          </cell>
          <cell r="SV108">
            <v>7346.9523253537818</v>
          </cell>
          <cell r="SW108">
            <v>7346.9523253537818</v>
          </cell>
          <cell r="SX108">
            <v>7346.9523253537818</v>
          </cell>
        </row>
        <row r="109">
          <cell r="SO109">
            <v>0</v>
          </cell>
          <cell r="SP109">
            <v>7334.3334197006598</v>
          </cell>
          <cell r="SQ109">
            <v>2444.7778065668867</v>
          </cell>
          <cell r="SR109">
            <v>24447.778065668866</v>
          </cell>
          <cell r="SS109">
            <v>7334.3334197006598</v>
          </cell>
          <cell r="ST109">
            <v>0</v>
          </cell>
          <cell r="SU109">
            <v>0</v>
          </cell>
          <cell r="SV109">
            <v>7334.3334197006598</v>
          </cell>
          <cell r="SW109">
            <v>7334.3334197006598</v>
          </cell>
          <cell r="SX109">
            <v>7334.3334197006598</v>
          </cell>
        </row>
        <row r="110">
          <cell r="SO110">
            <v>0</v>
          </cell>
          <cell r="SP110">
            <v>7322.1053384099478</v>
          </cell>
          <cell r="SQ110">
            <v>2440.7017794699827</v>
          </cell>
          <cell r="SR110">
            <v>24407.017794699826</v>
          </cell>
          <cell r="SS110">
            <v>7322.1053384099478</v>
          </cell>
          <cell r="ST110">
            <v>0</v>
          </cell>
          <cell r="SU110">
            <v>0</v>
          </cell>
          <cell r="SV110">
            <v>7322.1053384099478</v>
          </cell>
          <cell r="SW110">
            <v>7322.1053384099478</v>
          </cell>
          <cell r="SX110">
            <v>7322.1053384099478</v>
          </cell>
        </row>
        <row r="111">
          <cell r="SO111">
            <v>0</v>
          </cell>
          <cell r="SP111">
            <v>7311.0227933791002</v>
          </cell>
          <cell r="SQ111">
            <v>2437.0075977930333</v>
          </cell>
          <cell r="SR111">
            <v>24370.075977930333</v>
          </cell>
          <cell r="SS111">
            <v>7311.0227933791002</v>
          </cell>
          <cell r="ST111">
            <v>0</v>
          </cell>
          <cell r="SU111">
            <v>0</v>
          </cell>
          <cell r="SV111">
            <v>7311.0227933791002</v>
          </cell>
          <cell r="SW111">
            <v>7311.0227933791002</v>
          </cell>
          <cell r="SX111">
            <v>7311.0227933791002</v>
          </cell>
        </row>
        <row r="112">
          <cell r="SO112">
            <v>0</v>
          </cell>
          <cell r="SP112">
            <v>7300.7008518109296</v>
          </cell>
          <cell r="SQ112">
            <v>2433.5669506036434</v>
          </cell>
          <cell r="SR112">
            <v>24335.669506036433</v>
          </cell>
          <cell r="SS112">
            <v>7300.7008518109296</v>
          </cell>
          <cell r="ST112">
            <v>0</v>
          </cell>
          <cell r="SU112">
            <v>0</v>
          </cell>
          <cell r="SV112">
            <v>7300.7008518109296</v>
          </cell>
          <cell r="SW112">
            <v>7300.7008518109296</v>
          </cell>
          <cell r="SX112">
            <v>7300.7008518109296</v>
          </cell>
        </row>
        <row r="113">
          <cell r="SO113">
            <v>0</v>
          </cell>
          <cell r="SP113">
            <v>7290.3386779384846</v>
          </cell>
          <cell r="SQ113">
            <v>2430.112892646162</v>
          </cell>
          <cell r="SR113">
            <v>24301.128926461617</v>
          </cell>
          <cell r="SS113">
            <v>7290.3386779384846</v>
          </cell>
          <cell r="ST113">
            <v>0</v>
          </cell>
          <cell r="SU113">
            <v>0</v>
          </cell>
          <cell r="SV113">
            <v>7290.3386779384846</v>
          </cell>
          <cell r="SW113">
            <v>7290.3386779384846</v>
          </cell>
          <cell r="SX113">
            <v>7290.3386779384846</v>
          </cell>
        </row>
        <row r="114">
          <cell r="SO114">
            <v>0</v>
          </cell>
          <cell r="SP114">
            <v>7280.0947913026021</v>
          </cell>
          <cell r="SQ114">
            <v>2426.6982637675342</v>
          </cell>
          <cell r="SR114">
            <v>24266.982637675341</v>
          </cell>
          <cell r="SS114">
            <v>7280.0947913026021</v>
          </cell>
          <cell r="ST114">
            <v>0</v>
          </cell>
          <cell r="SU114">
            <v>0</v>
          </cell>
          <cell r="SV114">
            <v>7280.0947913026021</v>
          </cell>
          <cell r="SW114">
            <v>7280.0947913026021</v>
          </cell>
          <cell r="SX114">
            <v>7280.0947913026021</v>
          </cell>
        </row>
        <row r="115">
          <cell r="SO115">
            <v>0</v>
          </cell>
          <cell r="SP115">
            <v>7270.321620534155</v>
          </cell>
          <cell r="SQ115">
            <v>2423.4405401780518</v>
          </cell>
          <cell r="SR115">
            <v>24234.405401780517</v>
          </cell>
          <cell r="SS115">
            <v>7270.321620534155</v>
          </cell>
          <cell r="ST115">
            <v>0</v>
          </cell>
          <cell r="SU115">
            <v>0</v>
          </cell>
          <cell r="SV115">
            <v>7270.321620534155</v>
          </cell>
          <cell r="SW115">
            <v>7270.321620534155</v>
          </cell>
          <cell r="SX115">
            <v>7270.321620534155</v>
          </cell>
        </row>
        <row r="116">
          <cell r="SO116">
            <v>0</v>
          </cell>
          <cell r="SP116">
            <v>7260.8708283754431</v>
          </cell>
          <cell r="SQ116">
            <v>2420.2902761251476</v>
          </cell>
          <cell r="SR116">
            <v>24202.902761251476</v>
          </cell>
          <cell r="SS116">
            <v>7260.8708283754431</v>
          </cell>
          <cell r="ST116">
            <v>0</v>
          </cell>
          <cell r="SU116">
            <v>0</v>
          </cell>
          <cell r="SV116">
            <v>7260.8708283754431</v>
          </cell>
          <cell r="SW116">
            <v>7260.8708283754431</v>
          </cell>
          <cell r="SX116">
            <v>7260.8708283754431</v>
          </cell>
        </row>
        <row r="117">
          <cell r="SO117">
            <v>0</v>
          </cell>
          <cell r="SP117">
            <v>7251.3941561486254</v>
          </cell>
          <cell r="SQ117">
            <v>2417.1313853828756</v>
          </cell>
          <cell r="SR117">
            <v>24171.313853828753</v>
          </cell>
          <cell r="SS117">
            <v>7251.3941561486254</v>
          </cell>
          <cell r="ST117">
            <v>0</v>
          </cell>
          <cell r="SU117">
            <v>0</v>
          </cell>
          <cell r="SV117">
            <v>7251.3941561486254</v>
          </cell>
          <cell r="SW117">
            <v>7251.3941561486254</v>
          </cell>
          <cell r="SX117">
            <v>7251.3941561486254</v>
          </cell>
        </row>
        <row r="118">
          <cell r="SO118">
            <v>0</v>
          </cell>
          <cell r="SP118">
            <v>7241.8920955061221</v>
          </cell>
          <cell r="SQ118">
            <v>2413.964031835374</v>
          </cell>
          <cell r="SR118">
            <v>24139.64031835374</v>
          </cell>
          <cell r="SS118">
            <v>7241.8920955061221</v>
          </cell>
          <cell r="ST118">
            <v>0</v>
          </cell>
          <cell r="SU118">
            <v>0</v>
          </cell>
          <cell r="SV118">
            <v>7241.8920955061221</v>
          </cell>
          <cell r="SW118">
            <v>7241.8920955061221</v>
          </cell>
          <cell r="SX118">
            <v>7241.8920955061221</v>
          </cell>
        </row>
        <row r="119">
          <cell r="SO119">
            <v>0</v>
          </cell>
          <cell r="SP119">
            <v>7232.330744191122</v>
          </cell>
          <cell r="SQ119">
            <v>2410.7769147303743</v>
          </cell>
          <cell r="SR119">
            <v>24107.769147303741</v>
          </cell>
          <cell r="SS119">
            <v>7232.330744191122</v>
          </cell>
          <cell r="ST119">
            <v>0</v>
          </cell>
          <cell r="SU119">
            <v>0</v>
          </cell>
          <cell r="SV119">
            <v>7232.330744191122</v>
          </cell>
          <cell r="SW119">
            <v>7232.330744191122</v>
          </cell>
          <cell r="SX119">
            <v>7232.330744191122</v>
          </cell>
        </row>
        <row r="120">
          <cell r="SO120">
            <v>0</v>
          </cell>
          <cell r="SP120">
            <v>7222.6414427721393</v>
          </cell>
          <cell r="SQ120">
            <v>2407.5471475907134</v>
          </cell>
          <cell r="SR120">
            <v>24075.471475907132</v>
          </cell>
          <cell r="SS120">
            <v>7222.6414427721393</v>
          </cell>
          <cell r="ST120">
            <v>0</v>
          </cell>
          <cell r="SU120">
            <v>0</v>
          </cell>
          <cell r="SV120">
            <v>7222.6414427721393</v>
          </cell>
          <cell r="SW120">
            <v>7222.6414427721393</v>
          </cell>
          <cell r="SX120">
            <v>7222.6414427721393</v>
          </cell>
        </row>
        <row r="121">
          <cell r="SO121">
            <v>0</v>
          </cell>
          <cell r="SP121">
            <v>7212.8532184963706</v>
          </cell>
          <cell r="SQ121">
            <v>2404.2844061654573</v>
          </cell>
          <cell r="SR121">
            <v>24042.84406165457</v>
          </cell>
          <cell r="SS121">
            <v>7212.8532184963706</v>
          </cell>
          <cell r="ST121">
            <v>0</v>
          </cell>
          <cell r="SU121">
            <v>0</v>
          </cell>
          <cell r="SV121">
            <v>7212.8532184963706</v>
          </cell>
          <cell r="SW121">
            <v>7212.8532184963706</v>
          </cell>
          <cell r="SX121">
            <v>7212.8532184963706</v>
          </cell>
        </row>
        <row r="122">
          <cell r="SO122">
            <v>0</v>
          </cell>
          <cell r="SP122">
            <v>7203.0357139555899</v>
          </cell>
          <cell r="SQ122">
            <v>2401.0119046518635</v>
          </cell>
          <cell r="SR122">
            <v>24010.119046518634</v>
          </cell>
          <cell r="SS122">
            <v>7203.0357139555899</v>
          </cell>
          <cell r="ST122">
            <v>0</v>
          </cell>
          <cell r="SU122">
            <v>0</v>
          </cell>
          <cell r="SV122">
            <v>7203.0357139555899</v>
          </cell>
          <cell r="SW122">
            <v>7203.0357139555899</v>
          </cell>
          <cell r="SX122">
            <v>7203.0357139555899</v>
          </cell>
        </row>
        <row r="123">
          <cell r="SO123">
            <v>0</v>
          </cell>
          <cell r="SP123">
            <v>7193.1863808923681</v>
          </cell>
          <cell r="SQ123">
            <v>2397.7287936307894</v>
          </cell>
          <cell r="SR123">
            <v>23977.287936307894</v>
          </cell>
          <cell r="SS123">
            <v>7193.1863808923681</v>
          </cell>
          <cell r="ST123">
            <v>0</v>
          </cell>
          <cell r="SU123">
            <v>0</v>
          </cell>
          <cell r="SV123">
            <v>7193.1863808923681</v>
          </cell>
          <cell r="SW123">
            <v>7193.1863808923681</v>
          </cell>
          <cell r="SX123">
            <v>7193.1863808923681</v>
          </cell>
        </row>
        <row r="124">
          <cell r="SO124">
            <v>0</v>
          </cell>
          <cell r="SP124">
            <v>7183.3072053448141</v>
          </cell>
          <cell r="SQ124">
            <v>2394.4357351149383</v>
          </cell>
          <cell r="SR124">
            <v>23944.357351149381</v>
          </cell>
          <cell r="SS124">
            <v>7183.3072053448141</v>
          </cell>
          <cell r="ST124">
            <v>0</v>
          </cell>
          <cell r="SU124">
            <v>0</v>
          </cell>
          <cell r="SV124">
            <v>7183.3072053448141</v>
          </cell>
          <cell r="SW124">
            <v>7183.3072053448141</v>
          </cell>
          <cell r="SX124">
            <v>7183.3072053448141</v>
          </cell>
        </row>
        <row r="125">
          <cell r="SO125">
            <v>0</v>
          </cell>
          <cell r="SP125">
            <v>7173.3971470593833</v>
          </cell>
          <cell r="SQ125">
            <v>2391.1323823531279</v>
          </cell>
          <cell r="SR125">
            <v>23911.323823531278</v>
          </cell>
          <cell r="SS125">
            <v>7173.3971470593833</v>
          </cell>
          <cell r="ST125">
            <v>0</v>
          </cell>
          <cell r="SU125">
            <v>0</v>
          </cell>
          <cell r="SV125">
            <v>7173.3971470593833</v>
          </cell>
          <cell r="SW125">
            <v>7173.3971470593833</v>
          </cell>
          <cell r="SX125">
            <v>7173.3971470593833</v>
          </cell>
        </row>
        <row r="126">
          <cell r="SO126">
            <v>0</v>
          </cell>
          <cell r="SP126">
            <v>7163.4566853285005</v>
          </cell>
          <cell r="SQ126">
            <v>2387.8188951095003</v>
          </cell>
          <cell r="SR126">
            <v>23878.188951095002</v>
          </cell>
          <cell r="SS126">
            <v>7163.4566853285005</v>
          </cell>
          <cell r="ST126">
            <v>0</v>
          </cell>
          <cell r="SU126">
            <v>0</v>
          </cell>
          <cell r="SV126">
            <v>7163.4566853285005</v>
          </cell>
          <cell r="SW126">
            <v>7163.4566853285005</v>
          </cell>
          <cell r="SX126">
            <v>7163.4566853285005</v>
          </cell>
        </row>
        <row r="127">
          <cell r="SO127">
            <v>0</v>
          </cell>
          <cell r="SP127">
            <v>7153.4832350851066</v>
          </cell>
          <cell r="SQ127">
            <v>2384.4944116950355</v>
          </cell>
          <cell r="SR127">
            <v>23844.944116950355</v>
          </cell>
          <cell r="SS127">
            <v>7153.4832350851066</v>
          </cell>
          <cell r="ST127">
            <v>0</v>
          </cell>
          <cell r="SU127">
            <v>0</v>
          </cell>
          <cell r="SV127">
            <v>7153.4832350851066</v>
          </cell>
          <cell r="SW127">
            <v>7153.4832350851066</v>
          </cell>
          <cell r="SX127">
            <v>7153.4832350851066</v>
          </cell>
        </row>
        <row r="128">
          <cell r="SO128">
            <v>0</v>
          </cell>
          <cell r="SP128">
            <v>7143.4788025534608</v>
          </cell>
          <cell r="SQ128">
            <v>2381.1596008511538</v>
          </cell>
          <cell r="SR128">
            <v>23811.596008511537</v>
          </cell>
          <cell r="SS128">
            <v>7143.4788025534608</v>
          </cell>
          <cell r="ST128">
            <v>0</v>
          </cell>
          <cell r="SU128">
            <v>0</v>
          </cell>
          <cell r="SV128">
            <v>7143.4788025534608</v>
          </cell>
          <cell r="SW128">
            <v>7143.4788025534608</v>
          </cell>
          <cell r="SX128">
            <v>7143.4788025534608</v>
          </cell>
        </row>
        <row r="164">
          <cell r="SO164">
            <v>0</v>
          </cell>
          <cell r="SP164">
            <v>0</v>
          </cell>
          <cell r="SQ164">
            <v>0</v>
          </cell>
          <cell r="SR164">
            <v>0</v>
          </cell>
          <cell r="SS164">
            <v>0</v>
          </cell>
          <cell r="ST164">
            <v>0</v>
          </cell>
          <cell r="SU164">
            <v>0</v>
          </cell>
          <cell r="SV164">
            <v>0</v>
          </cell>
          <cell r="SW164">
            <v>0</v>
          </cell>
          <cell r="SX164">
            <v>0</v>
          </cell>
        </row>
        <row r="165">
          <cell r="SO165">
            <v>0</v>
          </cell>
          <cell r="SP165">
            <v>0</v>
          </cell>
          <cell r="SQ165">
            <v>0</v>
          </cell>
          <cell r="SR165">
            <v>0</v>
          </cell>
          <cell r="SS165">
            <v>0</v>
          </cell>
          <cell r="ST165">
            <v>0</v>
          </cell>
          <cell r="SU165">
            <v>0</v>
          </cell>
          <cell r="SV165">
            <v>0</v>
          </cell>
          <cell r="SW165">
            <v>0</v>
          </cell>
          <cell r="SX165">
            <v>0</v>
          </cell>
        </row>
        <row r="166">
          <cell r="SO166">
            <v>0</v>
          </cell>
          <cell r="SP166">
            <v>0</v>
          </cell>
          <cell r="SQ166">
            <v>0</v>
          </cell>
          <cell r="SR166">
            <v>0</v>
          </cell>
          <cell r="SS166">
            <v>0</v>
          </cell>
          <cell r="ST166">
            <v>0</v>
          </cell>
          <cell r="SU166">
            <v>0</v>
          </cell>
          <cell r="SV166">
            <v>0</v>
          </cell>
          <cell r="SW166">
            <v>0</v>
          </cell>
          <cell r="SX166">
            <v>0</v>
          </cell>
        </row>
        <row r="167">
          <cell r="SO167">
            <v>0</v>
          </cell>
          <cell r="SP167">
            <v>2572.7659902315468</v>
          </cell>
          <cell r="SQ167">
            <v>1029.1063960926188</v>
          </cell>
          <cell r="SR167">
            <v>0</v>
          </cell>
          <cell r="SS167">
            <v>2572.7659902315468</v>
          </cell>
          <cell r="ST167">
            <v>0</v>
          </cell>
          <cell r="SU167">
            <v>0</v>
          </cell>
          <cell r="SV167">
            <v>2572.7659902315468</v>
          </cell>
          <cell r="SW167">
            <v>2572.7659902315468</v>
          </cell>
          <cell r="SX167">
            <v>0</v>
          </cell>
        </row>
        <row r="168">
          <cell r="SO168">
            <v>0</v>
          </cell>
          <cell r="SP168">
            <v>5136.891709713801</v>
          </cell>
          <cell r="SQ168">
            <v>2054.7566838855205</v>
          </cell>
          <cell r="SR168">
            <v>0</v>
          </cell>
          <cell r="SS168">
            <v>5136.891709713801</v>
          </cell>
          <cell r="ST168">
            <v>0</v>
          </cell>
          <cell r="SU168">
            <v>0</v>
          </cell>
          <cell r="SV168">
            <v>5136.891709713801</v>
          </cell>
          <cell r="SW168">
            <v>5136.891709713801</v>
          </cell>
          <cell r="SX168">
            <v>0</v>
          </cell>
        </row>
        <row r="169">
          <cell r="SO169">
            <v>0</v>
          </cell>
          <cell r="SP169">
            <v>7692.3964135100814</v>
          </cell>
          <cell r="SQ169">
            <v>3589.7849929713716</v>
          </cell>
          <cell r="SR169">
            <v>0</v>
          </cell>
          <cell r="SS169">
            <v>7692.3964135100814</v>
          </cell>
          <cell r="ST169">
            <v>0</v>
          </cell>
          <cell r="SU169">
            <v>0</v>
          </cell>
          <cell r="SV169">
            <v>7692.3964135100814</v>
          </cell>
          <cell r="SW169">
            <v>7692.3964135100814</v>
          </cell>
          <cell r="SX169">
            <v>0</v>
          </cell>
        </row>
        <row r="170">
          <cell r="SO170">
            <v>0</v>
          </cell>
          <cell r="SP170">
            <v>10239.153381253604</v>
          </cell>
          <cell r="SQ170">
            <v>5119.5766906268018</v>
          </cell>
          <cell r="SR170">
            <v>0</v>
          </cell>
          <cell r="SS170">
            <v>10239.153381253604</v>
          </cell>
          <cell r="ST170">
            <v>0</v>
          </cell>
          <cell r="SU170">
            <v>0</v>
          </cell>
          <cell r="SV170">
            <v>10239.153381253604</v>
          </cell>
          <cell r="SW170">
            <v>10239.153381253604</v>
          </cell>
          <cell r="SX170">
            <v>0</v>
          </cell>
        </row>
        <row r="171">
          <cell r="SO171">
            <v>0</v>
          </cell>
          <cell r="SP171">
            <v>12777.053749282322</v>
          </cell>
          <cell r="SQ171">
            <v>7155.1500995981014</v>
          </cell>
          <cell r="SR171">
            <v>0</v>
          </cell>
          <cell r="SS171">
            <v>12777.053749282322</v>
          </cell>
          <cell r="ST171">
            <v>0</v>
          </cell>
          <cell r="SU171">
            <v>0</v>
          </cell>
          <cell r="SV171">
            <v>12777.053749282322</v>
          </cell>
          <cell r="SW171">
            <v>12777.053749282322</v>
          </cell>
          <cell r="SX171">
            <v>0</v>
          </cell>
        </row>
        <row r="172">
          <cell r="SO172">
            <v>0</v>
          </cell>
          <cell r="SP172">
            <v>15306.150677820378</v>
          </cell>
          <cell r="SQ172">
            <v>9183.690406692227</v>
          </cell>
          <cell r="SR172">
            <v>0</v>
          </cell>
          <cell r="SS172">
            <v>12755.125564850316</v>
          </cell>
          <cell r="ST172">
            <v>0</v>
          </cell>
          <cell r="SU172">
            <v>0</v>
          </cell>
          <cell r="SV172">
            <v>15306.150677820378</v>
          </cell>
          <cell r="SW172">
            <v>15306.150677820378</v>
          </cell>
          <cell r="SX172">
            <v>0</v>
          </cell>
        </row>
        <row r="173">
          <cell r="SO173">
            <v>0</v>
          </cell>
          <cell r="SP173">
            <v>15279.86129104304</v>
          </cell>
          <cell r="SQ173">
            <v>11714.560323132999</v>
          </cell>
          <cell r="SR173">
            <v>0</v>
          </cell>
          <cell r="SS173">
            <v>12733.217742535868</v>
          </cell>
          <cell r="ST173">
            <v>0</v>
          </cell>
          <cell r="SU173">
            <v>0</v>
          </cell>
          <cell r="SV173">
            <v>15279.86129104304</v>
          </cell>
          <cell r="SW173">
            <v>15279.86129104304</v>
          </cell>
          <cell r="SX173">
            <v>0</v>
          </cell>
        </row>
        <row r="174">
          <cell r="SO174">
            <v>0</v>
          </cell>
          <cell r="SP174">
            <v>15254.38612168739</v>
          </cell>
          <cell r="SQ174">
            <v>14237.427046908233</v>
          </cell>
          <cell r="SR174">
            <v>0</v>
          </cell>
          <cell r="SS174">
            <v>12711.988434739493</v>
          </cell>
          <cell r="ST174">
            <v>0</v>
          </cell>
          <cell r="SU174">
            <v>0</v>
          </cell>
          <cell r="SV174">
            <v>15254.38612168739</v>
          </cell>
          <cell r="SW174">
            <v>15254.38612168739</v>
          </cell>
          <cell r="SX174">
            <v>0</v>
          </cell>
        </row>
        <row r="175">
          <cell r="SO175">
            <v>0</v>
          </cell>
          <cell r="SP175">
            <v>15231.297486206458</v>
          </cell>
          <cell r="SQ175">
            <v>17262.137151033989</v>
          </cell>
          <cell r="SR175">
            <v>0</v>
          </cell>
          <cell r="SS175">
            <v>12692.747905172049</v>
          </cell>
          <cell r="ST175">
            <v>0</v>
          </cell>
          <cell r="SU175">
            <v>0</v>
          </cell>
          <cell r="SV175">
            <v>15231.297486206458</v>
          </cell>
          <cell r="SW175">
            <v>15231.297486206458</v>
          </cell>
          <cell r="SX175">
            <v>0</v>
          </cell>
        </row>
        <row r="176">
          <cell r="SO176">
            <v>0</v>
          </cell>
          <cell r="SP176">
            <v>15209.793441272772</v>
          </cell>
          <cell r="SQ176">
            <v>20279.724588363697</v>
          </cell>
          <cell r="SR176">
            <v>0</v>
          </cell>
          <cell r="SS176">
            <v>12674.82786772731</v>
          </cell>
          <cell r="ST176">
            <v>0</v>
          </cell>
          <cell r="SU176">
            <v>0</v>
          </cell>
          <cell r="SV176">
            <v>15209.793441272772</v>
          </cell>
          <cell r="SW176">
            <v>15209.793441272772</v>
          </cell>
          <cell r="SX176">
            <v>0</v>
          </cell>
        </row>
        <row r="177">
          <cell r="SO177">
            <v>0</v>
          </cell>
          <cell r="SP177">
            <v>15188.205579038511</v>
          </cell>
          <cell r="SQ177">
            <v>23794.855407160336</v>
          </cell>
          <cell r="SR177">
            <v>0</v>
          </cell>
          <cell r="SS177">
            <v>12656.837982532094</v>
          </cell>
          <cell r="ST177">
            <v>0</v>
          </cell>
          <cell r="SU177">
            <v>0</v>
          </cell>
          <cell r="SV177">
            <v>15188.205579038511</v>
          </cell>
          <cell r="SW177">
            <v>15188.205579038511</v>
          </cell>
          <cell r="SX177">
            <v>0</v>
          </cell>
        </row>
        <row r="178">
          <cell r="SO178">
            <v>0</v>
          </cell>
          <cell r="SP178">
            <v>15166.864148547087</v>
          </cell>
          <cell r="SQ178">
            <v>26794.793329099855</v>
          </cell>
          <cell r="SR178">
            <v>0</v>
          </cell>
          <cell r="SS178">
            <v>12639.053457122573</v>
          </cell>
          <cell r="ST178">
            <v>0</v>
          </cell>
          <cell r="SU178">
            <v>0</v>
          </cell>
          <cell r="SV178">
            <v>15166.864148547087</v>
          </cell>
          <cell r="SW178">
            <v>15166.864148547087</v>
          </cell>
          <cell r="SX178">
            <v>0</v>
          </cell>
        </row>
        <row r="179">
          <cell r="SO179">
            <v>0</v>
          </cell>
          <cell r="SP179">
            <v>12573.737385881277</v>
          </cell>
          <cell r="SQ179">
            <v>28254.133464392173</v>
          </cell>
          <cell r="SR179">
            <v>0</v>
          </cell>
          <cell r="SS179">
            <v>10049.32015652914</v>
          </cell>
          <cell r="ST179">
            <v>0</v>
          </cell>
          <cell r="SU179">
            <v>0</v>
          </cell>
          <cell r="SV179">
            <v>12573.737385881277</v>
          </cell>
          <cell r="SW179">
            <v>12573.737385881277</v>
          </cell>
          <cell r="SX179">
            <v>0</v>
          </cell>
        </row>
        <row r="180">
          <cell r="SO180">
            <v>0</v>
          </cell>
          <cell r="SP180">
            <v>9989.9225160683709</v>
          </cell>
          <cell r="SQ180">
            <v>29207.326049397634</v>
          </cell>
          <cell r="SR180">
            <v>0</v>
          </cell>
          <cell r="SS180">
            <v>7468.7868117713415</v>
          </cell>
          <cell r="ST180">
            <v>0</v>
          </cell>
          <cell r="SU180">
            <v>0</v>
          </cell>
          <cell r="SV180">
            <v>9989.9225160683709</v>
          </cell>
          <cell r="SW180">
            <v>9989.9225160683709</v>
          </cell>
          <cell r="SX180">
            <v>0</v>
          </cell>
        </row>
        <row r="181">
          <cell r="SO181">
            <v>0</v>
          </cell>
          <cell r="SP181">
            <v>7414.6747451328883</v>
          </cell>
          <cell r="SQ181">
            <v>29142.202517421734</v>
          </cell>
          <cell r="SR181">
            <v>0</v>
          </cell>
          <cell r="SS181">
            <v>4896.829552025727</v>
          </cell>
          <cell r="ST181">
            <v>0</v>
          </cell>
          <cell r="SU181">
            <v>0</v>
          </cell>
          <cell r="SV181">
            <v>7414.6747451328883</v>
          </cell>
          <cell r="SW181">
            <v>7414.6747451328883</v>
          </cell>
          <cell r="SX181">
            <v>0</v>
          </cell>
        </row>
        <row r="182">
          <cell r="SO182">
            <v>0</v>
          </cell>
          <cell r="SP182">
            <v>4848.1218177174833</v>
          </cell>
          <cell r="SQ182">
            <v>28575.33792040863</v>
          </cell>
          <cell r="SR182">
            <v>0</v>
          </cell>
          <cell r="SS182">
            <v>2333.575951222303</v>
          </cell>
          <cell r="ST182">
            <v>0</v>
          </cell>
          <cell r="SU182">
            <v>0</v>
          </cell>
          <cell r="SV182">
            <v>4848.1218177174833</v>
          </cell>
          <cell r="SW182">
            <v>4848.1218177174833</v>
          </cell>
          <cell r="SX182">
            <v>0</v>
          </cell>
        </row>
        <row r="183">
          <cell r="SO183">
            <v>0</v>
          </cell>
          <cell r="SP183">
            <v>2290.3019677825159</v>
          </cell>
          <cell r="SQ183">
            <v>26997.522859082204</v>
          </cell>
          <cell r="SR183">
            <v>0</v>
          </cell>
          <cell r="SS183">
            <v>-220.92398506162317</v>
          </cell>
          <cell r="ST183">
            <v>0</v>
          </cell>
          <cell r="SU183">
            <v>0</v>
          </cell>
          <cell r="SV183">
            <v>2290.3019677825159</v>
          </cell>
          <cell r="SW183">
            <v>2290.3019677825159</v>
          </cell>
          <cell r="SX183">
            <v>0</v>
          </cell>
        </row>
        <row r="184">
          <cell r="SO184">
            <v>0</v>
          </cell>
          <cell r="SP184">
            <v>-258.9810053784222</v>
          </cell>
          <cell r="SQ184">
            <v>24923.227517509542</v>
          </cell>
          <cell r="SR184">
            <v>0</v>
          </cell>
          <cell r="SS184">
            <v>-215.81750448201819</v>
          </cell>
          <cell r="ST184">
            <v>0</v>
          </cell>
          <cell r="SU184">
            <v>0</v>
          </cell>
          <cell r="SV184">
            <v>-258.9810053784222</v>
          </cell>
          <cell r="SW184">
            <v>-258.9810053784222</v>
          </cell>
          <cell r="SX184">
            <v>0</v>
          </cell>
        </row>
        <row r="185">
          <cell r="SO185">
            <v>0</v>
          </cell>
          <cell r="SP185">
            <v>-253.0837525089355</v>
          </cell>
          <cell r="SQ185">
            <v>22346.135430877639</v>
          </cell>
          <cell r="SR185">
            <v>0</v>
          </cell>
          <cell r="SS185">
            <v>-210.90312709077989</v>
          </cell>
          <cell r="ST185">
            <v>0</v>
          </cell>
          <cell r="SU185">
            <v>0</v>
          </cell>
          <cell r="SV185">
            <v>-253.0837525089355</v>
          </cell>
          <cell r="SW185">
            <v>-253.0837525089355</v>
          </cell>
          <cell r="SX185">
            <v>0</v>
          </cell>
        </row>
        <row r="186">
          <cell r="SO186">
            <v>0</v>
          </cell>
          <cell r="SP186">
            <v>-248.06171761324367</v>
          </cell>
          <cell r="SQ186">
            <v>19776.908268993167</v>
          </cell>
          <cell r="SR186">
            <v>0</v>
          </cell>
          <cell r="SS186">
            <v>-206.718098011037</v>
          </cell>
          <cell r="ST186">
            <v>0</v>
          </cell>
          <cell r="SU186">
            <v>0</v>
          </cell>
          <cell r="SV186">
            <v>-248.06171761324367</v>
          </cell>
          <cell r="SW186">
            <v>-248.06171761324367</v>
          </cell>
          <cell r="SX186">
            <v>0</v>
          </cell>
        </row>
        <row r="187">
          <cell r="SO187">
            <v>0</v>
          </cell>
          <cell r="SP187">
            <v>-245.49252601402441</v>
          </cell>
          <cell r="SQ187">
            <v>16705.687425402197</v>
          </cell>
          <cell r="SR187">
            <v>0</v>
          </cell>
          <cell r="SS187">
            <v>-204.57710501168731</v>
          </cell>
          <cell r="ST187">
            <v>0</v>
          </cell>
          <cell r="SU187">
            <v>0</v>
          </cell>
          <cell r="SV187">
            <v>-245.49252601402441</v>
          </cell>
          <cell r="SW187">
            <v>-245.49252601402441</v>
          </cell>
          <cell r="SX187">
            <v>0</v>
          </cell>
        </row>
        <row r="188">
          <cell r="SO188">
            <v>0</v>
          </cell>
          <cell r="SP188">
            <v>-244.57009680440933</v>
          </cell>
          <cell r="SQ188">
            <v>13641.448325764595</v>
          </cell>
          <cell r="SR188">
            <v>0</v>
          </cell>
          <cell r="SS188">
            <v>-203.80841400367353</v>
          </cell>
          <cell r="ST188">
            <v>0</v>
          </cell>
          <cell r="SU188">
            <v>0</v>
          </cell>
          <cell r="SV188">
            <v>-244.57009680440933</v>
          </cell>
          <cell r="SW188">
            <v>-244.57009680440933</v>
          </cell>
          <cell r="SX188">
            <v>0</v>
          </cell>
        </row>
        <row r="189">
          <cell r="SO189">
            <v>0</v>
          </cell>
          <cell r="SP189">
            <v>-243.62818933146264</v>
          </cell>
          <cell r="SQ189">
            <v>10079.520009508982</v>
          </cell>
          <cell r="SR189">
            <v>0</v>
          </cell>
          <cell r="SS189">
            <v>-203.0234911095522</v>
          </cell>
          <cell r="ST189">
            <v>0</v>
          </cell>
          <cell r="SU189">
            <v>0</v>
          </cell>
          <cell r="SV189">
            <v>-243.62818933146264</v>
          </cell>
          <cell r="SW189">
            <v>-243.62818933146264</v>
          </cell>
          <cell r="SX189">
            <v>0</v>
          </cell>
        </row>
        <row r="190">
          <cell r="SO190">
            <v>0</v>
          </cell>
          <cell r="SP190">
            <v>-242.99605411271114</v>
          </cell>
          <cell r="SQ190">
            <v>7032.6410182847321</v>
          </cell>
          <cell r="SR190">
            <v>0</v>
          </cell>
          <cell r="SS190">
            <v>-202.49671176059201</v>
          </cell>
          <cell r="ST190">
            <v>0</v>
          </cell>
          <cell r="SU190">
            <v>0</v>
          </cell>
          <cell r="SV190">
            <v>-242.99605411271114</v>
          </cell>
          <cell r="SW190">
            <v>-242.99605411271114</v>
          </cell>
          <cell r="SX190">
            <v>0</v>
          </cell>
        </row>
        <row r="191">
          <cell r="SO191">
            <v>0</v>
          </cell>
          <cell r="SP191">
            <v>2329.3526872126949</v>
          </cell>
          <cell r="SQ191">
            <v>5526.2040346208305</v>
          </cell>
          <cell r="SR191">
            <v>0</v>
          </cell>
          <cell r="SS191">
            <v>2369.9215710491699</v>
          </cell>
          <cell r="ST191">
            <v>0</v>
          </cell>
          <cell r="SU191">
            <v>0</v>
          </cell>
          <cell r="SV191">
            <v>2329.3526872126949</v>
          </cell>
          <cell r="SW191">
            <v>2329.3526872126949</v>
          </cell>
          <cell r="SX191">
            <v>0</v>
          </cell>
        </row>
        <row r="192">
          <cell r="SO192">
            <v>0</v>
          </cell>
          <cell r="SP192">
            <v>4892.3249892513377</v>
          </cell>
          <cell r="SQ192">
            <v>4525.7682959937083</v>
          </cell>
          <cell r="SR192">
            <v>0</v>
          </cell>
          <cell r="SS192">
            <v>4933.0861093284157</v>
          </cell>
          <cell r="ST192">
            <v>0</v>
          </cell>
          <cell r="SU192">
            <v>0</v>
          </cell>
          <cell r="SV192">
            <v>4892.3249892513377</v>
          </cell>
          <cell r="SW192">
            <v>4892.3249892513377</v>
          </cell>
          <cell r="SX192">
            <v>0</v>
          </cell>
        </row>
      </sheetData>
      <sheetData sheetId="2">
        <row r="3">
          <cell r="SQ3">
            <v>12675.616385905305</v>
          </cell>
          <cell r="SR3">
            <v>12675.616385905305</v>
          </cell>
          <cell r="SS3">
            <v>12675.616385905305</v>
          </cell>
          <cell r="ST3">
            <v>12675.616385905305</v>
          </cell>
          <cell r="SU3">
            <v>12675.616385905305</v>
          </cell>
          <cell r="SV3">
            <v>12675.616385905305</v>
          </cell>
          <cell r="SW3">
            <v>12675.616385905305</v>
          </cell>
          <cell r="SX3">
            <v>12675.616385905305</v>
          </cell>
          <cell r="SY3">
            <v>12675.616385905305</v>
          </cell>
          <cell r="SZ3">
            <v>12675.616385905305</v>
          </cell>
        </row>
        <row r="4">
          <cell r="SQ4">
            <v>10021.99540737037</v>
          </cell>
          <cell r="SR4">
            <v>10021.99540737037</v>
          </cell>
          <cell r="SS4">
            <v>10021.99540737037</v>
          </cell>
          <cell r="ST4">
            <v>10021.99540737037</v>
          </cell>
          <cell r="SU4">
            <v>10021.99540737037</v>
          </cell>
          <cell r="SV4">
            <v>10021.99540737037</v>
          </cell>
          <cell r="SW4">
            <v>10021.99540737037</v>
          </cell>
          <cell r="SX4">
            <v>10021.99540737037</v>
          </cell>
          <cell r="SY4">
            <v>10021.99540737037</v>
          </cell>
          <cell r="SZ4">
            <v>10021.99540737037</v>
          </cell>
        </row>
        <row r="5">
          <cell r="SQ5">
            <v>11080.474154685457</v>
          </cell>
          <cell r="SR5">
            <v>11080.474154685457</v>
          </cell>
          <cell r="SS5">
            <v>11080.474154685457</v>
          </cell>
          <cell r="ST5">
            <v>11080.474154685457</v>
          </cell>
          <cell r="SU5">
            <v>11080.474154685457</v>
          </cell>
          <cell r="SV5">
            <v>11080.474154685457</v>
          </cell>
          <cell r="SW5">
            <v>11080.474154685457</v>
          </cell>
          <cell r="SX5">
            <v>11080.474154685457</v>
          </cell>
          <cell r="SY5">
            <v>11080.474154685457</v>
          </cell>
          <cell r="SZ5">
            <v>11080.474154685457</v>
          </cell>
        </row>
        <row r="6">
          <cell r="SQ6">
            <v>10788.201093733558</v>
          </cell>
          <cell r="SR6">
            <v>10788.201093733558</v>
          </cell>
          <cell r="SS6">
            <v>10788.201093733558</v>
          </cell>
          <cell r="ST6">
            <v>10788.201093733558</v>
          </cell>
          <cell r="SU6">
            <v>0</v>
          </cell>
          <cell r="SV6">
            <v>0</v>
          </cell>
          <cell r="SW6">
            <v>0</v>
          </cell>
          <cell r="SX6">
            <v>10788.201093733558</v>
          </cell>
          <cell r="SY6">
            <v>10788.201093733558</v>
          </cell>
          <cell r="SZ6">
            <v>10788.201093733558</v>
          </cell>
        </row>
        <row r="7">
          <cell r="SQ7">
            <v>11197.76678480205</v>
          </cell>
          <cell r="SR7">
            <v>11197.76678480205</v>
          </cell>
          <cell r="SS7">
            <v>11197.76678480205</v>
          </cell>
          <cell r="ST7">
            <v>11197.76678480205</v>
          </cell>
          <cell r="SU7">
            <v>0</v>
          </cell>
          <cell r="SV7">
            <v>0</v>
          </cell>
          <cell r="SW7">
            <v>0</v>
          </cell>
          <cell r="SX7">
            <v>11197.76678480205</v>
          </cell>
          <cell r="SY7">
            <v>11197.76678480205</v>
          </cell>
          <cell r="SZ7">
            <v>11197.76678480205</v>
          </cell>
        </row>
        <row r="8">
          <cell r="SQ8">
            <v>11031.736226813737</v>
          </cell>
          <cell r="SR8">
            <v>11031.736226813737</v>
          </cell>
          <cell r="SS8">
            <v>11031.736226813737</v>
          </cell>
          <cell r="ST8">
            <v>11031.736226813737</v>
          </cell>
          <cell r="SU8">
            <v>0</v>
          </cell>
          <cell r="SV8">
            <v>0</v>
          </cell>
          <cell r="SW8">
            <v>0</v>
          </cell>
          <cell r="SX8">
            <v>11031.736226813737</v>
          </cell>
          <cell r="SY8">
            <v>11031.736226813737</v>
          </cell>
          <cell r="SZ8">
            <v>11031.736226813737</v>
          </cell>
        </row>
        <row r="9">
          <cell r="SQ9">
            <v>10940.355242295933</v>
          </cell>
          <cell r="SR9">
            <v>10940.355242295933</v>
          </cell>
          <cell r="SS9">
            <v>10940.355242295933</v>
          </cell>
          <cell r="ST9">
            <v>10940.355242295933</v>
          </cell>
          <cell r="SU9">
            <v>0</v>
          </cell>
          <cell r="SV9">
            <v>0</v>
          </cell>
          <cell r="SW9">
            <v>0</v>
          </cell>
          <cell r="SX9">
            <v>10940.355242295933</v>
          </cell>
          <cell r="SY9">
            <v>10940.355242295933</v>
          </cell>
          <cell r="SZ9">
            <v>10940.355242295933</v>
          </cell>
        </row>
        <row r="10">
          <cell r="SQ10">
            <v>10857.059373694472</v>
          </cell>
          <cell r="SR10">
            <v>10857.059373694472</v>
          </cell>
          <cell r="SS10">
            <v>10857.059373694472</v>
          </cell>
          <cell r="ST10">
            <v>10857.059373694472</v>
          </cell>
          <cell r="SU10">
            <v>0</v>
          </cell>
          <cell r="SV10">
            <v>0</v>
          </cell>
          <cell r="SW10">
            <v>0</v>
          </cell>
          <cell r="SX10">
            <v>10857.059373694472</v>
          </cell>
          <cell r="SY10">
            <v>10857.059373694472</v>
          </cell>
          <cell r="SZ10">
            <v>10857.059373694472</v>
          </cell>
        </row>
        <row r="11">
          <cell r="SQ11">
            <v>10720.517222745082</v>
          </cell>
          <cell r="SR11">
            <v>10720.517222745082</v>
          </cell>
          <cell r="SS11">
            <v>10720.517222745082</v>
          </cell>
          <cell r="ST11">
            <v>10720.517222745082</v>
          </cell>
          <cell r="SU11">
            <v>0</v>
          </cell>
          <cell r="SV11">
            <v>0</v>
          </cell>
          <cell r="SW11">
            <v>0</v>
          </cell>
          <cell r="SX11">
            <v>10720.517222745082</v>
          </cell>
          <cell r="SY11">
            <v>10720.517222745082</v>
          </cell>
          <cell r="SZ11">
            <v>10720.517222745082</v>
          </cell>
        </row>
        <row r="12">
          <cell r="SQ12">
            <v>10559.294898523498</v>
          </cell>
          <cell r="SR12">
            <v>10559.294898523498</v>
          </cell>
          <cell r="SS12">
            <v>10559.294898523498</v>
          </cell>
          <cell r="ST12">
            <v>10559.294898523498</v>
          </cell>
          <cell r="SU12">
            <v>0</v>
          </cell>
          <cell r="SV12">
            <v>0</v>
          </cell>
          <cell r="SW12">
            <v>0</v>
          </cell>
          <cell r="SX12">
            <v>10559.294898523498</v>
          </cell>
          <cell r="SY12">
            <v>10559.294898523498</v>
          </cell>
          <cell r="SZ12">
            <v>10559.294898523498</v>
          </cell>
        </row>
        <row r="13">
          <cell r="SQ13">
            <v>10128.180508900288</v>
          </cell>
          <cell r="SR13">
            <v>10128.180508900288</v>
          </cell>
          <cell r="SS13">
            <v>10128.180508900288</v>
          </cell>
          <cell r="ST13">
            <v>10128.180508900288</v>
          </cell>
          <cell r="SU13">
            <v>0</v>
          </cell>
          <cell r="SV13">
            <v>0</v>
          </cell>
          <cell r="SW13">
            <v>0</v>
          </cell>
          <cell r="SX13">
            <v>10128.180508900288</v>
          </cell>
          <cell r="SY13">
            <v>10128.180508900288</v>
          </cell>
          <cell r="SZ13">
            <v>10128.180508900288</v>
          </cell>
        </row>
        <row r="14">
          <cell r="SQ14">
            <v>9160.2656684622634</v>
          </cell>
          <cell r="SR14">
            <v>9160.2656684622634</v>
          </cell>
          <cell r="SS14">
            <v>9160.2656684622634</v>
          </cell>
          <cell r="ST14">
            <v>9160.2656684622634</v>
          </cell>
          <cell r="SU14">
            <v>0</v>
          </cell>
          <cell r="SV14">
            <v>0</v>
          </cell>
          <cell r="SW14">
            <v>0</v>
          </cell>
          <cell r="SX14">
            <v>9160.2656684622634</v>
          </cell>
          <cell r="SY14">
            <v>9160.2656684622634</v>
          </cell>
          <cell r="SZ14">
            <v>9160.2656684622634</v>
          </cell>
        </row>
        <row r="15">
          <cell r="SQ15">
            <v>8465.9910665689385</v>
          </cell>
          <cell r="SR15">
            <v>8465.9910665689385</v>
          </cell>
          <cell r="SS15">
            <v>8465.9910665689385</v>
          </cell>
          <cell r="ST15">
            <v>8465.9910665689385</v>
          </cell>
          <cell r="SU15">
            <v>0</v>
          </cell>
          <cell r="SV15">
            <v>0</v>
          </cell>
          <cell r="SW15">
            <v>0</v>
          </cell>
          <cell r="SX15">
            <v>8465.9910665689385</v>
          </cell>
          <cell r="SY15">
            <v>8465.9910665689385</v>
          </cell>
          <cell r="SZ15">
            <v>8465.9910665689385</v>
          </cell>
        </row>
        <row r="16">
          <cell r="SQ16">
            <v>8341.7476772067312</v>
          </cell>
          <cell r="SR16">
            <v>8341.7476772067312</v>
          </cell>
          <cell r="SS16">
            <v>8341.7476772067312</v>
          </cell>
          <cell r="ST16">
            <v>8341.7476772067312</v>
          </cell>
          <cell r="SU16">
            <v>0</v>
          </cell>
          <cell r="SV16">
            <v>0</v>
          </cell>
          <cell r="SW16">
            <v>0</v>
          </cell>
          <cell r="SX16">
            <v>8341.7476772067312</v>
          </cell>
          <cell r="SY16">
            <v>8341.7476772067312</v>
          </cell>
          <cell r="SZ16">
            <v>8341.7476772067312</v>
          </cell>
        </row>
        <row r="17">
          <cell r="SQ17">
            <v>8104.6364190911991</v>
          </cell>
          <cell r="SR17">
            <v>8104.6364190911991</v>
          </cell>
          <cell r="SS17">
            <v>8104.6364190911991</v>
          </cell>
          <cell r="ST17">
            <v>8104.6364190911991</v>
          </cell>
          <cell r="SU17">
            <v>0</v>
          </cell>
          <cell r="SV17">
            <v>0</v>
          </cell>
          <cell r="SW17">
            <v>0</v>
          </cell>
          <cell r="SX17">
            <v>8104.6364190911991</v>
          </cell>
          <cell r="SY17">
            <v>8104.6364190911991</v>
          </cell>
          <cell r="SZ17">
            <v>8104.6364190911991</v>
          </cell>
        </row>
        <row r="18">
          <cell r="SQ18">
            <v>7616.8761534380901</v>
          </cell>
          <cell r="SR18">
            <v>7616.8761534380901</v>
          </cell>
          <cell r="SS18">
            <v>7616.8761534380901</v>
          </cell>
          <cell r="ST18">
            <v>7616.8761534380901</v>
          </cell>
          <cell r="SU18">
            <v>0</v>
          </cell>
          <cell r="SV18">
            <v>0</v>
          </cell>
          <cell r="SW18">
            <v>0</v>
          </cell>
          <cell r="SX18">
            <v>7616.8761534380901</v>
          </cell>
          <cell r="SY18">
            <v>7616.8761534380901</v>
          </cell>
          <cell r="SZ18">
            <v>7616.8761534380901</v>
          </cell>
        </row>
        <row r="19">
          <cell r="SQ19">
            <v>7234.5194527208805</v>
          </cell>
          <cell r="SR19">
            <v>7234.5194527208805</v>
          </cell>
          <cell r="SS19">
            <v>7234.5194527208805</v>
          </cell>
          <cell r="ST19">
            <v>7234.5194527208805</v>
          </cell>
          <cell r="SU19">
            <v>0</v>
          </cell>
          <cell r="SV19">
            <v>0</v>
          </cell>
          <cell r="SW19">
            <v>0</v>
          </cell>
          <cell r="SX19">
            <v>7234.5194527208805</v>
          </cell>
          <cell r="SY19">
            <v>7234.5194527208805</v>
          </cell>
          <cell r="SZ19">
            <v>7234.5194527208805</v>
          </cell>
        </row>
        <row r="20">
          <cell r="SQ20">
            <v>7100.0620260579162</v>
          </cell>
          <cell r="SR20">
            <v>7100.0620260579162</v>
          </cell>
          <cell r="SS20">
            <v>7100.0620260579162</v>
          </cell>
          <cell r="ST20">
            <v>7100.0620260579162</v>
          </cell>
          <cell r="SU20">
            <v>0</v>
          </cell>
          <cell r="SV20">
            <v>0</v>
          </cell>
          <cell r="SW20">
            <v>0</v>
          </cell>
          <cell r="SX20">
            <v>7100.0620260579162</v>
          </cell>
          <cell r="SY20">
            <v>7100.0620260579162</v>
          </cell>
          <cell r="SZ20">
            <v>7100.0620260579162</v>
          </cell>
        </row>
        <row r="21">
          <cell r="SQ21">
            <v>6965.2472218357434</v>
          </cell>
          <cell r="SR21">
            <v>6965.2472218357434</v>
          </cell>
          <cell r="SS21">
            <v>6965.2472218357434</v>
          </cell>
          <cell r="ST21">
            <v>6965.2472218357434</v>
          </cell>
          <cell r="SU21">
            <v>0</v>
          </cell>
          <cell r="SV21">
            <v>0</v>
          </cell>
          <cell r="SW21">
            <v>0</v>
          </cell>
          <cell r="SX21">
            <v>6965.2472218357434</v>
          </cell>
          <cell r="SY21">
            <v>6965.2472218357434</v>
          </cell>
          <cell r="SZ21">
            <v>6965.2472218357434</v>
          </cell>
        </row>
        <row r="22">
          <cell r="SQ22">
            <v>6854.5820445306308</v>
          </cell>
          <cell r="SR22">
            <v>6854.5820445306308</v>
          </cell>
          <cell r="SS22">
            <v>6854.5820445306308</v>
          </cell>
          <cell r="ST22">
            <v>6854.5820445306308</v>
          </cell>
          <cell r="SU22">
            <v>0</v>
          </cell>
          <cell r="SV22">
            <v>0</v>
          </cell>
          <cell r="SW22">
            <v>0</v>
          </cell>
          <cell r="SX22">
            <v>6854.5820445306308</v>
          </cell>
          <cell r="SY22">
            <v>6854.5820445306308</v>
          </cell>
          <cell r="SZ22">
            <v>6854.5820445306308</v>
          </cell>
        </row>
        <row r="23">
          <cell r="SQ23">
            <v>6792.7571838697768</v>
          </cell>
          <cell r="SR23">
            <v>6792.7571838697768</v>
          </cell>
          <cell r="SS23">
            <v>6792.7571838697768</v>
          </cell>
          <cell r="ST23">
            <v>6792.7571838697768</v>
          </cell>
          <cell r="SU23">
            <v>0</v>
          </cell>
          <cell r="SV23">
            <v>0</v>
          </cell>
          <cell r="SW23">
            <v>0</v>
          </cell>
          <cell r="SX23">
            <v>6792.7571838697768</v>
          </cell>
          <cell r="SY23">
            <v>6792.7571838697768</v>
          </cell>
          <cell r="SZ23">
            <v>6792.7571838697768</v>
          </cell>
        </row>
        <row r="24">
          <cell r="SQ24">
            <v>6710.2820238261484</v>
          </cell>
          <cell r="SR24">
            <v>6710.2820238261484</v>
          </cell>
          <cell r="SS24">
            <v>6710.2820238261484</v>
          </cell>
          <cell r="ST24">
            <v>6710.2820238261484</v>
          </cell>
          <cell r="SU24">
            <v>0</v>
          </cell>
          <cell r="SV24">
            <v>0</v>
          </cell>
          <cell r="SW24">
            <v>0</v>
          </cell>
          <cell r="SX24">
            <v>6710.2820238261484</v>
          </cell>
          <cell r="SY24">
            <v>6710.2820238261484</v>
          </cell>
          <cell r="SZ24">
            <v>6710.2820238261484</v>
          </cell>
        </row>
        <row r="25">
          <cell r="SQ25">
            <v>6578.2839158923016</v>
          </cell>
          <cell r="SR25">
            <v>6578.2839158923016</v>
          </cell>
          <cell r="SS25">
            <v>6578.2839158923016</v>
          </cell>
          <cell r="ST25">
            <v>6578.2839158923016</v>
          </cell>
          <cell r="SU25">
            <v>0</v>
          </cell>
          <cell r="SV25">
            <v>0</v>
          </cell>
          <cell r="SW25">
            <v>0</v>
          </cell>
          <cell r="SX25">
            <v>6578.2839158923016</v>
          </cell>
          <cell r="SY25">
            <v>6578.2839158923016</v>
          </cell>
          <cell r="SZ25">
            <v>6578.2839158923016</v>
          </cell>
        </row>
        <row r="26">
          <cell r="SQ26">
            <v>6447.9808080168732</v>
          </cell>
          <cell r="SR26">
            <v>6447.9808080168732</v>
          </cell>
          <cell r="SS26">
            <v>6447.9808080168732</v>
          </cell>
          <cell r="ST26">
            <v>6447.9808080168732</v>
          </cell>
          <cell r="SU26">
            <v>0</v>
          </cell>
          <cell r="SV26">
            <v>0</v>
          </cell>
          <cell r="SW26">
            <v>0</v>
          </cell>
          <cell r="SX26">
            <v>6447.9808080168732</v>
          </cell>
          <cell r="SY26">
            <v>6447.9808080168732</v>
          </cell>
          <cell r="SZ26">
            <v>6447.9808080168732</v>
          </cell>
        </row>
        <row r="27">
          <cell r="SQ27">
            <v>6316.3828139773686</v>
          </cell>
          <cell r="SR27">
            <v>6316.3828139773686</v>
          </cell>
          <cell r="SS27">
            <v>6316.3828139773686</v>
          </cell>
          <cell r="ST27">
            <v>6316.3828139773686</v>
          </cell>
          <cell r="SU27">
            <v>0</v>
          </cell>
          <cell r="SV27">
            <v>0</v>
          </cell>
          <cell r="SW27">
            <v>0</v>
          </cell>
          <cell r="SX27">
            <v>6316.3828139773686</v>
          </cell>
          <cell r="SY27">
            <v>6316.3828139773686</v>
          </cell>
          <cell r="SZ27">
            <v>6316.3828139773686</v>
          </cell>
        </row>
        <row r="28">
          <cell r="SQ28">
            <v>6185.4856308338058</v>
          </cell>
          <cell r="SR28">
            <v>6185.4856308338058</v>
          </cell>
          <cell r="SS28">
            <v>6185.4856308338058</v>
          </cell>
          <cell r="ST28">
            <v>6185.4856308338058</v>
          </cell>
          <cell r="SU28">
            <v>0</v>
          </cell>
          <cell r="SV28">
            <v>0</v>
          </cell>
          <cell r="SW28">
            <v>0</v>
          </cell>
          <cell r="SX28">
            <v>6185.4856308338058</v>
          </cell>
          <cell r="SY28">
            <v>6185.4856308338058</v>
          </cell>
          <cell r="SZ28">
            <v>6185.4856308338058</v>
          </cell>
        </row>
        <row r="29">
          <cell r="SQ29">
            <v>6054.3338442215463</v>
          </cell>
          <cell r="SR29">
            <v>6054.3338442215463</v>
          </cell>
          <cell r="SS29">
            <v>6054.3338442215463</v>
          </cell>
          <cell r="ST29">
            <v>6054.3338442215463</v>
          </cell>
          <cell r="SU29">
            <v>0</v>
          </cell>
          <cell r="SV29">
            <v>0</v>
          </cell>
          <cell r="SW29">
            <v>0</v>
          </cell>
          <cell r="SX29">
            <v>6054.3338442215463</v>
          </cell>
          <cell r="SY29">
            <v>6054.3338442215463</v>
          </cell>
          <cell r="SZ29">
            <v>6054.3338442215463</v>
          </cell>
        </row>
        <row r="30">
          <cell r="SQ30">
            <v>5924.7622870709165</v>
          </cell>
          <cell r="SR30">
            <v>5924.7622870709165</v>
          </cell>
          <cell r="SS30">
            <v>5924.7622870709165</v>
          </cell>
          <cell r="ST30">
            <v>5924.7622870709165</v>
          </cell>
          <cell r="SU30">
            <v>0</v>
          </cell>
          <cell r="SV30">
            <v>0</v>
          </cell>
          <cell r="SW30">
            <v>0</v>
          </cell>
          <cell r="SX30">
            <v>5924.7622870709165</v>
          </cell>
          <cell r="SY30">
            <v>5924.7622870709165</v>
          </cell>
          <cell r="SZ30">
            <v>5924.7622870709165</v>
          </cell>
        </row>
        <row r="31">
          <cell r="SQ31">
            <v>5794.0224447629007</v>
          </cell>
          <cell r="SR31">
            <v>5794.0224447629007</v>
          </cell>
          <cell r="SS31">
            <v>5794.0224447629007</v>
          </cell>
          <cell r="ST31">
            <v>5794.0224447629007</v>
          </cell>
          <cell r="SU31">
            <v>0</v>
          </cell>
          <cell r="SV31">
            <v>0</v>
          </cell>
          <cell r="SW31">
            <v>0</v>
          </cell>
          <cell r="SX31">
            <v>5794.0224447629007</v>
          </cell>
          <cell r="SY31">
            <v>5794.0224447629007</v>
          </cell>
          <cell r="SZ31">
            <v>5794.0224447629007</v>
          </cell>
        </row>
        <row r="34">
          <cell r="SQ34">
            <v>0</v>
          </cell>
          <cell r="SR34">
            <v>0</v>
          </cell>
          <cell r="SS34">
            <v>0</v>
          </cell>
          <cell r="ST34">
            <v>0</v>
          </cell>
          <cell r="SU34">
            <v>0</v>
          </cell>
          <cell r="SV34">
            <v>0</v>
          </cell>
          <cell r="SW34">
            <v>0</v>
          </cell>
          <cell r="SX34">
            <v>0</v>
          </cell>
          <cell r="SY34">
            <v>0</v>
          </cell>
          <cell r="SZ34">
            <v>0</v>
          </cell>
        </row>
        <row r="35">
          <cell r="SQ35">
            <v>0</v>
          </cell>
          <cell r="SR35">
            <v>0</v>
          </cell>
          <cell r="SS35">
            <v>0</v>
          </cell>
          <cell r="ST35">
            <v>0</v>
          </cell>
          <cell r="SU35">
            <v>0</v>
          </cell>
          <cell r="SV35">
            <v>0</v>
          </cell>
          <cell r="SW35">
            <v>0</v>
          </cell>
          <cell r="SX35">
            <v>0</v>
          </cell>
          <cell r="SY35">
            <v>0</v>
          </cell>
          <cell r="SZ35">
            <v>0</v>
          </cell>
        </row>
        <row r="36">
          <cell r="SQ36">
            <v>0</v>
          </cell>
          <cell r="SR36">
            <v>0</v>
          </cell>
          <cell r="SS36">
            <v>0</v>
          </cell>
          <cell r="ST36">
            <v>0</v>
          </cell>
          <cell r="SU36">
            <v>0</v>
          </cell>
          <cell r="SV36">
            <v>0</v>
          </cell>
          <cell r="SW36">
            <v>0</v>
          </cell>
          <cell r="SX36">
            <v>0</v>
          </cell>
          <cell r="SY36">
            <v>0</v>
          </cell>
          <cell r="SZ36">
            <v>0</v>
          </cell>
        </row>
        <row r="37">
          <cell r="SQ37">
            <v>0</v>
          </cell>
          <cell r="SR37">
            <v>0</v>
          </cell>
          <cell r="SS37">
            <v>0</v>
          </cell>
          <cell r="ST37">
            <v>0</v>
          </cell>
          <cell r="SU37">
            <v>0</v>
          </cell>
          <cell r="SV37">
            <v>0</v>
          </cell>
          <cell r="SW37">
            <v>0</v>
          </cell>
          <cell r="SX37">
            <v>0</v>
          </cell>
          <cell r="SY37">
            <v>0</v>
          </cell>
          <cell r="SZ37">
            <v>0</v>
          </cell>
        </row>
        <row r="38">
          <cell r="SQ38">
            <v>0</v>
          </cell>
          <cell r="SR38">
            <v>0</v>
          </cell>
          <cell r="SS38">
            <v>0</v>
          </cell>
          <cell r="ST38">
            <v>0</v>
          </cell>
          <cell r="SU38">
            <v>0</v>
          </cell>
          <cell r="SV38">
            <v>0</v>
          </cell>
          <cell r="SW38">
            <v>0</v>
          </cell>
          <cell r="SX38">
            <v>0</v>
          </cell>
          <cell r="SY38">
            <v>0</v>
          </cell>
          <cell r="SZ38">
            <v>0</v>
          </cell>
        </row>
        <row r="39">
          <cell r="SQ39">
            <v>0</v>
          </cell>
          <cell r="SR39">
            <v>0</v>
          </cell>
          <cell r="SS39">
            <v>0</v>
          </cell>
          <cell r="ST39">
            <v>0</v>
          </cell>
          <cell r="SU39">
            <v>0</v>
          </cell>
          <cell r="SV39">
            <v>0</v>
          </cell>
          <cell r="SW39">
            <v>0</v>
          </cell>
          <cell r="SX39">
            <v>0</v>
          </cell>
          <cell r="SY39">
            <v>0</v>
          </cell>
          <cell r="SZ39">
            <v>0</v>
          </cell>
        </row>
        <row r="40">
          <cell r="SQ40">
            <v>0</v>
          </cell>
          <cell r="SR40">
            <v>0</v>
          </cell>
          <cell r="SS40">
            <v>0</v>
          </cell>
          <cell r="ST40">
            <v>0</v>
          </cell>
          <cell r="SU40">
            <v>0</v>
          </cell>
          <cell r="SV40">
            <v>0</v>
          </cell>
          <cell r="SW40">
            <v>0</v>
          </cell>
          <cell r="SX40">
            <v>0</v>
          </cell>
          <cell r="SY40">
            <v>0</v>
          </cell>
          <cell r="SZ40">
            <v>0</v>
          </cell>
        </row>
        <row r="41">
          <cell r="SQ41">
            <v>0</v>
          </cell>
          <cell r="SR41">
            <v>0</v>
          </cell>
          <cell r="SS41">
            <v>0</v>
          </cell>
          <cell r="ST41">
            <v>0</v>
          </cell>
          <cell r="SU41">
            <v>0</v>
          </cell>
          <cell r="SV41">
            <v>0</v>
          </cell>
          <cell r="SW41">
            <v>0</v>
          </cell>
          <cell r="SX41">
            <v>0</v>
          </cell>
          <cell r="SY41">
            <v>0</v>
          </cell>
          <cell r="SZ41">
            <v>0</v>
          </cell>
        </row>
        <row r="42">
          <cell r="SQ42">
            <v>0</v>
          </cell>
          <cell r="SR42">
            <v>0</v>
          </cell>
          <cell r="SS42">
            <v>0</v>
          </cell>
          <cell r="ST42">
            <v>0</v>
          </cell>
          <cell r="SU42">
            <v>0</v>
          </cell>
          <cell r="SV42">
            <v>0</v>
          </cell>
          <cell r="SW42">
            <v>0</v>
          </cell>
          <cell r="SX42">
            <v>0</v>
          </cell>
          <cell r="SY42">
            <v>0</v>
          </cell>
          <cell r="SZ42">
            <v>0</v>
          </cell>
        </row>
        <row r="43">
          <cell r="SQ43">
            <v>0</v>
          </cell>
          <cell r="SR43">
            <v>0</v>
          </cell>
          <cell r="SS43">
            <v>0</v>
          </cell>
          <cell r="ST43">
            <v>0</v>
          </cell>
          <cell r="SU43">
            <v>0</v>
          </cell>
          <cell r="SV43">
            <v>0</v>
          </cell>
          <cell r="SW43">
            <v>0</v>
          </cell>
          <cell r="SX43">
            <v>0</v>
          </cell>
          <cell r="SY43">
            <v>0</v>
          </cell>
          <cell r="SZ43">
            <v>0</v>
          </cell>
        </row>
        <row r="44">
          <cell r="SQ44">
            <v>0</v>
          </cell>
          <cell r="SR44">
            <v>0</v>
          </cell>
          <cell r="SS44">
            <v>0</v>
          </cell>
          <cell r="ST44">
            <v>0</v>
          </cell>
          <cell r="SU44">
            <v>0</v>
          </cell>
          <cell r="SV44">
            <v>0</v>
          </cell>
          <cell r="SW44">
            <v>0</v>
          </cell>
          <cell r="SX44">
            <v>0</v>
          </cell>
          <cell r="SY44">
            <v>0</v>
          </cell>
          <cell r="SZ44">
            <v>0</v>
          </cell>
        </row>
        <row r="45">
          <cell r="SQ45">
            <v>0</v>
          </cell>
          <cell r="SR45">
            <v>0</v>
          </cell>
          <cell r="SS45">
            <v>0</v>
          </cell>
          <cell r="ST45">
            <v>0</v>
          </cell>
          <cell r="SU45">
            <v>0</v>
          </cell>
          <cell r="SV45">
            <v>0</v>
          </cell>
          <cell r="SW45">
            <v>0</v>
          </cell>
          <cell r="SX45">
            <v>0</v>
          </cell>
          <cell r="SY45">
            <v>0</v>
          </cell>
          <cell r="SZ45">
            <v>0</v>
          </cell>
        </row>
        <row r="46">
          <cell r="SQ46">
            <v>0</v>
          </cell>
          <cell r="SR46">
            <v>0</v>
          </cell>
          <cell r="SS46">
            <v>0</v>
          </cell>
          <cell r="ST46">
            <v>0</v>
          </cell>
          <cell r="SU46">
            <v>0</v>
          </cell>
          <cell r="SV46">
            <v>0</v>
          </cell>
          <cell r="SW46">
            <v>0</v>
          </cell>
          <cell r="SX46">
            <v>0</v>
          </cell>
          <cell r="SY46">
            <v>0</v>
          </cell>
          <cell r="SZ46">
            <v>0</v>
          </cell>
        </row>
        <row r="47">
          <cell r="SQ47">
            <v>0</v>
          </cell>
          <cell r="SR47">
            <v>0</v>
          </cell>
          <cell r="SS47">
            <v>0</v>
          </cell>
          <cell r="ST47">
            <v>0</v>
          </cell>
          <cell r="SU47">
            <v>0</v>
          </cell>
          <cell r="SV47">
            <v>0</v>
          </cell>
          <cell r="SW47">
            <v>0</v>
          </cell>
          <cell r="SX47">
            <v>0</v>
          </cell>
          <cell r="SY47">
            <v>0</v>
          </cell>
          <cell r="SZ47">
            <v>0</v>
          </cell>
        </row>
        <row r="48">
          <cell r="SQ48">
            <v>0</v>
          </cell>
          <cell r="SR48">
            <v>0</v>
          </cell>
          <cell r="SS48">
            <v>0</v>
          </cell>
          <cell r="ST48">
            <v>0</v>
          </cell>
          <cell r="SU48">
            <v>0</v>
          </cell>
          <cell r="SV48">
            <v>0</v>
          </cell>
          <cell r="SW48">
            <v>0</v>
          </cell>
          <cell r="SX48">
            <v>0</v>
          </cell>
          <cell r="SY48">
            <v>0</v>
          </cell>
          <cell r="SZ48">
            <v>0</v>
          </cell>
        </row>
        <row r="49">
          <cell r="SQ49">
            <v>0</v>
          </cell>
          <cell r="SR49">
            <v>0</v>
          </cell>
          <cell r="SS49">
            <v>0</v>
          </cell>
          <cell r="ST49">
            <v>0</v>
          </cell>
          <cell r="SU49">
            <v>0</v>
          </cell>
          <cell r="SV49">
            <v>0</v>
          </cell>
          <cell r="SW49">
            <v>0</v>
          </cell>
          <cell r="SX49">
            <v>0</v>
          </cell>
          <cell r="SY49">
            <v>0</v>
          </cell>
          <cell r="SZ49">
            <v>0</v>
          </cell>
        </row>
        <row r="50">
          <cell r="SQ50">
            <v>0</v>
          </cell>
          <cell r="SR50">
            <v>0</v>
          </cell>
          <cell r="SS50">
            <v>0</v>
          </cell>
          <cell r="ST50">
            <v>0</v>
          </cell>
          <cell r="SU50">
            <v>0</v>
          </cell>
          <cell r="SV50">
            <v>0</v>
          </cell>
          <cell r="SW50">
            <v>0</v>
          </cell>
          <cell r="SX50">
            <v>0</v>
          </cell>
          <cell r="SY50">
            <v>0</v>
          </cell>
          <cell r="SZ50">
            <v>0</v>
          </cell>
        </row>
        <row r="51">
          <cell r="SQ51">
            <v>0</v>
          </cell>
          <cell r="SR51">
            <v>0</v>
          </cell>
          <cell r="SS51">
            <v>0</v>
          </cell>
          <cell r="ST51">
            <v>0</v>
          </cell>
          <cell r="SU51">
            <v>0</v>
          </cell>
          <cell r="SV51">
            <v>0</v>
          </cell>
          <cell r="SW51">
            <v>0</v>
          </cell>
          <cell r="SX51">
            <v>0</v>
          </cell>
          <cell r="SY51">
            <v>0</v>
          </cell>
          <cell r="SZ51">
            <v>0</v>
          </cell>
        </row>
        <row r="52">
          <cell r="SQ52">
            <v>0</v>
          </cell>
          <cell r="SR52">
            <v>0</v>
          </cell>
          <cell r="SS52">
            <v>0</v>
          </cell>
          <cell r="ST52">
            <v>0</v>
          </cell>
          <cell r="SU52">
            <v>0</v>
          </cell>
          <cell r="SV52">
            <v>0</v>
          </cell>
          <cell r="SW52">
            <v>0</v>
          </cell>
          <cell r="SX52">
            <v>0</v>
          </cell>
          <cell r="SY52">
            <v>0</v>
          </cell>
          <cell r="SZ52">
            <v>0</v>
          </cell>
        </row>
        <row r="53">
          <cell r="SQ53">
            <v>0</v>
          </cell>
          <cell r="SR53">
            <v>0</v>
          </cell>
          <cell r="SS53">
            <v>0</v>
          </cell>
          <cell r="ST53">
            <v>0</v>
          </cell>
          <cell r="SU53">
            <v>0</v>
          </cell>
          <cell r="SV53">
            <v>0</v>
          </cell>
          <cell r="SW53">
            <v>0</v>
          </cell>
          <cell r="SX53">
            <v>0</v>
          </cell>
          <cell r="SY53">
            <v>0</v>
          </cell>
          <cell r="SZ53">
            <v>0</v>
          </cell>
        </row>
        <row r="54">
          <cell r="SQ54">
            <v>0</v>
          </cell>
          <cell r="SR54">
            <v>0</v>
          </cell>
          <cell r="SS54">
            <v>0</v>
          </cell>
          <cell r="ST54">
            <v>0</v>
          </cell>
          <cell r="SU54">
            <v>0</v>
          </cell>
          <cell r="SV54">
            <v>0</v>
          </cell>
          <cell r="SW54">
            <v>0</v>
          </cell>
          <cell r="SX54">
            <v>0</v>
          </cell>
          <cell r="SY54">
            <v>0</v>
          </cell>
          <cell r="SZ54">
            <v>0</v>
          </cell>
        </row>
        <row r="55">
          <cell r="SQ55">
            <v>0</v>
          </cell>
          <cell r="SR55">
            <v>0</v>
          </cell>
          <cell r="SS55">
            <v>0</v>
          </cell>
          <cell r="ST55">
            <v>0</v>
          </cell>
          <cell r="SU55">
            <v>0</v>
          </cell>
          <cell r="SV55">
            <v>0</v>
          </cell>
          <cell r="SW55">
            <v>0</v>
          </cell>
          <cell r="SX55">
            <v>0</v>
          </cell>
          <cell r="SY55">
            <v>0</v>
          </cell>
          <cell r="SZ55">
            <v>0</v>
          </cell>
        </row>
        <row r="56">
          <cell r="SQ56">
            <v>0</v>
          </cell>
          <cell r="SR56">
            <v>0</v>
          </cell>
          <cell r="SS56">
            <v>0</v>
          </cell>
          <cell r="ST56">
            <v>0</v>
          </cell>
          <cell r="SU56">
            <v>0</v>
          </cell>
          <cell r="SV56">
            <v>0</v>
          </cell>
          <cell r="SW56">
            <v>0</v>
          </cell>
          <cell r="SX56">
            <v>0</v>
          </cell>
          <cell r="SY56">
            <v>0</v>
          </cell>
          <cell r="SZ56">
            <v>0</v>
          </cell>
        </row>
        <row r="57">
          <cell r="SQ57">
            <v>0</v>
          </cell>
          <cell r="SR57">
            <v>0</v>
          </cell>
          <cell r="SS57">
            <v>0</v>
          </cell>
          <cell r="ST57">
            <v>0</v>
          </cell>
          <cell r="SU57">
            <v>0</v>
          </cell>
          <cell r="SV57">
            <v>0</v>
          </cell>
          <cell r="SW57">
            <v>0</v>
          </cell>
          <cell r="SX57">
            <v>0</v>
          </cell>
          <cell r="SY57">
            <v>0</v>
          </cell>
          <cell r="SZ57">
            <v>0</v>
          </cell>
        </row>
        <row r="58">
          <cell r="SQ58">
            <v>0</v>
          </cell>
          <cell r="SR58">
            <v>0</v>
          </cell>
          <cell r="SS58">
            <v>0</v>
          </cell>
          <cell r="ST58">
            <v>0</v>
          </cell>
          <cell r="SU58">
            <v>0</v>
          </cell>
          <cell r="SV58">
            <v>0</v>
          </cell>
          <cell r="SW58">
            <v>0</v>
          </cell>
          <cell r="SX58">
            <v>0</v>
          </cell>
          <cell r="SY58">
            <v>0</v>
          </cell>
          <cell r="SZ58">
            <v>0</v>
          </cell>
        </row>
        <row r="59">
          <cell r="SQ59">
            <v>0</v>
          </cell>
          <cell r="SR59">
            <v>0</v>
          </cell>
          <cell r="SS59">
            <v>0</v>
          </cell>
          <cell r="ST59">
            <v>0</v>
          </cell>
          <cell r="SU59">
            <v>0</v>
          </cell>
          <cell r="SV59">
            <v>0</v>
          </cell>
          <cell r="SW59">
            <v>0</v>
          </cell>
          <cell r="SX59">
            <v>0</v>
          </cell>
          <cell r="SY59">
            <v>0</v>
          </cell>
          <cell r="SZ59">
            <v>0</v>
          </cell>
        </row>
        <row r="60">
          <cell r="SQ60">
            <v>0</v>
          </cell>
          <cell r="SR60">
            <v>0</v>
          </cell>
          <cell r="SS60">
            <v>0</v>
          </cell>
          <cell r="ST60">
            <v>0</v>
          </cell>
          <cell r="SU60">
            <v>0</v>
          </cell>
          <cell r="SV60">
            <v>0</v>
          </cell>
          <cell r="SW60">
            <v>0</v>
          </cell>
          <cell r="SX60">
            <v>0</v>
          </cell>
          <cell r="SY60">
            <v>0</v>
          </cell>
          <cell r="SZ60">
            <v>0</v>
          </cell>
        </row>
        <row r="61">
          <cell r="SQ61">
            <v>0</v>
          </cell>
          <cell r="SR61">
            <v>0</v>
          </cell>
          <cell r="SS61">
            <v>0</v>
          </cell>
          <cell r="ST61">
            <v>0</v>
          </cell>
          <cell r="SU61">
            <v>0</v>
          </cell>
          <cell r="SV61">
            <v>0</v>
          </cell>
          <cell r="SW61">
            <v>0</v>
          </cell>
          <cell r="SX61">
            <v>0</v>
          </cell>
          <cell r="SY61">
            <v>0</v>
          </cell>
          <cell r="SZ61">
            <v>0</v>
          </cell>
        </row>
        <row r="62">
          <cell r="SQ62">
            <v>0</v>
          </cell>
          <cell r="SR62">
            <v>0</v>
          </cell>
          <cell r="SS62">
            <v>0</v>
          </cell>
          <cell r="ST62">
            <v>0</v>
          </cell>
          <cell r="SU62">
            <v>0</v>
          </cell>
          <cell r="SV62">
            <v>0</v>
          </cell>
          <cell r="SW62">
            <v>0</v>
          </cell>
          <cell r="SX62">
            <v>0</v>
          </cell>
          <cell r="SY62">
            <v>0</v>
          </cell>
          <cell r="SZ62">
            <v>0</v>
          </cell>
        </row>
        <row r="98">
          <cell r="SQ98">
            <v>0</v>
          </cell>
          <cell r="SR98">
            <v>0</v>
          </cell>
          <cell r="SS98">
            <v>0</v>
          </cell>
          <cell r="ST98">
            <v>0</v>
          </cell>
          <cell r="SU98">
            <v>0</v>
          </cell>
          <cell r="SV98">
            <v>0</v>
          </cell>
          <cell r="SW98">
            <v>0</v>
          </cell>
          <cell r="SX98">
            <v>0</v>
          </cell>
          <cell r="SY98">
            <v>0</v>
          </cell>
          <cell r="SZ98">
            <v>0</v>
          </cell>
        </row>
        <row r="99">
          <cell r="SQ99">
            <v>0</v>
          </cell>
          <cell r="SR99">
            <v>0</v>
          </cell>
          <cell r="SS99">
            <v>0</v>
          </cell>
          <cell r="ST99">
            <v>0</v>
          </cell>
          <cell r="SU99">
            <v>0</v>
          </cell>
          <cell r="SV99">
            <v>0</v>
          </cell>
          <cell r="SW99">
            <v>0</v>
          </cell>
          <cell r="SX99">
            <v>0</v>
          </cell>
          <cell r="SY99">
            <v>0</v>
          </cell>
          <cell r="SZ99">
            <v>0</v>
          </cell>
        </row>
        <row r="100">
          <cell r="SQ100">
            <v>0</v>
          </cell>
          <cell r="SR100">
            <v>0</v>
          </cell>
          <cell r="SS100">
            <v>0</v>
          </cell>
          <cell r="ST100">
            <v>0</v>
          </cell>
          <cell r="SU100">
            <v>0</v>
          </cell>
          <cell r="SV100">
            <v>0</v>
          </cell>
          <cell r="SW100">
            <v>0</v>
          </cell>
          <cell r="SX100">
            <v>0</v>
          </cell>
          <cell r="SY100">
            <v>0</v>
          </cell>
          <cell r="SZ100">
            <v>0</v>
          </cell>
        </row>
        <row r="101">
          <cell r="SQ101">
            <v>0</v>
          </cell>
          <cell r="SR101">
            <v>539.41005468667788</v>
          </cell>
          <cell r="SS101">
            <v>215.76402187467116</v>
          </cell>
          <cell r="ST101">
            <v>0</v>
          </cell>
          <cell r="SU101">
            <v>0</v>
          </cell>
          <cell r="SV101">
            <v>0</v>
          </cell>
          <cell r="SW101">
            <v>0</v>
          </cell>
          <cell r="SX101">
            <v>539.41005468667788</v>
          </cell>
          <cell r="SY101">
            <v>539.41005468667788</v>
          </cell>
          <cell r="SZ101">
            <v>0</v>
          </cell>
        </row>
        <row r="102">
          <cell r="SQ102">
            <v>0</v>
          </cell>
          <cell r="SR102">
            <v>1119.776678480205</v>
          </cell>
          <cell r="SS102">
            <v>447.91067139208201</v>
          </cell>
          <cell r="ST102">
            <v>0</v>
          </cell>
          <cell r="SU102">
            <v>0</v>
          </cell>
          <cell r="SV102">
            <v>0</v>
          </cell>
          <cell r="SW102">
            <v>0</v>
          </cell>
          <cell r="SX102">
            <v>1119.776678480205</v>
          </cell>
          <cell r="SY102">
            <v>1119.776678480205</v>
          </cell>
          <cell r="SZ102">
            <v>0</v>
          </cell>
        </row>
        <row r="103">
          <cell r="SQ103">
            <v>0</v>
          </cell>
          <cell r="SR103">
            <v>1654.7604340220605</v>
          </cell>
          <cell r="SS103">
            <v>772.22153587696164</v>
          </cell>
          <cell r="ST103">
            <v>0</v>
          </cell>
          <cell r="SU103">
            <v>0</v>
          </cell>
          <cell r="SV103">
            <v>0</v>
          </cell>
          <cell r="SW103">
            <v>0</v>
          </cell>
          <cell r="SX103">
            <v>1654.7604340220605</v>
          </cell>
          <cell r="SY103">
            <v>1654.7604340220605</v>
          </cell>
          <cell r="SZ103">
            <v>0</v>
          </cell>
        </row>
        <row r="104">
          <cell r="SQ104">
            <v>0</v>
          </cell>
          <cell r="SR104">
            <v>2188.0710484591868</v>
          </cell>
          <cell r="SS104">
            <v>1094.0355242295934</v>
          </cell>
          <cell r="ST104">
            <v>0</v>
          </cell>
          <cell r="SU104">
            <v>0</v>
          </cell>
          <cell r="SV104">
            <v>0</v>
          </cell>
          <cell r="SW104">
            <v>0</v>
          </cell>
          <cell r="SX104">
            <v>2188.0710484591868</v>
          </cell>
          <cell r="SY104">
            <v>2188.0710484591868</v>
          </cell>
          <cell r="SZ104">
            <v>0</v>
          </cell>
        </row>
        <row r="105">
          <cell r="SQ105">
            <v>0</v>
          </cell>
          <cell r="SR105">
            <v>2714.264843423618</v>
          </cell>
          <cell r="SS105">
            <v>1519.9883123172262</v>
          </cell>
          <cell r="ST105">
            <v>0</v>
          </cell>
          <cell r="SU105">
            <v>0</v>
          </cell>
          <cell r="SV105">
            <v>0</v>
          </cell>
          <cell r="SW105">
            <v>0</v>
          </cell>
          <cell r="SX105">
            <v>2714.264843423618</v>
          </cell>
          <cell r="SY105">
            <v>2714.264843423618</v>
          </cell>
          <cell r="SZ105">
            <v>0</v>
          </cell>
        </row>
        <row r="106">
          <cell r="SQ106">
            <v>0</v>
          </cell>
          <cell r="SR106">
            <v>3216.1551668235247</v>
          </cell>
          <cell r="SS106">
            <v>1929.6931000941147</v>
          </cell>
          <cell r="ST106">
            <v>0</v>
          </cell>
          <cell r="SU106">
            <v>0</v>
          </cell>
          <cell r="SV106">
            <v>0</v>
          </cell>
          <cell r="SW106">
            <v>0</v>
          </cell>
          <cell r="SX106">
            <v>3216.1551668235247</v>
          </cell>
          <cell r="SY106">
            <v>3216.1551668235247</v>
          </cell>
          <cell r="SZ106">
            <v>0</v>
          </cell>
        </row>
        <row r="107">
          <cell r="SQ107">
            <v>0</v>
          </cell>
          <cell r="SR107">
            <v>3167.7884695570492</v>
          </cell>
          <cell r="SS107">
            <v>2428.6378266604047</v>
          </cell>
          <cell r="ST107">
            <v>0</v>
          </cell>
          <cell r="SU107">
            <v>0</v>
          </cell>
          <cell r="SV107">
            <v>0</v>
          </cell>
          <cell r="SW107">
            <v>0</v>
          </cell>
          <cell r="SX107">
            <v>3167.7884695570492</v>
          </cell>
          <cell r="SY107">
            <v>3167.7884695570492</v>
          </cell>
          <cell r="SZ107">
            <v>0</v>
          </cell>
        </row>
        <row r="108">
          <cell r="SQ108">
            <v>0</v>
          </cell>
          <cell r="SR108">
            <v>3038.4541526700864</v>
          </cell>
          <cell r="SS108">
            <v>2835.8905424920808</v>
          </cell>
          <cell r="ST108">
            <v>0</v>
          </cell>
          <cell r="SU108">
            <v>0</v>
          </cell>
          <cell r="SV108">
            <v>0</v>
          </cell>
          <cell r="SW108">
            <v>0</v>
          </cell>
          <cell r="SX108">
            <v>3038.4541526700864</v>
          </cell>
          <cell r="SY108">
            <v>3038.4541526700864</v>
          </cell>
          <cell r="SZ108">
            <v>0</v>
          </cell>
        </row>
        <row r="109">
          <cell r="SQ109">
            <v>0</v>
          </cell>
          <cell r="SR109">
            <v>2748.0797005386789</v>
          </cell>
          <cell r="SS109">
            <v>3114.4903272771699</v>
          </cell>
          <cell r="ST109">
            <v>0</v>
          </cell>
          <cell r="SU109">
            <v>0</v>
          </cell>
          <cell r="SV109">
            <v>0</v>
          </cell>
          <cell r="SW109">
            <v>0</v>
          </cell>
          <cell r="SX109">
            <v>2748.0797005386789</v>
          </cell>
          <cell r="SY109">
            <v>2748.0797005386789</v>
          </cell>
          <cell r="SZ109">
            <v>0</v>
          </cell>
        </row>
        <row r="110">
          <cell r="SQ110">
            <v>0</v>
          </cell>
          <cell r="SR110">
            <v>2539.7973199706817</v>
          </cell>
          <cell r="SS110">
            <v>3386.3964266275757</v>
          </cell>
          <cell r="ST110">
            <v>0</v>
          </cell>
          <cell r="SU110">
            <v>0</v>
          </cell>
          <cell r="SV110">
            <v>0</v>
          </cell>
          <cell r="SW110">
            <v>0</v>
          </cell>
          <cell r="SX110">
            <v>2539.7973199706817</v>
          </cell>
          <cell r="SY110">
            <v>2539.7973199706817</v>
          </cell>
          <cell r="SZ110">
            <v>0</v>
          </cell>
        </row>
        <row r="111">
          <cell r="SQ111">
            <v>0</v>
          </cell>
          <cell r="SR111">
            <v>2502.5243031620194</v>
          </cell>
          <cell r="SS111">
            <v>3920.6214082871634</v>
          </cell>
          <cell r="ST111">
            <v>0</v>
          </cell>
          <cell r="SU111">
            <v>0</v>
          </cell>
          <cell r="SV111">
            <v>0</v>
          </cell>
          <cell r="SW111">
            <v>0</v>
          </cell>
          <cell r="SX111">
            <v>2502.5243031620194</v>
          </cell>
          <cell r="SY111">
            <v>2502.5243031620194</v>
          </cell>
          <cell r="SZ111">
            <v>0</v>
          </cell>
        </row>
        <row r="112">
          <cell r="SQ112">
            <v>0</v>
          </cell>
          <cell r="SR112">
            <v>2431.3909257273594</v>
          </cell>
          <cell r="SS112">
            <v>4295.457302118336</v>
          </cell>
          <cell r="ST112">
            <v>0</v>
          </cell>
          <cell r="SU112">
            <v>0</v>
          </cell>
          <cell r="SV112">
            <v>0</v>
          </cell>
          <cell r="SW112">
            <v>0</v>
          </cell>
          <cell r="SX112">
            <v>2431.3909257273594</v>
          </cell>
          <cell r="SY112">
            <v>2431.3909257273594</v>
          </cell>
          <cell r="SZ112">
            <v>0</v>
          </cell>
        </row>
        <row r="113">
          <cell r="SQ113">
            <v>0</v>
          </cell>
          <cell r="SR113">
            <v>2285.0628460314269</v>
          </cell>
          <cell r="SS113">
            <v>4417.7881689940923</v>
          </cell>
          <cell r="ST113">
            <v>0</v>
          </cell>
          <cell r="SU113">
            <v>0</v>
          </cell>
          <cell r="SV113">
            <v>0</v>
          </cell>
          <cell r="SW113">
            <v>0</v>
          </cell>
          <cell r="SX113">
            <v>2285.0628460314269</v>
          </cell>
          <cell r="SY113">
            <v>2285.0628460314269</v>
          </cell>
          <cell r="SZ113">
            <v>0</v>
          </cell>
        </row>
        <row r="114">
          <cell r="SQ114">
            <v>0</v>
          </cell>
          <cell r="SR114">
            <v>2170.3558358162641</v>
          </cell>
          <cell r="SS114">
            <v>4485.4020606869462</v>
          </cell>
          <cell r="ST114">
            <v>0</v>
          </cell>
          <cell r="SU114">
            <v>0</v>
          </cell>
          <cell r="SV114">
            <v>0</v>
          </cell>
          <cell r="SW114">
            <v>0</v>
          </cell>
          <cell r="SX114">
            <v>2170.3558358162641</v>
          </cell>
          <cell r="SY114">
            <v>2170.3558358162641</v>
          </cell>
          <cell r="SZ114">
            <v>0</v>
          </cell>
        </row>
        <row r="115">
          <cell r="SQ115">
            <v>0</v>
          </cell>
          <cell r="SR115">
            <v>2130.0186078173747</v>
          </cell>
          <cell r="SS115">
            <v>4615.0403169376459</v>
          </cell>
          <cell r="ST115">
            <v>0</v>
          </cell>
          <cell r="SU115">
            <v>0</v>
          </cell>
          <cell r="SV115">
            <v>0</v>
          </cell>
          <cell r="SW115">
            <v>0</v>
          </cell>
          <cell r="SX115">
            <v>2130.0186078173747</v>
          </cell>
          <cell r="SY115">
            <v>2130.0186078173747</v>
          </cell>
          <cell r="SZ115">
            <v>0</v>
          </cell>
        </row>
        <row r="116">
          <cell r="SQ116">
            <v>0</v>
          </cell>
          <cell r="SR116">
            <v>2089.574166550723</v>
          </cell>
          <cell r="SS116">
            <v>4666.7156386299484</v>
          </cell>
          <cell r="ST116">
            <v>0</v>
          </cell>
          <cell r="SU116">
            <v>0</v>
          </cell>
          <cell r="SV116">
            <v>0</v>
          </cell>
          <cell r="SW116">
            <v>0</v>
          </cell>
          <cell r="SX116">
            <v>2089.574166550723</v>
          </cell>
          <cell r="SY116">
            <v>2089.574166550723</v>
          </cell>
          <cell r="SZ116">
            <v>0</v>
          </cell>
        </row>
        <row r="117">
          <cell r="SQ117">
            <v>0</v>
          </cell>
          <cell r="SR117">
            <v>2056.374613359189</v>
          </cell>
          <cell r="SS117">
            <v>4661.1157902808291</v>
          </cell>
          <cell r="ST117">
            <v>0</v>
          </cell>
          <cell r="SU117">
            <v>0</v>
          </cell>
          <cell r="SV117">
            <v>0</v>
          </cell>
          <cell r="SW117">
            <v>0</v>
          </cell>
          <cell r="SX117">
            <v>2056.374613359189</v>
          </cell>
          <cell r="SY117">
            <v>2056.374613359189</v>
          </cell>
          <cell r="SZ117">
            <v>0</v>
          </cell>
        </row>
        <row r="118">
          <cell r="SQ118">
            <v>0</v>
          </cell>
          <cell r="SR118">
            <v>2037.827155160933</v>
          </cell>
          <cell r="SS118">
            <v>4619.0748850314485</v>
          </cell>
          <cell r="ST118">
            <v>0</v>
          </cell>
          <cell r="SU118">
            <v>0</v>
          </cell>
          <cell r="SV118">
            <v>0</v>
          </cell>
          <cell r="SW118">
            <v>0</v>
          </cell>
          <cell r="SX118">
            <v>2037.827155160933</v>
          </cell>
          <cell r="SY118">
            <v>2037.827155160933</v>
          </cell>
          <cell r="SZ118">
            <v>0</v>
          </cell>
        </row>
        <row r="119">
          <cell r="SQ119">
            <v>0</v>
          </cell>
          <cell r="SR119">
            <v>2013.0846071478445</v>
          </cell>
          <cell r="SS119">
            <v>4562.9917762017812</v>
          </cell>
          <cell r="ST119">
            <v>0</v>
          </cell>
          <cell r="SU119">
            <v>0</v>
          </cell>
          <cell r="SV119">
            <v>0</v>
          </cell>
          <cell r="SW119">
            <v>0</v>
          </cell>
          <cell r="SX119">
            <v>2013.0846071478445</v>
          </cell>
          <cell r="SY119">
            <v>2013.0846071478445</v>
          </cell>
          <cell r="SZ119">
            <v>0</v>
          </cell>
        </row>
        <row r="120">
          <cell r="SQ120">
            <v>0</v>
          </cell>
          <cell r="SR120">
            <v>1973.4851747676903</v>
          </cell>
          <cell r="SS120">
            <v>4473.2330628067657</v>
          </cell>
          <cell r="ST120">
            <v>0</v>
          </cell>
          <cell r="SU120">
            <v>0</v>
          </cell>
          <cell r="SV120">
            <v>0</v>
          </cell>
          <cell r="SW120">
            <v>0</v>
          </cell>
          <cell r="SX120">
            <v>1973.4851747676903</v>
          </cell>
          <cell r="SY120">
            <v>1973.4851747676903</v>
          </cell>
          <cell r="SZ120">
            <v>0</v>
          </cell>
        </row>
        <row r="121">
          <cell r="SQ121">
            <v>0</v>
          </cell>
          <cell r="SR121">
            <v>1934.394242405062</v>
          </cell>
          <cell r="SS121">
            <v>4384.6269494514745</v>
          </cell>
          <cell r="ST121">
            <v>0</v>
          </cell>
          <cell r="SU121">
            <v>0</v>
          </cell>
          <cell r="SV121">
            <v>0</v>
          </cell>
          <cell r="SW121">
            <v>0</v>
          </cell>
          <cell r="SX121">
            <v>1934.394242405062</v>
          </cell>
          <cell r="SY121">
            <v>1934.394242405062</v>
          </cell>
          <cell r="SZ121">
            <v>0</v>
          </cell>
        </row>
        <row r="122">
          <cell r="SQ122">
            <v>0</v>
          </cell>
          <cell r="SR122">
            <v>1894.9148441932105</v>
          </cell>
          <cell r="SS122">
            <v>4295.1403135046112</v>
          </cell>
          <cell r="ST122">
            <v>0</v>
          </cell>
          <cell r="SU122">
            <v>0</v>
          </cell>
          <cell r="SV122">
            <v>0</v>
          </cell>
          <cell r="SW122">
            <v>0</v>
          </cell>
          <cell r="SX122">
            <v>1894.9148441932105</v>
          </cell>
          <cell r="SY122">
            <v>1894.9148441932105</v>
          </cell>
          <cell r="SZ122">
            <v>0</v>
          </cell>
        </row>
        <row r="123">
          <cell r="SQ123">
            <v>0</v>
          </cell>
          <cell r="SR123">
            <v>1855.6456892501417</v>
          </cell>
          <cell r="SS123">
            <v>4206.1302289669884</v>
          </cell>
          <cell r="ST123">
            <v>0</v>
          </cell>
          <cell r="SU123">
            <v>0</v>
          </cell>
          <cell r="SV123">
            <v>0</v>
          </cell>
          <cell r="SW123">
            <v>0</v>
          </cell>
          <cell r="SX123">
            <v>1855.6456892501417</v>
          </cell>
          <cell r="SY123">
            <v>1855.6456892501417</v>
          </cell>
          <cell r="SZ123">
            <v>0</v>
          </cell>
        </row>
        <row r="124">
          <cell r="SQ124">
            <v>0</v>
          </cell>
          <cell r="SR124">
            <v>1816.3001532664639</v>
          </cell>
          <cell r="SS124">
            <v>4116.9470140706517</v>
          </cell>
          <cell r="ST124">
            <v>0</v>
          </cell>
          <cell r="SU124">
            <v>0</v>
          </cell>
          <cell r="SV124">
            <v>0</v>
          </cell>
          <cell r="SW124">
            <v>0</v>
          </cell>
          <cell r="SX124">
            <v>1816.3001532664639</v>
          </cell>
          <cell r="SY124">
            <v>1816.3001532664639</v>
          </cell>
          <cell r="SZ124">
            <v>0</v>
          </cell>
        </row>
        <row r="125">
          <cell r="SQ125">
            <v>0</v>
          </cell>
          <cell r="SR125">
            <v>1777.4286861212749</v>
          </cell>
          <cell r="SS125">
            <v>4028.8383552082237</v>
          </cell>
          <cell r="ST125">
            <v>0</v>
          </cell>
          <cell r="SU125">
            <v>0</v>
          </cell>
          <cell r="SV125">
            <v>0</v>
          </cell>
          <cell r="SW125">
            <v>0</v>
          </cell>
          <cell r="SX125">
            <v>1777.4286861212749</v>
          </cell>
          <cell r="SY125">
            <v>1777.4286861212749</v>
          </cell>
          <cell r="SZ125">
            <v>0</v>
          </cell>
        </row>
        <row r="126">
          <cell r="SQ126">
            <v>0</v>
          </cell>
          <cell r="SR126">
            <v>1738.2067334288702</v>
          </cell>
          <cell r="SS126">
            <v>3939.935262438773</v>
          </cell>
          <cell r="ST126">
            <v>0</v>
          </cell>
          <cell r="SU126">
            <v>0</v>
          </cell>
          <cell r="SV126">
            <v>0</v>
          </cell>
          <cell r="SW126">
            <v>0</v>
          </cell>
          <cell r="SX126">
            <v>1738.2067334288702</v>
          </cell>
          <cell r="SY126">
            <v>1738.2067334288702</v>
          </cell>
          <cell r="SZ126">
            <v>0</v>
          </cell>
        </row>
        <row r="162">
          <cell r="SQ162">
            <v>0</v>
          </cell>
          <cell r="SR162">
            <v>0</v>
          </cell>
          <cell r="SS162">
            <v>0</v>
          </cell>
          <cell r="ST162">
            <v>0</v>
          </cell>
          <cell r="SU162">
            <v>0</v>
          </cell>
          <cell r="SV162">
            <v>0</v>
          </cell>
          <cell r="SW162">
            <v>0</v>
          </cell>
          <cell r="SX162">
            <v>0</v>
          </cell>
          <cell r="SY162">
            <v>0</v>
          </cell>
          <cell r="SZ162">
            <v>0</v>
          </cell>
        </row>
        <row r="163">
          <cell r="SQ163">
            <v>0</v>
          </cell>
          <cell r="SR163">
            <v>0</v>
          </cell>
          <cell r="SS163">
            <v>0</v>
          </cell>
          <cell r="ST163">
            <v>1503.2993111055555</v>
          </cell>
          <cell r="SU163">
            <v>0</v>
          </cell>
          <cell r="SV163">
            <v>0</v>
          </cell>
          <cell r="SW163">
            <v>0</v>
          </cell>
          <cell r="SX163">
            <v>0</v>
          </cell>
          <cell r="SY163">
            <v>0</v>
          </cell>
          <cell r="SZ163">
            <v>0</v>
          </cell>
        </row>
        <row r="164">
          <cell r="SQ164">
            <v>0</v>
          </cell>
          <cell r="SR164">
            <v>0</v>
          </cell>
          <cell r="SS164">
            <v>0</v>
          </cell>
          <cell r="ST164">
            <v>3324.1422464056368</v>
          </cell>
          <cell r="SU164">
            <v>0</v>
          </cell>
          <cell r="SV164">
            <v>0</v>
          </cell>
          <cell r="SW164">
            <v>0</v>
          </cell>
          <cell r="SX164">
            <v>0</v>
          </cell>
          <cell r="SY164">
            <v>0</v>
          </cell>
          <cell r="SZ164">
            <v>0</v>
          </cell>
        </row>
        <row r="165">
          <cell r="SQ165">
            <v>0</v>
          </cell>
          <cell r="SR165">
            <v>3236.4603281200675</v>
          </cell>
          <cell r="SS165">
            <v>1078.8201093733558</v>
          </cell>
          <cell r="ST165">
            <v>5394.100546866779</v>
          </cell>
          <cell r="SU165">
            <v>0</v>
          </cell>
          <cell r="SV165">
            <v>0</v>
          </cell>
          <cell r="SW165">
            <v>0</v>
          </cell>
          <cell r="SX165">
            <v>539.41005468667788</v>
          </cell>
          <cell r="SY165">
            <v>539.41005468667788</v>
          </cell>
          <cell r="SZ165">
            <v>1078.8201093733558</v>
          </cell>
        </row>
        <row r="166">
          <cell r="SQ166">
            <v>0</v>
          </cell>
          <cell r="SR166">
            <v>3359.3300354406151</v>
          </cell>
          <cell r="SS166">
            <v>1119.776678480205</v>
          </cell>
          <cell r="ST166">
            <v>8398.3250886015376</v>
          </cell>
          <cell r="SU166">
            <v>0</v>
          </cell>
          <cell r="SV166">
            <v>0</v>
          </cell>
          <cell r="SW166">
            <v>0</v>
          </cell>
          <cell r="SX166">
            <v>1119.776678480205</v>
          </cell>
          <cell r="SY166">
            <v>1119.776678480205</v>
          </cell>
          <cell r="SZ166">
            <v>1679.6650177203076</v>
          </cell>
        </row>
        <row r="167">
          <cell r="SQ167">
            <v>0</v>
          </cell>
          <cell r="SR167">
            <v>3309.520868044121</v>
          </cell>
          <cell r="SS167">
            <v>1103.1736226813737</v>
          </cell>
          <cell r="ST167">
            <v>9928.562604132363</v>
          </cell>
          <cell r="SU167">
            <v>0</v>
          </cell>
          <cell r="SV167">
            <v>0</v>
          </cell>
          <cell r="SW167">
            <v>0</v>
          </cell>
          <cell r="SX167">
            <v>1654.7604340220605</v>
          </cell>
          <cell r="SY167">
            <v>1654.7604340220605</v>
          </cell>
          <cell r="SZ167">
            <v>2206.3472453627473</v>
          </cell>
        </row>
        <row r="168">
          <cell r="SQ168">
            <v>0</v>
          </cell>
          <cell r="SR168">
            <v>3282.1065726887796</v>
          </cell>
          <cell r="SS168">
            <v>1094.0355242295934</v>
          </cell>
          <cell r="ST168">
            <v>10940.355242295933</v>
          </cell>
          <cell r="SU168">
            <v>0</v>
          </cell>
          <cell r="SV168">
            <v>0</v>
          </cell>
          <cell r="SW168">
            <v>0</v>
          </cell>
          <cell r="SX168">
            <v>2188.0710484591868</v>
          </cell>
          <cell r="SY168">
            <v>2188.0710484591868</v>
          </cell>
          <cell r="SZ168">
            <v>2735.0888105739832</v>
          </cell>
        </row>
        <row r="169">
          <cell r="SQ169">
            <v>0</v>
          </cell>
          <cell r="SR169">
            <v>3257.1178121083417</v>
          </cell>
          <cell r="SS169">
            <v>1085.7059373694472</v>
          </cell>
          <cell r="ST169">
            <v>10857.059373694472</v>
          </cell>
          <cell r="SU169">
            <v>0</v>
          </cell>
          <cell r="SV169">
            <v>0</v>
          </cell>
          <cell r="SW169">
            <v>0</v>
          </cell>
          <cell r="SX169">
            <v>2714.264843423618</v>
          </cell>
          <cell r="SY169">
            <v>2714.264843423618</v>
          </cell>
          <cell r="SZ169">
            <v>3257.1178121083417</v>
          </cell>
        </row>
        <row r="170">
          <cell r="SQ170">
            <v>0</v>
          </cell>
          <cell r="SR170">
            <v>3216.1551668235247</v>
          </cell>
          <cell r="SS170">
            <v>1072.0517222745082</v>
          </cell>
          <cell r="ST170">
            <v>10720.517222745082</v>
          </cell>
          <cell r="SU170">
            <v>0</v>
          </cell>
          <cell r="SV170">
            <v>0</v>
          </cell>
          <cell r="SW170">
            <v>0</v>
          </cell>
          <cell r="SX170">
            <v>3216.1551668235247</v>
          </cell>
          <cell r="SY170">
            <v>3216.1551668235247</v>
          </cell>
          <cell r="SZ170">
            <v>3216.1551668235247</v>
          </cell>
        </row>
        <row r="171">
          <cell r="SQ171">
            <v>0</v>
          </cell>
          <cell r="SR171">
            <v>3167.7884695570492</v>
          </cell>
          <cell r="SS171">
            <v>1055.9294898523499</v>
          </cell>
          <cell r="ST171">
            <v>10559.294898523498</v>
          </cell>
          <cell r="SU171">
            <v>0</v>
          </cell>
          <cell r="SV171">
            <v>0</v>
          </cell>
          <cell r="SW171">
            <v>0</v>
          </cell>
          <cell r="SX171">
            <v>3167.7884695570492</v>
          </cell>
          <cell r="SY171">
            <v>3167.7884695570492</v>
          </cell>
          <cell r="SZ171">
            <v>3167.7884695570492</v>
          </cell>
        </row>
        <row r="172">
          <cell r="SQ172">
            <v>0</v>
          </cell>
          <cell r="SR172">
            <v>3038.4541526700864</v>
          </cell>
          <cell r="SS172">
            <v>1012.8180508900289</v>
          </cell>
          <cell r="ST172">
            <v>10128.180508900288</v>
          </cell>
          <cell r="SU172">
            <v>0</v>
          </cell>
          <cell r="SV172">
            <v>0</v>
          </cell>
          <cell r="SW172">
            <v>0</v>
          </cell>
          <cell r="SX172">
            <v>3038.4541526700864</v>
          </cell>
          <cell r="SY172">
            <v>3038.4541526700864</v>
          </cell>
          <cell r="SZ172">
            <v>3038.4541526700864</v>
          </cell>
        </row>
        <row r="173">
          <cell r="SQ173">
            <v>0</v>
          </cell>
          <cell r="SR173">
            <v>2748.0797005386789</v>
          </cell>
          <cell r="SS173">
            <v>916.02656684622639</v>
          </cell>
          <cell r="ST173">
            <v>9160.2656684622634</v>
          </cell>
          <cell r="SU173">
            <v>0</v>
          </cell>
          <cell r="SV173">
            <v>0</v>
          </cell>
          <cell r="SW173">
            <v>0</v>
          </cell>
          <cell r="SX173">
            <v>2748.0797005386789</v>
          </cell>
          <cell r="SY173">
            <v>2748.0797005386789</v>
          </cell>
          <cell r="SZ173">
            <v>2748.0797005386789</v>
          </cell>
        </row>
        <row r="174">
          <cell r="SQ174">
            <v>0</v>
          </cell>
          <cell r="SR174">
            <v>2539.7973199706817</v>
          </cell>
          <cell r="SS174">
            <v>846.59910665689392</v>
          </cell>
          <cell r="ST174">
            <v>8465.9910665689385</v>
          </cell>
          <cell r="SU174">
            <v>0</v>
          </cell>
          <cell r="SV174">
            <v>0</v>
          </cell>
          <cell r="SW174">
            <v>0</v>
          </cell>
          <cell r="SX174">
            <v>2539.7973199706817</v>
          </cell>
          <cell r="SY174">
            <v>2539.7973199706817</v>
          </cell>
          <cell r="SZ174">
            <v>2539.7973199706817</v>
          </cell>
        </row>
        <row r="175">
          <cell r="SQ175">
            <v>0</v>
          </cell>
          <cell r="SR175">
            <v>2502.5243031620194</v>
          </cell>
          <cell r="SS175">
            <v>834.17476772067312</v>
          </cell>
          <cell r="ST175">
            <v>8341.7476772067312</v>
          </cell>
          <cell r="SU175">
            <v>0</v>
          </cell>
          <cell r="SV175">
            <v>0</v>
          </cell>
          <cell r="SW175">
            <v>0</v>
          </cell>
          <cell r="SX175">
            <v>2502.5243031620194</v>
          </cell>
          <cell r="SY175">
            <v>2502.5243031620194</v>
          </cell>
          <cell r="SZ175">
            <v>2502.5243031620194</v>
          </cell>
        </row>
        <row r="176">
          <cell r="SQ176">
            <v>0</v>
          </cell>
          <cell r="SR176">
            <v>2431.3909257273594</v>
          </cell>
          <cell r="SS176">
            <v>810.46364190911993</v>
          </cell>
          <cell r="ST176">
            <v>8104.6364190911991</v>
          </cell>
          <cell r="SU176">
            <v>0</v>
          </cell>
          <cell r="SV176">
            <v>0</v>
          </cell>
          <cell r="SW176">
            <v>0</v>
          </cell>
          <cell r="SX176">
            <v>2431.3909257273594</v>
          </cell>
          <cell r="SY176">
            <v>2431.3909257273594</v>
          </cell>
          <cell r="SZ176">
            <v>2431.3909257273594</v>
          </cell>
        </row>
        <row r="177">
          <cell r="SQ177">
            <v>0</v>
          </cell>
          <cell r="SR177">
            <v>2285.0628460314269</v>
          </cell>
          <cell r="SS177">
            <v>761.68761534380906</v>
          </cell>
          <cell r="ST177">
            <v>7616.8761534380901</v>
          </cell>
          <cell r="SU177">
            <v>0</v>
          </cell>
          <cell r="SV177">
            <v>0</v>
          </cell>
          <cell r="SW177">
            <v>0</v>
          </cell>
          <cell r="SX177">
            <v>2285.0628460314269</v>
          </cell>
          <cell r="SY177">
            <v>2285.0628460314269</v>
          </cell>
          <cell r="SZ177">
            <v>2285.0628460314269</v>
          </cell>
        </row>
        <row r="178">
          <cell r="SQ178">
            <v>0</v>
          </cell>
          <cell r="SR178">
            <v>2170.3558358162641</v>
          </cell>
          <cell r="SS178">
            <v>723.4519452720881</v>
          </cell>
          <cell r="ST178">
            <v>7234.5194527208805</v>
          </cell>
          <cell r="SU178">
            <v>0</v>
          </cell>
          <cell r="SV178">
            <v>0</v>
          </cell>
          <cell r="SW178">
            <v>0</v>
          </cell>
          <cell r="SX178">
            <v>2170.3558358162641</v>
          </cell>
          <cell r="SY178">
            <v>2170.3558358162641</v>
          </cell>
          <cell r="SZ178">
            <v>2170.3558358162641</v>
          </cell>
        </row>
        <row r="179">
          <cell r="SQ179">
            <v>0</v>
          </cell>
          <cell r="SR179">
            <v>2130.0186078173747</v>
          </cell>
          <cell r="SS179">
            <v>710.00620260579171</v>
          </cell>
          <cell r="ST179">
            <v>7100.0620260579162</v>
          </cell>
          <cell r="SU179">
            <v>0</v>
          </cell>
          <cell r="SV179">
            <v>0</v>
          </cell>
          <cell r="SW179">
            <v>0</v>
          </cell>
          <cell r="SX179">
            <v>2130.0186078173747</v>
          </cell>
          <cell r="SY179">
            <v>2130.0186078173747</v>
          </cell>
          <cell r="SZ179">
            <v>2130.0186078173747</v>
          </cell>
        </row>
        <row r="180">
          <cell r="SQ180">
            <v>0</v>
          </cell>
          <cell r="SR180">
            <v>2089.574166550723</v>
          </cell>
          <cell r="SS180">
            <v>696.52472218357434</v>
          </cell>
          <cell r="ST180">
            <v>6965.2472218357434</v>
          </cell>
          <cell r="SU180">
            <v>0</v>
          </cell>
          <cell r="SV180">
            <v>0</v>
          </cell>
          <cell r="SW180">
            <v>0</v>
          </cell>
          <cell r="SX180">
            <v>2089.574166550723</v>
          </cell>
          <cell r="SY180">
            <v>2089.574166550723</v>
          </cell>
          <cell r="SZ180">
            <v>2089.574166550723</v>
          </cell>
        </row>
        <row r="181">
          <cell r="SQ181">
            <v>0</v>
          </cell>
          <cell r="SR181">
            <v>2056.374613359189</v>
          </cell>
          <cell r="SS181">
            <v>685.4582044530631</v>
          </cell>
          <cell r="ST181">
            <v>6854.5820445306308</v>
          </cell>
          <cell r="SU181">
            <v>0</v>
          </cell>
          <cell r="SV181">
            <v>0</v>
          </cell>
          <cell r="SW181">
            <v>0</v>
          </cell>
          <cell r="SX181">
            <v>2056.374613359189</v>
          </cell>
          <cell r="SY181">
            <v>2056.374613359189</v>
          </cell>
          <cell r="SZ181">
            <v>2056.374613359189</v>
          </cell>
        </row>
        <row r="182">
          <cell r="SQ182">
            <v>0</v>
          </cell>
          <cell r="SR182">
            <v>2037.827155160933</v>
          </cell>
          <cell r="SS182">
            <v>679.2757183869777</v>
          </cell>
          <cell r="ST182">
            <v>6792.7571838697768</v>
          </cell>
          <cell r="SU182">
            <v>0</v>
          </cell>
          <cell r="SV182">
            <v>0</v>
          </cell>
          <cell r="SW182">
            <v>0</v>
          </cell>
          <cell r="SX182">
            <v>2037.827155160933</v>
          </cell>
          <cell r="SY182">
            <v>2037.827155160933</v>
          </cell>
          <cell r="SZ182">
            <v>2037.827155160933</v>
          </cell>
        </row>
        <row r="183">
          <cell r="SQ183">
            <v>0</v>
          </cell>
          <cell r="SR183">
            <v>2013.0846071478445</v>
          </cell>
          <cell r="SS183">
            <v>671.02820238261484</v>
          </cell>
          <cell r="ST183">
            <v>6710.2820238261484</v>
          </cell>
          <cell r="SU183">
            <v>0</v>
          </cell>
          <cell r="SV183">
            <v>0</v>
          </cell>
          <cell r="SW183">
            <v>0</v>
          </cell>
          <cell r="SX183">
            <v>2013.0846071478445</v>
          </cell>
          <cell r="SY183">
            <v>2013.0846071478445</v>
          </cell>
          <cell r="SZ183">
            <v>2013.0846071478445</v>
          </cell>
        </row>
        <row r="184">
          <cell r="SQ184">
            <v>0</v>
          </cell>
          <cell r="SR184">
            <v>1973.4851747676903</v>
          </cell>
          <cell r="SS184">
            <v>657.82839158923025</v>
          </cell>
          <cell r="ST184">
            <v>6578.2839158923016</v>
          </cell>
          <cell r="SU184">
            <v>0</v>
          </cell>
          <cell r="SV184">
            <v>0</v>
          </cell>
          <cell r="SW184">
            <v>0</v>
          </cell>
          <cell r="SX184">
            <v>1973.4851747676903</v>
          </cell>
          <cell r="SY184">
            <v>1973.4851747676903</v>
          </cell>
          <cell r="SZ184">
            <v>1973.4851747676903</v>
          </cell>
        </row>
        <row r="185">
          <cell r="SQ185">
            <v>0</v>
          </cell>
          <cell r="SR185">
            <v>1934.394242405062</v>
          </cell>
          <cell r="SS185">
            <v>644.79808080168732</v>
          </cell>
          <cell r="ST185">
            <v>6447.9808080168732</v>
          </cell>
          <cell r="SU185">
            <v>0</v>
          </cell>
          <cell r="SV185">
            <v>0</v>
          </cell>
          <cell r="SW185">
            <v>0</v>
          </cell>
          <cell r="SX185">
            <v>1934.394242405062</v>
          </cell>
          <cell r="SY185">
            <v>1934.394242405062</v>
          </cell>
          <cell r="SZ185">
            <v>1934.394242405062</v>
          </cell>
        </row>
        <row r="186">
          <cell r="SQ186">
            <v>0</v>
          </cell>
          <cell r="SR186">
            <v>1894.9148441932105</v>
          </cell>
          <cell r="SS186">
            <v>631.63828139773693</v>
          </cell>
          <cell r="ST186">
            <v>6316.3828139773686</v>
          </cell>
          <cell r="SU186">
            <v>0</v>
          </cell>
          <cell r="SV186">
            <v>0</v>
          </cell>
          <cell r="SW186">
            <v>0</v>
          </cell>
          <cell r="SX186">
            <v>1894.9148441932105</v>
          </cell>
          <cell r="SY186">
            <v>1894.9148441932105</v>
          </cell>
          <cell r="SZ186">
            <v>1894.9148441932105</v>
          </cell>
        </row>
        <row r="187">
          <cell r="SQ187">
            <v>0</v>
          </cell>
          <cell r="SR187">
            <v>1855.6456892501417</v>
          </cell>
          <cell r="SS187">
            <v>618.5485630833806</v>
          </cell>
          <cell r="ST187">
            <v>6185.4856308338058</v>
          </cell>
          <cell r="SU187">
            <v>0</v>
          </cell>
          <cell r="SV187">
            <v>0</v>
          </cell>
          <cell r="SW187">
            <v>0</v>
          </cell>
          <cell r="SX187">
            <v>1855.6456892501417</v>
          </cell>
          <cell r="SY187">
            <v>1855.6456892501417</v>
          </cell>
          <cell r="SZ187">
            <v>1855.6456892501417</v>
          </cell>
        </row>
        <row r="188">
          <cell r="SQ188">
            <v>0</v>
          </cell>
          <cell r="SR188">
            <v>1816.3001532664639</v>
          </cell>
          <cell r="SS188">
            <v>605.43338442215463</v>
          </cell>
          <cell r="ST188">
            <v>6054.3338442215463</v>
          </cell>
          <cell r="SU188">
            <v>0</v>
          </cell>
          <cell r="SV188">
            <v>0</v>
          </cell>
          <cell r="SW188">
            <v>0</v>
          </cell>
          <cell r="SX188">
            <v>1816.3001532664639</v>
          </cell>
          <cell r="SY188">
            <v>1816.3001532664639</v>
          </cell>
          <cell r="SZ188">
            <v>1816.3001532664639</v>
          </cell>
        </row>
        <row r="189">
          <cell r="SQ189">
            <v>0</v>
          </cell>
          <cell r="SR189">
            <v>1777.4286861212749</v>
          </cell>
          <cell r="SS189">
            <v>592.47622870709165</v>
          </cell>
          <cell r="ST189">
            <v>5924.7622870709165</v>
          </cell>
          <cell r="SU189">
            <v>0</v>
          </cell>
          <cell r="SV189">
            <v>0</v>
          </cell>
          <cell r="SW189">
            <v>0</v>
          </cell>
          <cell r="SX189">
            <v>1777.4286861212749</v>
          </cell>
          <cell r="SY189">
            <v>1777.4286861212749</v>
          </cell>
          <cell r="SZ189">
            <v>1777.4286861212749</v>
          </cell>
        </row>
        <row r="190">
          <cell r="SQ190">
            <v>0</v>
          </cell>
          <cell r="SR190">
            <v>1738.2067334288702</v>
          </cell>
          <cell r="SS190">
            <v>579.40224447629009</v>
          </cell>
          <cell r="ST190">
            <v>5794.0224447629007</v>
          </cell>
          <cell r="SU190">
            <v>0</v>
          </cell>
          <cell r="SV190">
            <v>0</v>
          </cell>
          <cell r="SW190">
            <v>0</v>
          </cell>
          <cell r="SX190">
            <v>1738.2067334288702</v>
          </cell>
          <cell r="SY190">
            <v>1738.2067334288702</v>
          </cell>
          <cell r="SZ190">
            <v>1738.2067334288702</v>
          </cell>
        </row>
      </sheetData>
      <sheetData sheetId="3">
        <row r="4">
          <cell r="SO4">
            <v>59124.142524702809</v>
          </cell>
          <cell r="SP4">
            <v>59124.142524702809</v>
          </cell>
          <cell r="SQ4">
            <v>59124.142524702809</v>
          </cell>
          <cell r="SR4">
            <v>59124.142524702809</v>
          </cell>
          <cell r="SS4">
            <v>59124.142524702809</v>
          </cell>
          <cell r="ST4">
            <v>59124.142524702809</v>
          </cell>
          <cell r="SU4">
            <v>59124.142524702809</v>
          </cell>
          <cell r="SV4">
            <v>59124.142524702809</v>
          </cell>
          <cell r="SW4">
            <v>59124.142524702809</v>
          </cell>
          <cell r="SX4">
            <v>59124.142524702809</v>
          </cell>
        </row>
        <row r="5">
          <cell r="SO5">
            <v>58910.746418152892</v>
          </cell>
          <cell r="SP5">
            <v>58910.746418152892</v>
          </cell>
          <cell r="SQ5">
            <v>58910.746418152892</v>
          </cell>
          <cell r="SR5">
            <v>58910.746418152892</v>
          </cell>
          <cell r="SS5">
            <v>58910.746418152892</v>
          </cell>
          <cell r="ST5">
            <v>58910.746418152892</v>
          </cell>
          <cell r="SU5">
            <v>56759.176823714697</v>
          </cell>
          <cell r="SV5">
            <v>58910.746418152892</v>
          </cell>
          <cell r="SW5">
            <v>58910.746418152892</v>
          </cell>
          <cell r="SX5">
            <v>58910.746418152892</v>
          </cell>
        </row>
        <row r="6">
          <cell r="SO6">
            <v>58673.111955790671</v>
          </cell>
          <cell r="SP6">
            <v>58673.111955790671</v>
          </cell>
          <cell r="SQ6">
            <v>58673.111955790671</v>
          </cell>
          <cell r="SR6">
            <v>58673.111955790671</v>
          </cell>
          <cell r="SS6">
            <v>58673.111955790671</v>
          </cell>
          <cell r="ST6">
            <v>58673.111955790671</v>
          </cell>
          <cell r="SU6">
            <v>54394.211122726585</v>
          </cell>
          <cell r="SV6">
            <v>58673.111955790671</v>
          </cell>
          <cell r="SW6">
            <v>58673.111955790671</v>
          </cell>
          <cell r="SX6">
            <v>58673.111955790671</v>
          </cell>
        </row>
        <row r="7">
          <cell r="SO7">
            <v>58457.226363836802</v>
          </cell>
          <cell r="SP7">
            <v>58457.226363836802</v>
          </cell>
          <cell r="SQ7">
            <v>58457.226363836802</v>
          </cell>
          <cell r="SR7">
            <v>58457.226363836802</v>
          </cell>
          <cell r="SS7">
            <v>58457.226363836802</v>
          </cell>
          <cell r="ST7">
            <v>57499.64971667486</v>
          </cell>
          <cell r="SU7">
            <v>52029.245421738473</v>
          </cell>
          <cell r="SV7">
            <v>58457.226363836802</v>
          </cell>
          <cell r="SW7">
            <v>58457.226363836802</v>
          </cell>
          <cell r="SX7">
            <v>58457.226363836802</v>
          </cell>
        </row>
        <row r="8">
          <cell r="SO8">
            <v>58243.494492694532</v>
          </cell>
          <cell r="SP8">
            <v>58243.494492694532</v>
          </cell>
          <cell r="SQ8">
            <v>58243.494492694532</v>
          </cell>
          <cell r="SR8">
            <v>58243.494492694532</v>
          </cell>
          <cell r="SS8">
            <v>58243.494492694532</v>
          </cell>
          <cell r="ST8">
            <v>56326.187477559048</v>
          </cell>
          <cell r="SU8">
            <v>49664.279720750361</v>
          </cell>
          <cell r="SV8">
            <v>58243.494492694532</v>
          </cell>
          <cell r="SW8">
            <v>58243.494492694532</v>
          </cell>
          <cell r="SX8">
            <v>58243.494492694532</v>
          </cell>
        </row>
        <row r="9">
          <cell r="SO9">
            <v>58042.462846869355</v>
          </cell>
          <cell r="SP9">
            <v>58042.462846869355</v>
          </cell>
          <cell r="SQ9">
            <v>58042.462846869355</v>
          </cell>
          <cell r="SR9">
            <v>58042.462846869355</v>
          </cell>
          <cell r="SS9">
            <v>58042.462846869355</v>
          </cell>
          <cell r="ST9">
            <v>55152.725238443236</v>
          </cell>
          <cell r="SU9">
            <v>47299.314019762249</v>
          </cell>
          <cell r="SV9">
            <v>58042.462846869355</v>
          </cell>
          <cell r="SW9">
            <v>58042.462846869355</v>
          </cell>
          <cell r="SX9">
            <v>58042.462846869355</v>
          </cell>
        </row>
        <row r="10">
          <cell r="SO10">
            <v>57853.903848630449</v>
          </cell>
          <cell r="SP10">
            <v>57853.903848630449</v>
          </cell>
          <cell r="SQ10">
            <v>57853.903848630449</v>
          </cell>
          <cell r="SR10">
            <v>57853.903848630449</v>
          </cell>
          <cell r="SS10">
            <v>57853.903848630449</v>
          </cell>
          <cell r="ST10">
            <v>53979.262999327424</v>
          </cell>
          <cell r="SU10">
            <v>44934.348318774137</v>
          </cell>
          <cell r="SV10">
            <v>57853.903848630449</v>
          </cell>
          <cell r="SW10">
            <v>57853.903848630449</v>
          </cell>
          <cell r="SX10">
            <v>57853.903848630449</v>
          </cell>
        </row>
        <row r="11">
          <cell r="SO11">
            <v>57676.070236640895</v>
          </cell>
          <cell r="SP11">
            <v>57676.070236640895</v>
          </cell>
          <cell r="SQ11">
            <v>57676.070236640895</v>
          </cell>
          <cell r="SR11">
            <v>57676.070236640895</v>
          </cell>
          <cell r="SS11">
            <v>57676.070236640895</v>
          </cell>
          <cell r="ST11">
            <v>52805.800760211612</v>
          </cell>
          <cell r="SU11">
            <v>42569.382617786025</v>
          </cell>
          <cell r="SV11">
            <v>57676.070236640895</v>
          </cell>
          <cell r="SW11">
            <v>57676.070236640895</v>
          </cell>
          <cell r="SX11">
            <v>57676.070236640895</v>
          </cell>
        </row>
        <row r="12">
          <cell r="SO12">
            <v>57498.009046920532</v>
          </cell>
          <cell r="SP12">
            <v>57498.009046920532</v>
          </cell>
          <cell r="SQ12">
            <v>57498.009046920532</v>
          </cell>
          <cell r="SR12">
            <v>57498.009046920532</v>
          </cell>
          <cell r="SS12">
            <v>57498.009046920532</v>
          </cell>
          <cell r="ST12">
            <v>51632.3385210958</v>
          </cell>
          <cell r="SU12">
            <v>40204.416916797913</v>
          </cell>
          <cell r="SV12">
            <v>57498.009046920532</v>
          </cell>
          <cell r="SW12">
            <v>57498.009046920532</v>
          </cell>
          <cell r="SX12">
            <v>57498.009046920532</v>
          </cell>
        </row>
        <row r="13">
          <cell r="SO13">
            <v>57321.20862961316</v>
          </cell>
          <cell r="SP13">
            <v>57321.20862961316</v>
          </cell>
          <cell r="SQ13">
            <v>57321.20862961316</v>
          </cell>
          <cell r="SR13">
            <v>57321.20862961316</v>
          </cell>
          <cell r="SS13">
            <v>57321.20862961316</v>
          </cell>
          <cell r="ST13">
            <v>50458.876281979989</v>
          </cell>
          <cell r="SU13">
            <v>37839.4512158098</v>
          </cell>
          <cell r="SV13">
            <v>57321.20862961316</v>
          </cell>
          <cell r="SW13">
            <v>57321.20862961316</v>
          </cell>
          <cell r="SX13">
            <v>57321.20862961316</v>
          </cell>
        </row>
        <row r="14">
          <cell r="SO14">
            <v>57150.786831926125</v>
          </cell>
          <cell r="SP14">
            <v>57150.786831926125</v>
          </cell>
          <cell r="SQ14">
            <v>57150.786831926125</v>
          </cell>
          <cell r="SR14">
            <v>57150.786831926125</v>
          </cell>
          <cell r="SS14">
            <v>57150.786831926125</v>
          </cell>
          <cell r="ST14">
            <v>49285.414042864177</v>
          </cell>
          <cell r="SU14">
            <v>35474.485514821688</v>
          </cell>
          <cell r="SV14">
            <v>57150.786831926125</v>
          </cell>
          <cell r="SW14">
            <v>57150.786831926125</v>
          </cell>
          <cell r="SX14">
            <v>57150.786831926125</v>
          </cell>
        </row>
        <row r="15">
          <cell r="SO15">
            <v>56987.375856438448</v>
          </cell>
          <cell r="SP15">
            <v>56987.375856438448</v>
          </cell>
          <cell r="SQ15">
            <v>56987.375856438448</v>
          </cell>
          <cell r="SR15">
            <v>56987.375856438448</v>
          </cell>
          <cell r="SS15">
            <v>56987.375856438448</v>
          </cell>
          <cell r="ST15">
            <v>48111.951803748365</v>
          </cell>
          <cell r="SU15">
            <v>33109.519813833576</v>
          </cell>
          <cell r="SV15">
            <v>56987.375856438448</v>
          </cell>
          <cell r="SW15">
            <v>56987.375856438448</v>
          </cell>
          <cell r="SX15">
            <v>56987.375856438448</v>
          </cell>
        </row>
        <row r="16">
          <cell r="SO16">
            <v>56829.082728158108</v>
          </cell>
          <cell r="SP16">
            <v>56829.082728158108</v>
          </cell>
          <cell r="SQ16">
            <v>56829.082728158108</v>
          </cell>
          <cell r="SR16">
            <v>56829.082728158108</v>
          </cell>
          <cell r="SS16">
            <v>56829.082728158108</v>
          </cell>
          <cell r="ST16">
            <v>46938.489564632553</v>
          </cell>
          <cell r="SU16">
            <v>30744.554112845464</v>
          </cell>
          <cell r="SV16">
            <v>56829.082728158108</v>
          </cell>
          <cell r="SW16">
            <v>56829.082728158108</v>
          </cell>
          <cell r="SX16">
            <v>56829.082728158108</v>
          </cell>
        </row>
        <row r="17">
          <cell r="SO17">
            <v>56670.789599877724</v>
          </cell>
          <cell r="SP17">
            <v>56670.789599877724</v>
          </cell>
          <cell r="SQ17">
            <v>56670.789599877724</v>
          </cell>
          <cell r="SR17">
            <v>56670.789599877724</v>
          </cell>
          <cell r="SS17">
            <v>56670.789599877724</v>
          </cell>
          <cell r="ST17">
            <v>45765.027325516741</v>
          </cell>
          <cell r="SU17">
            <v>28379.588411857352</v>
          </cell>
          <cell r="SV17">
            <v>56670.789599877724</v>
          </cell>
          <cell r="SW17">
            <v>56670.789599877724</v>
          </cell>
          <cell r="SX17">
            <v>56670.789599877724</v>
          </cell>
        </row>
        <row r="18">
          <cell r="SO18">
            <v>56513.919991545568</v>
          </cell>
          <cell r="SP18">
            <v>56513.919991545568</v>
          </cell>
          <cell r="SQ18">
            <v>56513.919991545568</v>
          </cell>
          <cell r="SR18">
            <v>56513.919991545568</v>
          </cell>
          <cell r="SS18">
            <v>56513.919991545568</v>
          </cell>
          <cell r="ST18">
            <v>44591.565086400929</v>
          </cell>
          <cell r="SU18">
            <v>26014.62271086924</v>
          </cell>
          <cell r="SV18">
            <v>56513.919991545568</v>
          </cell>
          <cell r="SW18">
            <v>56513.919991545568</v>
          </cell>
          <cell r="SX18">
            <v>56513.919991545568</v>
          </cell>
        </row>
        <row r="19">
          <cell r="SO19">
            <v>56365.874365892298</v>
          </cell>
          <cell r="SP19">
            <v>56365.874365892298</v>
          </cell>
          <cell r="SQ19">
            <v>56365.874365892298</v>
          </cell>
          <cell r="SR19">
            <v>56365.874365892298</v>
          </cell>
          <cell r="SS19">
            <v>56365.874365892298</v>
          </cell>
          <cell r="ST19">
            <v>43418.102847285118</v>
          </cell>
          <cell r="SU19">
            <v>23649.657009881128</v>
          </cell>
          <cell r="SV19">
            <v>56365.874365892298</v>
          </cell>
          <cell r="SW19">
            <v>56365.874365892298</v>
          </cell>
          <cell r="SX19">
            <v>56365.874365892298</v>
          </cell>
        </row>
        <row r="20">
          <cell r="SO20">
            <v>56226.078150396293</v>
          </cell>
          <cell r="SP20">
            <v>56226.078150396293</v>
          </cell>
          <cell r="SQ20">
            <v>56226.078150396293</v>
          </cell>
          <cell r="SR20">
            <v>56226.078150396293</v>
          </cell>
          <cell r="SS20">
            <v>56226.078150396293</v>
          </cell>
          <cell r="ST20">
            <v>42244.640608169306</v>
          </cell>
          <cell r="SU20">
            <v>21284.691308893016</v>
          </cell>
          <cell r="SV20">
            <v>56226.078150396293</v>
          </cell>
          <cell r="SW20">
            <v>56226.078150396293</v>
          </cell>
          <cell r="SX20">
            <v>56226.078150396293</v>
          </cell>
        </row>
        <row r="21">
          <cell r="SO21">
            <v>56093.10782510924</v>
          </cell>
          <cell r="SP21">
            <v>56093.10782510924</v>
          </cell>
          <cell r="SQ21">
            <v>56093.10782510924</v>
          </cell>
          <cell r="SR21">
            <v>56093.10782510924</v>
          </cell>
          <cell r="SS21">
            <v>56093.10782510924</v>
          </cell>
          <cell r="ST21">
            <v>41071.178369053494</v>
          </cell>
          <cell r="SU21">
            <v>18919.725607904904</v>
          </cell>
          <cell r="SV21">
            <v>56093.10782510924</v>
          </cell>
          <cell r="SW21">
            <v>56093.10782510924</v>
          </cell>
          <cell r="SX21">
            <v>56093.10782510924</v>
          </cell>
        </row>
        <row r="22">
          <cell r="SO22">
            <v>55959.96755214897</v>
          </cell>
          <cell r="SP22">
            <v>55959.96755214897</v>
          </cell>
          <cell r="SQ22">
            <v>55959.96755214897</v>
          </cell>
          <cell r="SR22">
            <v>55959.96755214897</v>
          </cell>
          <cell r="SS22">
            <v>55959.96755214897</v>
          </cell>
          <cell r="ST22">
            <v>39897.716129937682</v>
          </cell>
          <cell r="SU22">
            <v>16554.759906916792</v>
          </cell>
          <cell r="SV22">
            <v>55959.96755214897</v>
          </cell>
          <cell r="SW22">
            <v>55959.96755214897</v>
          </cell>
          <cell r="SX22">
            <v>55959.96755214897</v>
          </cell>
        </row>
        <row r="23">
          <cell r="SO23">
            <v>55826.856751577856</v>
          </cell>
          <cell r="SP23">
            <v>55826.856751577856</v>
          </cell>
          <cell r="SQ23">
            <v>55826.856751577856</v>
          </cell>
          <cell r="SR23">
            <v>55826.856751577856</v>
          </cell>
          <cell r="SS23">
            <v>55826.856751577856</v>
          </cell>
          <cell r="ST23">
            <v>38724.25389082187</v>
          </cell>
          <cell r="SU23">
            <v>14189.79420592868</v>
          </cell>
          <cell r="SV23">
            <v>55826.856751577856</v>
          </cell>
          <cell r="SW23">
            <v>55826.856751577856</v>
          </cell>
          <cell r="SX23">
            <v>55826.856751577856</v>
          </cell>
        </row>
        <row r="24">
          <cell r="SO24">
            <v>55691.953595770377</v>
          </cell>
          <cell r="SP24">
            <v>55691.953595770377</v>
          </cell>
          <cell r="SQ24">
            <v>55691.953595770377</v>
          </cell>
          <cell r="SR24">
            <v>55691.953595770377</v>
          </cell>
          <cell r="SS24">
            <v>55691.953595770377</v>
          </cell>
          <cell r="ST24">
            <v>37550.791651706058</v>
          </cell>
          <cell r="SU24">
            <v>11824.828504940568</v>
          </cell>
          <cell r="SV24">
            <v>55691.953595770377</v>
          </cell>
          <cell r="SW24">
            <v>55691.953595770377</v>
          </cell>
          <cell r="SX24">
            <v>55691.953595770377</v>
          </cell>
        </row>
        <row r="25">
          <cell r="SO25">
            <v>55555.428032399788</v>
          </cell>
          <cell r="SP25">
            <v>55555.428032399788</v>
          </cell>
          <cell r="SQ25">
            <v>55555.428032399788</v>
          </cell>
          <cell r="SR25">
            <v>55555.428032399788</v>
          </cell>
          <cell r="SS25">
            <v>55555.428032399788</v>
          </cell>
          <cell r="ST25">
            <v>36377.329412590247</v>
          </cell>
          <cell r="SU25">
            <v>9459.8628039524556</v>
          </cell>
          <cell r="SV25">
            <v>55555.428032399788</v>
          </cell>
          <cell r="SW25">
            <v>55555.428032399788</v>
          </cell>
          <cell r="SX25">
            <v>55555.428032399788</v>
          </cell>
        </row>
        <row r="26">
          <cell r="SO26">
            <v>55417.414316015122</v>
          </cell>
          <cell r="SP26">
            <v>55417.414316015122</v>
          </cell>
          <cell r="SQ26">
            <v>55417.414316015122</v>
          </cell>
          <cell r="SR26">
            <v>55417.414316015122</v>
          </cell>
          <cell r="SS26">
            <v>55417.414316015122</v>
          </cell>
          <cell r="ST26">
            <v>35203.867173474435</v>
          </cell>
          <cell r="SU26">
            <v>7094.8971029643435</v>
          </cell>
          <cell r="SV26">
            <v>55417.414316015122</v>
          </cell>
          <cell r="SW26">
            <v>55417.414316015122</v>
          </cell>
          <cell r="SX26">
            <v>55417.414316015122</v>
          </cell>
        </row>
        <row r="27">
          <cell r="SO27">
            <v>55279.752936447265</v>
          </cell>
          <cell r="SP27">
            <v>55279.752936447265</v>
          </cell>
          <cell r="SQ27">
            <v>55279.752936447265</v>
          </cell>
          <cell r="SR27">
            <v>55279.752936447265</v>
          </cell>
          <cell r="SS27">
            <v>55279.752936447265</v>
          </cell>
          <cell r="ST27">
            <v>34030.404934358623</v>
          </cell>
          <cell r="SU27">
            <v>4729.9314019762314</v>
          </cell>
          <cell r="SV27">
            <v>55279.752936447265</v>
          </cell>
          <cell r="SW27">
            <v>55279.752936447265</v>
          </cell>
          <cell r="SX27">
            <v>55279.752936447265</v>
          </cell>
        </row>
        <row r="28">
          <cell r="SO28">
            <v>55141.915388471025</v>
          </cell>
          <cell r="SP28">
            <v>55141.915388471025</v>
          </cell>
          <cell r="SQ28">
            <v>55141.915388471025</v>
          </cell>
          <cell r="SR28">
            <v>55141.915388471025</v>
          </cell>
          <cell r="SS28">
            <v>55141.915388471025</v>
          </cell>
          <cell r="ST28">
            <v>32856.942695242811</v>
          </cell>
          <cell r="SU28">
            <v>2956.2071262351405</v>
          </cell>
          <cell r="SV28">
            <v>55141.915388471025</v>
          </cell>
          <cell r="SW28">
            <v>55141.915388471025</v>
          </cell>
          <cell r="SX28">
            <v>55141.915388471025</v>
          </cell>
        </row>
        <row r="29">
          <cell r="SO29">
            <v>55004.077840494749</v>
          </cell>
          <cell r="SP29">
            <v>55004.077840494749</v>
          </cell>
          <cell r="SQ29">
            <v>55004.077840494749</v>
          </cell>
          <cell r="SR29">
            <v>55004.077840494749</v>
          </cell>
          <cell r="SS29">
            <v>55004.077840494749</v>
          </cell>
          <cell r="ST29">
            <v>31683.480456126999</v>
          </cell>
          <cell r="SU29">
            <v>2956.2071262351405</v>
          </cell>
          <cell r="SV29">
            <v>55004.077840494749</v>
          </cell>
          <cell r="SW29">
            <v>55004.077840494749</v>
          </cell>
          <cell r="SX29">
            <v>55004.077840494749</v>
          </cell>
        </row>
        <row r="30">
          <cell r="SO30">
            <v>54866.064124110075</v>
          </cell>
          <cell r="SP30">
            <v>54866.064124110075</v>
          </cell>
          <cell r="SQ30">
            <v>54866.064124110075</v>
          </cell>
          <cell r="SR30">
            <v>54866.064124110075</v>
          </cell>
          <cell r="SS30">
            <v>54866.064124110075</v>
          </cell>
          <cell r="ST30">
            <v>30510.018217011188</v>
          </cell>
          <cell r="SU30">
            <v>2956.2071262351405</v>
          </cell>
          <cell r="SV30">
            <v>54866.064124110075</v>
          </cell>
          <cell r="SW30">
            <v>54866.064124110075</v>
          </cell>
          <cell r="SX30">
            <v>54866.064124110075</v>
          </cell>
        </row>
        <row r="31">
          <cell r="SO31">
            <v>54728.402744542218</v>
          </cell>
          <cell r="SP31">
            <v>54728.402744542218</v>
          </cell>
          <cell r="SQ31">
            <v>54728.402744542218</v>
          </cell>
          <cell r="SR31">
            <v>54728.402744542218</v>
          </cell>
          <cell r="SS31">
            <v>54728.402744542218</v>
          </cell>
          <cell r="ST31">
            <v>29336.555977895376</v>
          </cell>
          <cell r="SU31">
            <v>2956.2071262351405</v>
          </cell>
          <cell r="SV31">
            <v>54728.402744542218</v>
          </cell>
          <cell r="SW31">
            <v>54728.402744542218</v>
          </cell>
          <cell r="SX31">
            <v>54728.402744542218</v>
          </cell>
        </row>
        <row r="32">
          <cell r="SO32">
            <v>54590.565196565964</v>
          </cell>
          <cell r="SP32">
            <v>54590.565196565964</v>
          </cell>
          <cell r="SQ32">
            <v>54590.565196565964</v>
          </cell>
          <cell r="SR32">
            <v>54590.565196565964</v>
          </cell>
          <cell r="SS32">
            <v>54590.565196565964</v>
          </cell>
          <cell r="ST32">
            <v>28163.093738779564</v>
          </cell>
          <cell r="SU32">
            <v>2956.2071262351405</v>
          </cell>
          <cell r="SV32">
            <v>54590.565196565964</v>
          </cell>
          <cell r="SW32">
            <v>54590.565196565964</v>
          </cell>
          <cell r="SX32">
            <v>54590.565196565964</v>
          </cell>
        </row>
        <row r="36">
          <cell r="SO36">
            <v>0</v>
          </cell>
          <cell r="SP36">
            <v>0</v>
          </cell>
          <cell r="SQ36">
            <v>0</v>
          </cell>
          <cell r="SR36">
            <v>0</v>
          </cell>
          <cell r="SS36">
            <v>0</v>
          </cell>
          <cell r="ST36">
            <v>0</v>
          </cell>
          <cell r="SU36">
            <v>0</v>
          </cell>
          <cell r="SV36">
            <v>0</v>
          </cell>
          <cell r="SW36">
            <v>0</v>
          </cell>
          <cell r="SX36">
            <v>0</v>
          </cell>
        </row>
        <row r="37">
          <cell r="SO37">
            <v>0</v>
          </cell>
          <cell r="SP37">
            <v>0</v>
          </cell>
          <cell r="SQ37">
            <v>0</v>
          </cell>
          <cell r="SR37">
            <v>0</v>
          </cell>
          <cell r="SS37">
            <v>0</v>
          </cell>
          <cell r="ST37">
            <v>0</v>
          </cell>
          <cell r="SU37">
            <v>0</v>
          </cell>
          <cell r="SV37">
            <v>0</v>
          </cell>
          <cell r="SW37">
            <v>0</v>
          </cell>
          <cell r="SX37">
            <v>0</v>
          </cell>
        </row>
        <row r="38">
          <cell r="SO38">
            <v>0</v>
          </cell>
          <cell r="SP38">
            <v>0</v>
          </cell>
          <cell r="SQ38">
            <v>0</v>
          </cell>
          <cell r="SR38">
            <v>0</v>
          </cell>
          <cell r="SS38">
            <v>0</v>
          </cell>
          <cell r="ST38">
            <v>0</v>
          </cell>
          <cell r="SU38">
            <v>0</v>
          </cell>
          <cell r="SV38">
            <v>0</v>
          </cell>
          <cell r="SW38">
            <v>0</v>
          </cell>
          <cell r="SX38">
            <v>0</v>
          </cell>
        </row>
        <row r="39">
          <cell r="SO39">
            <v>0</v>
          </cell>
          <cell r="SP39">
            <v>116.91445272767361</v>
          </cell>
          <cell r="SQ39">
            <v>46.765781091069442</v>
          </cell>
          <cell r="SR39">
            <v>0</v>
          </cell>
          <cell r="SS39">
            <v>116.91445272767361</v>
          </cell>
          <cell r="ST39">
            <v>0</v>
          </cell>
          <cell r="SU39">
            <v>0</v>
          </cell>
          <cell r="SV39">
            <v>116.91445272767361</v>
          </cell>
          <cell r="SW39">
            <v>116.91445272767361</v>
          </cell>
          <cell r="SX39">
            <v>0</v>
          </cell>
        </row>
        <row r="40">
          <cell r="SO40">
            <v>0</v>
          </cell>
          <cell r="SP40">
            <v>232.97397797077812</v>
          </cell>
          <cell r="SQ40">
            <v>93.18959118831124</v>
          </cell>
          <cell r="SR40">
            <v>0</v>
          </cell>
          <cell r="SS40">
            <v>232.97397797077812</v>
          </cell>
          <cell r="ST40">
            <v>0</v>
          </cell>
          <cell r="SU40">
            <v>0</v>
          </cell>
          <cell r="SV40">
            <v>232.97397797077812</v>
          </cell>
          <cell r="SW40">
            <v>232.97397797077812</v>
          </cell>
          <cell r="SX40">
            <v>0</v>
          </cell>
        </row>
        <row r="41">
          <cell r="SO41">
            <v>0</v>
          </cell>
          <cell r="SP41">
            <v>348.2547770812161</v>
          </cell>
          <cell r="SQ41">
            <v>162.5188959712342</v>
          </cell>
          <cell r="SR41">
            <v>0</v>
          </cell>
          <cell r="SS41">
            <v>348.2547770812161</v>
          </cell>
          <cell r="ST41">
            <v>0</v>
          </cell>
          <cell r="SU41">
            <v>0</v>
          </cell>
          <cell r="SV41">
            <v>348.2547770812161</v>
          </cell>
          <cell r="SW41">
            <v>348.2547770812161</v>
          </cell>
          <cell r="SX41">
            <v>0</v>
          </cell>
        </row>
        <row r="42">
          <cell r="SO42">
            <v>0</v>
          </cell>
          <cell r="SP42">
            <v>462.83123078904356</v>
          </cell>
          <cell r="SQ42">
            <v>231.41561539452178</v>
          </cell>
          <cell r="SR42">
            <v>0</v>
          </cell>
          <cell r="SS42">
            <v>462.83123078904356</v>
          </cell>
          <cell r="ST42">
            <v>0</v>
          </cell>
          <cell r="SU42">
            <v>0</v>
          </cell>
          <cell r="SV42">
            <v>462.83123078904356</v>
          </cell>
          <cell r="SW42">
            <v>462.83123078904356</v>
          </cell>
          <cell r="SX42">
            <v>0</v>
          </cell>
        </row>
        <row r="43">
          <cell r="SO43">
            <v>0</v>
          </cell>
          <cell r="SP43">
            <v>576.76070236640896</v>
          </cell>
          <cell r="SQ43">
            <v>322.98599332518904</v>
          </cell>
          <cell r="SR43">
            <v>0</v>
          </cell>
          <cell r="SS43">
            <v>576.76070236640896</v>
          </cell>
          <cell r="ST43">
            <v>0</v>
          </cell>
          <cell r="SU43">
            <v>0</v>
          </cell>
          <cell r="SV43">
            <v>576.76070236640896</v>
          </cell>
          <cell r="SW43">
            <v>576.76070236640896</v>
          </cell>
          <cell r="SX43">
            <v>0</v>
          </cell>
        </row>
        <row r="44">
          <cell r="SO44">
            <v>0</v>
          </cell>
          <cell r="SP44">
            <v>689.9761085630463</v>
          </cell>
          <cell r="SQ44">
            <v>413.98566513782777</v>
          </cell>
          <cell r="SR44">
            <v>0</v>
          </cell>
          <cell r="SS44">
            <v>574.98009046920527</v>
          </cell>
          <cell r="ST44">
            <v>0</v>
          </cell>
          <cell r="SU44">
            <v>0</v>
          </cell>
          <cell r="SV44">
            <v>689.9761085630463</v>
          </cell>
          <cell r="SW44">
            <v>689.9761085630463</v>
          </cell>
          <cell r="SX44">
            <v>0</v>
          </cell>
        </row>
        <row r="45">
          <cell r="SO45">
            <v>0</v>
          </cell>
          <cell r="SP45">
            <v>687.85450355535784</v>
          </cell>
          <cell r="SQ45">
            <v>527.35511939244111</v>
          </cell>
          <cell r="SR45">
            <v>0</v>
          </cell>
          <cell r="SS45">
            <v>573.21208629613159</v>
          </cell>
          <cell r="ST45">
            <v>0</v>
          </cell>
          <cell r="SU45">
            <v>0</v>
          </cell>
          <cell r="SV45">
            <v>687.85450355535784</v>
          </cell>
          <cell r="SW45">
            <v>687.85450355535784</v>
          </cell>
          <cell r="SX45">
            <v>0</v>
          </cell>
        </row>
        <row r="46">
          <cell r="SO46">
            <v>0</v>
          </cell>
          <cell r="SP46">
            <v>685.8094419831134</v>
          </cell>
          <cell r="SQ46">
            <v>640.08881251757259</v>
          </cell>
          <cell r="SR46">
            <v>0</v>
          </cell>
          <cell r="SS46">
            <v>571.50786831926121</v>
          </cell>
          <cell r="ST46">
            <v>0</v>
          </cell>
          <cell r="SU46">
            <v>0</v>
          </cell>
          <cell r="SV46">
            <v>685.8094419831134</v>
          </cell>
          <cell r="SW46">
            <v>685.8094419831134</v>
          </cell>
          <cell r="SX46">
            <v>0</v>
          </cell>
        </row>
        <row r="47">
          <cell r="SO47">
            <v>0</v>
          </cell>
          <cell r="SP47">
            <v>683.84851027726143</v>
          </cell>
          <cell r="SQ47">
            <v>775.02831164756299</v>
          </cell>
          <cell r="SR47">
            <v>0</v>
          </cell>
          <cell r="SS47">
            <v>569.8737585643845</v>
          </cell>
          <cell r="ST47">
            <v>0</v>
          </cell>
          <cell r="SU47">
            <v>0</v>
          </cell>
          <cell r="SV47">
            <v>683.84851027726143</v>
          </cell>
          <cell r="SW47">
            <v>683.84851027726143</v>
          </cell>
          <cell r="SX47">
            <v>0</v>
          </cell>
        </row>
        <row r="48">
          <cell r="SO48">
            <v>0</v>
          </cell>
          <cell r="SP48">
            <v>681.94899273789724</v>
          </cell>
          <cell r="SQ48">
            <v>909.26532365052981</v>
          </cell>
          <cell r="SR48">
            <v>0</v>
          </cell>
          <cell r="SS48">
            <v>568.29082728158107</v>
          </cell>
          <cell r="ST48">
            <v>0</v>
          </cell>
          <cell r="SU48">
            <v>0</v>
          </cell>
          <cell r="SV48">
            <v>681.94899273789724</v>
          </cell>
          <cell r="SW48">
            <v>681.94899273789724</v>
          </cell>
          <cell r="SX48">
            <v>0</v>
          </cell>
        </row>
        <row r="49">
          <cell r="SO49">
            <v>0</v>
          </cell>
          <cell r="SP49">
            <v>680.0494751985326</v>
          </cell>
          <cell r="SQ49">
            <v>1065.4108444777009</v>
          </cell>
          <cell r="SR49">
            <v>0</v>
          </cell>
          <cell r="SS49">
            <v>566.70789599877719</v>
          </cell>
          <cell r="ST49">
            <v>0</v>
          </cell>
          <cell r="SU49">
            <v>0</v>
          </cell>
          <cell r="SV49">
            <v>680.0494751985326</v>
          </cell>
          <cell r="SW49">
            <v>680.0494751985326</v>
          </cell>
          <cell r="SX49">
            <v>0</v>
          </cell>
        </row>
        <row r="50">
          <cell r="SO50">
            <v>0</v>
          </cell>
          <cell r="SP50">
            <v>678.16703989854682</v>
          </cell>
          <cell r="SQ50">
            <v>1198.0951038207661</v>
          </cell>
          <cell r="SR50">
            <v>0</v>
          </cell>
          <cell r="SS50">
            <v>565.13919991545572</v>
          </cell>
          <cell r="ST50">
            <v>0</v>
          </cell>
          <cell r="SU50">
            <v>0</v>
          </cell>
          <cell r="SV50">
            <v>678.16703989854682</v>
          </cell>
          <cell r="SW50">
            <v>678.16703989854682</v>
          </cell>
          <cell r="SX50">
            <v>0</v>
          </cell>
        </row>
        <row r="51">
          <cell r="SO51">
            <v>0</v>
          </cell>
          <cell r="SP51">
            <v>676.39049239070755</v>
          </cell>
          <cell r="SQ51">
            <v>1307.6882852887011</v>
          </cell>
          <cell r="SR51">
            <v>0</v>
          </cell>
          <cell r="SS51">
            <v>563.65874365892296</v>
          </cell>
          <cell r="ST51">
            <v>0</v>
          </cell>
          <cell r="SU51">
            <v>0</v>
          </cell>
          <cell r="SV51">
            <v>676.39049239070755</v>
          </cell>
          <cell r="SW51">
            <v>676.39049239070755</v>
          </cell>
          <cell r="SX51">
            <v>0</v>
          </cell>
        </row>
        <row r="52">
          <cell r="SO52">
            <v>0</v>
          </cell>
          <cell r="SP52">
            <v>674.71293780475548</v>
          </cell>
          <cell r="SQ52">
            <v>1394.406738129828</v>
          </cell>
          <cell r="SR52">
            <v>0</v>
          </cell>
          <cell r="SS52">
            <v>562.2607815039629</v>
          </cell>
          <cell r="ST52">
            <v>0</v>
          </cell>
          <cell r="SU52">
            <v>0</v>
          </cell>
          <cell r="SV52">
            <v>674.71293780475548</v>
          </cell>
          <cell r="SW52">
            <v>674.71293780475548</v>
          </cell>
          <cell r="SX52">
            <v>0</v>
          </cell>
        </row>
        <row r="53">
          <cell r="SO53">
            <v>0</v>
          </cell>
          <cell r="SP53">
            <v>673.11729390131097</v>
          </cell>
          <cell r="SQ53">
            <v>1458.4208034528403</v>
          </cell>
          <cell r="SR53">
            <v>0</v>
          </cell>
          <cell r="SS53">
            <v>560.93107825109246</v>
          </cell>
          <cell r="ST53">
            <v>0</v>
          </cell>
          <cell r="SU53">
            <v>0</v>
          </cell>
          <cell r="SV53">
            <v>673.11729390131097</v>
          </cell>
          <cell r="SW53">
            <v>673.11729390131097</v>
          </cell>
          <cell r="SX53">
            <v>0</v>
          </cell>
        </row>
        <row r="54">
          <cell r="SO54">
            <v>0</v>
          </cell>
          <cell r="SP54">
            <v>671.51961062578755</v>
          </cell>
          <cell r="SQ54">
            <v>1499.7271303975924</v>
          </cell>
          <cell r="SR54">
            <v>0</v>
          </cell>
          <cell r="SS54">
            <v>559.59967552148964</v>
          </cell>
          <cell r="ST54">
            <v>0</v>
          </cell>
          <cell r="SU54">
            <v>0</v>
          </cell>
          <cell r="SV54">
            <v>671.51961062578755</v>
          </cell>
          <cell r="SW54">
            <v>671.51961062578755</v>
          </cell>
          <cell r="SX54">
            <v>0</v>
          </cell>
        </row>
        <row r="55">
          <cell r="SO55">
            <v>0</v>
          </cell>
          <cell r="SP55">
            <v>669.92228101893431</v>
          </cell>
          <cell r="SQ55">
            <v>1518.4905036429179</v>
          </cell>
          <cell r="SR55">
            <v>0</v>
          </cell>
          <cell r="SS55">
            <v>558.26856751577861</v>
          </cell>
          <cell r="ST55">
            <v>0</v>
          </cell>
          <cell r="SU55">
            <v>0</v>
          </cell>
          <cell r="SV55">
            <v>669.92228101893431</v>
          </cell>
          <cell r="SW55">
            <v>669.92228101893431</v>
          </cell>
          <cell r="SX55">
            <v>0</v>
          </cell>
        </row>
        <row r="56">
          <cell r="SO56">
            <v>0</v>
          </cell>
          <cell r="SP56">
            <v>668.30344314924457</v>
          </cell>
          <cell r="SQ56">
            <v>1514.8211378049546</v>
          </cell>
          <cell r="SR56">
            <v>0</v>
          </cell>
          <cell r="SS56">
            <v>556.91953595770383</v>
          </cell>
          <cell r="ST56">
            <v>0</v>
          </cell>
          <cell r="SU56">
            <v>0</v>
          </cell>
          <cell r="SV56">
            <v>668.30344314924457</v>
          </cell>
          <cell r="SW56">
            <v>668.30344314924457</v>
          </cell>
          <cell r="SX56">
            <v>0</v>
          </cell>
        </row>
        <row r="57">
          <cell r="SO57">
            <v>0</v>
          </cell>
          <cell r="SP57">
            <v>666.66513638879746</v>
          </cell>
          <cell r="SQ57">
            <v>1511.1076424812743</v>
          </cell>
          <cell r="SR57">
            <v>0</v>
          </cell>
          <cell r="SS57">
            <v>555.55428032399789</v>
          </cell>
          <cell r="ST57">
            <v>0</v>
          </cell>
          <cell r="SU57">
            <v>0</v>
          </cell>
          <cell r="SV57">
            <v>666.66513638879746</v>
          </cell>
          <cell r="SW57">
            <v>666.66513638879746</v>
          </cell>
          <cell r="SX57">
            <v>0</v>
          </cell>
        </row>
        <row r="58">
          <cell r="SO58">
            <v>0</v>
          </cell>
          <cell r="SP58">
            <v>665.00897179218134</v>
          </cell>
          <cell r="SQ58">
            <v>1507.3536693956114</v>
          </cell>
          <cell r="SR58">
            <v>0</v>
          </cell>
          <cell r="SS58">
            <v>554.17414316015117</v>
          </cell>
          <cell r="ST58">
            <v>0</v>
          </cell>
          <cell r="SU58">
            <v>0</v>
          </cell>
          <cell r="SV58">
            <v>665.00897179218134</v>
          </cell>
          <cell r="SW58">
            <v>665.00897179218134</v>
          </cell>
          <cell r="SX58">
            <v>0</v>
          </cell>
        </row>
        <row r="59">
          <cell r="SO59">
            <v>0</v>
          </cell>
          <cell r="SP59">
            <v>663.3570352373672</v>
          </cell>
          <cell r="SQ59">
            <v>1503.6092798713657</v>
          </cell>
          <cell r="SR59">
            <v>0</v>
          </cell>
          <cell r="SS59">
            <v>552.79752936447267</v>
          </cell>
          <cell r="ST59">
            <v>0</v>
          </cell>
          <cell r="SU59">
            <v>0</v>
          </cell>
          <cell r="SV59">
            <v>663.3570352373672</v>
          </cell>
          <cell r="SW59">
            <v>663.3570352373672</v>
          </cell>
          <cell r="SX59">
            <v>0</v>
          </cell>
        </row>
        <row r="60">
          <cell r="SO60">
            <v>0</v>
          </cell>
          <cell r="SP60">
            <v>661.70298466165229</v>
          </cell>
          <cell r="SQ60">
            <v>1499.860098566412</v>
          </cell>
          <cell r="SR60">
            <v>0</v>
          </cell>
          <cell r="SS60">
            <v>551.41915388471023</v>
          </cell>
          <cell r="ST60">
            <v>0</v>
          </cell>
          <cell r="SU60">
            <v>0</v>
          </cell>
          <cell r="SV60">
            <v>661.70298466165229</v>
          </cell>
          <cell r="SW60">
            <v>661.70298466165229</v>
          </cell>
          <cell r="SX60">
            <v>0</v>
          </cell>
        </row>
        <row r="61">
          <cell r="SO61">
            <v>0</v>
          </cell>
          <cell r="SP61">
            <v>660.04893408593693</v>
          </cell>
          <cell r="SQ61">
            <v>1496.1109172614572</v>
          </cell>
          <cell r="SR61">
            <v>0</v>
          </cell>
          <cell r="SS61">
            <v>550.04077840494745</v>
          </cell>
          <cell r="ST61">
            <v>0</v>
          </cell>
          <cell r="SU61">
            <v>0</v>
          </cell>
          <cell r="SV61">
            <v>660.04893408593693</v>
          </cell>
          <cell r="SW61">
            <v>660.04893408593693</v>
          </cell>
          <cell r="SX61">
            <v>0</v>
          </cell>
        </row>
        <row r="62">
          <cell r="SO62">
            <v>0</v>
          </cell>
          <cell r="SP62">
            <v>658.39276948932081</v>
          </cell>
          <cell r="SQ62">
            <v>1492.3569441757941</v>
          </cell>
          <cell r="SR62">
            <v>0</v>
          </cell>
          <cell r="SS62">
            <v>548.66064124110073</v>
          </cell>
          <cell r="ST62">
            <v>0</v>
          </cell>
          <cell r="SU62">
            <v>0</v>
          </cell>
          <cell r="SV62">
            <v>658.39276948932081</v>
          </cell>
          <cell r="SW62">
            <v>658.39276948932081</v>
          </cell>
          <cell r="SX62">
            <v>0</v>
          </cell>
        </row>
        <row r="63">
          <cell r="SO63">
            <v>0</v>
          </cell>
          <cell r="SP63">
            <v>656.74083293450667</v>
          </cell>
          <cell r="SQ63">
            <v>1488.6125546515486</v>
          </cell>
          <cell r="SR63">
            <v>0</v>
          </cell>
          <cell r="SS63">
            <v>547.28402744542223</v>
          </cell>
          <cell r="ST63">
            <v>0</v>
          </cell>
          <cell r="SU63">
            <v>0</v>
          </cell>
          <cell r="SV63">
            <v>656.74083293450667</v>
          </cell>
          <cell r="SW63">
            <v>656.74083293450667</v>
          </cell>
          <cell r="SX63">
            <v>0</v>
          </cell>
        </row>
        <row r="64">
          <cell r="SO64">
            <v>0</v>
          </cell>
          <cell r="SP64">
            <v>538.17232963111792</v>
          </cell>
          <cell r="SQ64">
            <v>1438.0975922555251</v>
          </cell>
          <cell r="SR64">
            <v>0</v>
          </cell>
          <cell r="SS64">
            <v>428.99119923798605</v>
          </cell>
          <cell r="ST64">
            <v>0</v>
          </cell>
          <cell r="SU64">
            <v>0</v>
          </cell>
          <cell r="SV64">
            <v>538.17232963111792</v>
          </cell>
          <cell r="SW64">
            <v>538.17232963111792</v>
          </cell>
          <cell r="SX64">
            <v>0</v>
          </cell>
        </row>
        <row r="100">
          <cell r="SO100">
            <v>0</v>
          </cell>
          <cell r="SP100">
            <v>0</v>
          </cell>
          <cell r="SQ100">
            <v>0</v>
          </cell>
          <cell r="SR100">
            <v>0</v>
          </cell>
          <cell r="SS100">
            <v>0</v>
          </cell>
          <cell r="ST100">
            <v>0</v>
          </cell>
          <cell r="SU100">
            <v>0</v>
          </cell>
          <cell r="SV100">
            <v>0</v>
          </cell>
          <cell r="SW100">
            <v>0</v>
          </cell>
          <cell r="SX100">
            <v>0</v>
          </cell>
        </row>
        <row r="101">
          <cell r="SO101">
            <v>0</v>
          </cell>
          <cell r="SP101">
            <v>0</v>
          </cell>
          <cell r="SQ101">
            <v>0</v>
          </cell>
          <cell r="SR101">
            <v>353.46447850891735</v>
          </cell>
          <cell r="SS101">
            <v>0</v>
          </cell>
          <cell r="ST101">
            <v>0</v>
          </cell>
          <cell r="SU101">
            <v>0</v>
          </cell>
          <cell r="SV101">
            <v>0</v>
          </cell>
          <cell r="SW101">
            <v>0</v>
          </cell>
          <cell r="SX101">
            <v>0</v>
          </cell>
        </row>
        <row r="102">
          <cell r="SO102">
            <v>0</v>
          </cell>
          <cell r="SP102">
            <v>0</v>
          </cell>
          <cell r="SQ102">
            <v>0</v>
          </cell>
          <cell r="SR102">
            <v>704.07734346948803</v>
          </cell>
          <cell r="SS102">
            <v>0</v>
          </cell>
          <cell r="ST102">
            <v>0</v>
          </cell>
          <cell r="SU102">
            <v>0</v>
          </cell>
          <cell r="SV102">
            <v>0</v>
          </cell>
          <cell r="SW102">
            <v>0</v>
          </cell>
          <cell r="SX102">
            <v>0</v>
          </cell>
        </row>
        <row r="103">
          <cell r="SO103">
            <v>0</v>
          </cell>
          <cell r="SP103">
            <v>701.48671636604161</v>
          </cell>
          <cell r="SQ103">
            <v>233.82890545534721</v>
          </cell>
          <cell r="SR103">
            <v>1169.144527276736</v>
          </cell>
          <cell r="SS103">
            <v>701.48671636604161</v>
          </cell>
          <cell r="ST103">
            <v>0</v>
          </cell>
          <cell r="SU103">
            <v>0</v>
          </cell>
          <cell r="SV103">
            <v>116.91445272767361</v>
          </cell>
          <cell r="SW103">
            <v>116.91445272767361</v>
          </cell>
          <cell r="SX103">
            <v>233.82890545534721</v>
          </cell>
        </row>
        <row r="104">
          <cell r="SO104">
            <v>0</v>
          </cell>
          <cell r="SP104">
            <v>698.92193391233434</v>
          </cell>
          <cell r="SQ104">
            <v>232.97397797077812</v>
          </cell>
          <cell r="SR104">
            <v>1747.3048347808358</v>
          </cell>
          <cell r="SS104">
            <v>698.92193391233434</v>
          </cell>
          <cell r="ST104">
            <v>0</v>
          </cell>
          <cell r="SU104">
            <v>0</v>
          </cell>
          <cell r="SV104">
            <v>232.97397797077812</v>
          </cell>
          <cell r="SW104">
            <v>232.97397797077812</v>
          </cell>
          <cell r="SX104">
            <v>349.46096695616717</v>
          </cell>
        </row>
        <row r="105">
          <cell r="SO105">
            <v>0</v>
          </cell>
          <cell r="SP105">
            <v>696.50955416243221</v>
          </cell>
          <cell r="SQ105">
            <v>232.16985138747742</v>
          </cell>
          <cell r="SR105">
            <v>2089.528662487297</v>
          </cell>
          <cell r="SS105">
            <v>696.50955416243221</v>
          </cell>
          <cell r="ST105">
            <v>0</v>
          </cell>
          <cell r="SU105">
            <v>0</v>
          </cell>
          <cell r="SV105">
            <v>348.2547770812161</v>
          </cell>
          <cell r="SW105">
            <v>348.2547770812161</v>
          </cell>
          <cell r="SX105">
            <v>464.33970277495484</v>
          </cell>
        </row>
        <row r="106">
          <cell r="SO106">
            <v>0</v>
          </cell>
          <cell r="SP106">
            <v>694.24684618356525</v>
          </cell>
          <cell r="SQ106">
            <v>231.41561539452178</v>
          </cell>
          <cell r="SR106">
            <v>2314.1561539452177</v>
          </cell>
          <cell r="SS106">
            <v>694.24684618356525</v>
          </cell>
          <cell r="ST106">
            <v>0</v>
          </cell>
          <cell r="SU106">
            <v>0</v>
          </cell>
          <cell r="SV106">
            <v>462.83123078904356</v>
          </cell>
          <cell r="SW106">
            <v>462.83123078904356</v>
          </cell>
          <cell r="SX106">
            <v>578.53903848630443</v>
          </cell>
        </row>
        <row r="107">
          <cell r="SO107">
            <v>0</v>
          </cell>
          <cell r="SP107">
            <v>692.11284283969076</v>
          </cell>
          <cell r="SQ107">
            <v>230.70428094656359</v>
          </cell>
          <cell r="SR107">
            <v>2307.0428094656359</v>
          </cell>
          <cell r="SS107">
            <v>692.11284283969076</v>
          </cell>
          <cell r="ST107">
            <v>0</v>
          </cell>
          <cell r="SU107">
            <v>0</v>
          </cell>
          <cell r="SV107">
            <v>576.76070236640896</v>
          </cell>
          <cell r="SW107">
            <v>576.76070236640896</v>
          </cell>
          <cell r="SX107">
            <v>692.11284283969076</v>
          </cell>
        </row>
        <row r="108">
          <cell r="SO108">
            <v>0</v>
          </cell>
          <cell r="SP108">
            <v>689.9761085630463</v>
          </cell>
          <cell r="SQ108">
            <v>229.99203618768212</v>
          </cell>
          <cell r="SR108">
            <v>2299.9203618768211</v>
          </cell>
          <cell r="SS108">
            <v>689.9761085630463</v>
          </cell>
          <cell r="ST108">
            <v>0</v>
          </cell>
          <cell r="SU108">
            <v>0</v>
          </cell>
          <cell r="SV108">
            <v>689.9761085630463</v>
          </cell>
          <cell r="SW108">
            <v>689.9761085630463</v>
          </cell>
          <cell r="SX108">
            <v>689.9761085630463</v>
          </cell>
        </row>
        <row r="109">
          <cell r="SO109">
            <v>0</v>
          </cell>
          <cell r="SP109">
            <v>687.85450355535784</v>
          </cell>
          <cell r="SQ109">
            <v>229.28483451845264</v>
          </cell>
          <cell r="SR109">
            <v>2292.8483451845264</v>
          </cell>
          <cell r="SS109">
            <v>687.85450355535784</v>
          </cell>
          <cell r="ST109">
            <v>0</v>
          </cell>
          <cell r="SU109">
            <v>0</v>
          </cell>
          <cell r="SV109">
            <v>687.85450355535784</v>
          </cell>
          <cell r="SW109">
            <v>687.85450355535784</v>
          </cell>
          <cell r="SX109">
            <v>687.85450355535784</v>
          </cell>
        </row>
        <row r="110">
          <cell r="SO110">
            <v>0</v>
          </cell>
          <cell r="SP110">
            <v>685.8094419831134</v>
          </cell>
          <cell r="SQ110">
            <v>228.60314732770451</v>
          </cell>
          <cell r="SR110">
            <v>2286.0314732770448</v>
          </cell>
          <cell r="SS110">
            <v>685.8094419831134</v>
          </cell>
          <cell r="ST110">
            <v>0</v>
          </cell>
          <cell r="SU110">
            <v>0</v>
          </cell>
          <cell r="SV110">
            <v>685.8094419831134</v>
          </cell>
          <cell r="SW110">
            <v>685.8094419831134</v>
          </cell>
          <cell r="SX110">
            <v>685.8094419831134</v>
          </cell>
        </row>
        <row r="111">
          <cell r="SO111">
            <v>0</v>
          </cell>
          <cell r="SP111">
            <v>683.84851027726143</v>
          </cell>
          <cell r="SQ111">
            <v>227.94950342575382</v>
          </cell>
          <cell r="SR111">
            <v>2279.495034257538</v>
          </cell>
          <cell r="SS111">
            <v>683.84851027726143</v>
          </cell>
          <cell r="ST111">
            <v>0</v>
          </cell>
          <cell r="SU111">
            <v>0</v>
          </cell>
          <cell r="SV111">
            <v>683.84851027726143</v>
          </cell>
          <cell r="SW111">
            <v>683.84851027726143</v>
          </cell>
          <cell r="SX111">
            <v>683.84851027726143</v>
          </cell>
        </row>
        <row r="112">
          <cell r="SO112">
            <v>0</v>
          </cell>
          <cell r="SP112">
            <v>681.94899273789724</v>
          </cell>
          <cell r="SQ112">
            <v>227.31633091263245</v>
          </cell>
          <cell r="SR112">
            <v>2273.1633091263243</v>
          </cell>
          <cell r="SS112">
            <v>681.94899273789724</v>
          </cell>
          <cell r="ST112">
            <v>0</v>
          </cell>
          <cell r="SU112">
            <v>0</v>
          </cell>
          <cell r="SV112">
            <v>681.94899273789724</v>
          </cell>
          <cell r="SW112">
            <v>681.94899273789724</v>
          </cell>
          <cell r="SX112">
            <v>681.94899273789724</v>
          </cell>
        </row>
        <row r="113">
          <cell r="SO113">
            <v>0</v>
          </cell>
          <cell r="SP113">
            <v>680.0494751985326</v>
          </cell>
          <cell r="SQ113">
            <v>226.68315839951089</v>
          </cell>
          <cell r="SR113">
            <v>2266.8315839951088</v>
          </cell>
          <cell r="SS113">
            <v>680.0494751985326</v>
          </cell>
          <cell r="ST113">
            <v>0</v>
          </cell>
          <cell r="SU113">
            <v>0</v>
          </cell>
          <cell r="SV113">
            <v>680.0494751985326</v>
          </cell>
          <cell r="SW113">
            <v>680.0494751985326</v>
          </cell>
          <cell r="SX113">
            <v>680.0494751985326</v>
          </cell>
        </row>
        <row r="114">
          <cell r="SO114">
            <v>0</v>
          </cell>
          <cell r="SP114">
            <v>678.16703989854682</v>
          </cell>
          <cell r="SQ114">
            <v>226.05567996618231</v>
          </cell>
          <cell r="SR114">
            <v>2260.5567996618229</v>
          </cell>
          <cell r="SS114">
            <v>678.16703989854682</v>
          </cell>
          <cell r="ST114">
            <v>0</v>
          </cell>
          <cell r="SU114">
            <v>0</v>
          </cell>
          <cell r="SV114">
            <v>678.16703989854682</v>
          </cell>
          <cell r="SW114">
            <v>678.16703989854682</v>
          </cell>
          <cell r="SX114">
            <v>678.16703989854682</v>
          </cell>
        </row>
        <row r="115">
          <cell r="SO115">
            <v>0</v>
          </cell>
          <cell r="SP115">
            <v>676.39049239070755</v>
          </cell>
          <cell r="SQ115">
            <v>225.46349746356918</v>
          </cell>
          <cell r="SR115">
            <v>2254.6349746356918</v>
          </cell>
          <cell r="SS115">
            <v>676.39049239070755</v>
          </cell>
          <cell r="ST115">
            <v>0</v>
          </cell>
          <cell r="SU115">
            <v>0</v>
          </cell>
          <cell r="SV115">
            <v>676.39049239070755</v>
          </cell>
          <cell r="SW115">
            <v>676.39049239070755</v>
          </cell>
          <cell r="SX115">
            <v>676.39049239070755</v>
          </cell>
        </row>
        <row r="116">
          <cell r="SO116">
            <v>0</v>
          </cell>
          <cell r="SP116">
            <v>674.71293780475548</v>
          </cell>
          <cell r="SQ116">
            <v>224.90431260158516</v>
          </cell>
          <cell r="SR116">
            <v>2249.0431260158516</v>
          </cell>
          <cell r="SS116">
            <v>674.71293780475548</v>
          </cell>
          <cell r="ST116">
            <v>0</v>
          </cell>
          <cell r="SU116">
            <v>0</v>
          </cell>
          <cell r="SV116">
            <v>674.71293780475548</v>
          </cell>
          <cell r="SW116">
            <v>674.71293780475548</v>
          </cell>
          <cell r="SX116">
            <v>674.71293780475548</v>
          </cell>
        </row>
        <row r="117">
          <cell r="SO117">
            <v>0</v>
          </cell>
          <cell r="SP117">
            <v>673.11729390131097</v>
          </cell>
          <cell r="SQ117">
            <v>224.372431300437</v>
          </cell>
          <cell r="SR117">
            <v>2243.7243130043698</v>
          </cell>
          <cell r="SS117">
            <v>673.11729390131097</v>
          </cell>
          <cell r="ST117">
            <v>0</v>
          </cell>
          <cell r="SU117">
            <v>0</v>
          </cell>
          <cell r="SV117">
            <v>673.11729390131097</v>
          </cell>
          <cell r="SW117">
            <v>673.11729390131097</v>
          </cell>
          <cell r="SX117">
            <v>673.11729390131097</v>
          </cell>
        </row>
        <row r="118">
          <cell r="SO118">
            <v>0</v>
          </cell>
          <cell r="SP118">
            <v>671.51961062578755</v>
          </cell>
          <cell r="SQ118">
            <v>223.83987020859587</v>
          </cell>
          <cell r="SR118">
            <v>2238.3987020859586</v>
          </cell>
          <cell r="SS118">
            <v>671.51961062578755</v>
          </cell>
          <cell r="ST118">
            <v>0</v>
          </cell>
          <cell r="SU118">
            <v>0</v>
          </cell>
          <cell r="SV118">
            <v>671.51961062578755</v>
          </cell>
          <cell r="SW118">
            <v>671.51961062578755</v>
          </cell>
          <cell r="SX118">
            <v>671.51961062578755</v>
          </cell>
        </row>
        <row r="119">
          <cell r="SO119">
            <v>0</v>
          </cell>
          <cell r="SP119">
            <v>669.92228101893431</v>
          </cell>
          <cell r="SQ119">
            <v>223.30742700631146</v>
          </cell>
          <cell r="SR119">
            <v>2233.0742700631145</v>
          </cell>
          <cell r="SS119">
            <v>669.92228101893431</v>
          </cell>
          <cell r="ST119">
            <v>0</v>
          </cell>
          <cell r="SU119">
            <v>0</v>
          </cell>
          <cell r="SV119">
            <v>669.92228101893431</v>
          </cell>
          <cell r="SW119">
            <v>669.92228101893431</v>
          </cell>
          <cell r="SX119">
            <v>669.92228101893431</v>
          </cell>
        </row>
        <row r="120">
          <cell r="SO120">
            <v>0</v>
          </cell>
          <cell r="SP120">
            <v>668.30344314924457</v>
          </cell>
          <cell r="SQ120">
            <v>222.76781438308154</v>
          </cell>
          <cell r="SR120">
            <v>2227.6781438308153</v>
          </cell>
          <cell r="SS120">
            <v>668.30344314924457</v>
          </cell>
          <cell r="ST120">
            <v>0</v>
          </cell>
          <cell r="SU120">
            <v>0</v>
          </cell>
          <cell r="SV120">
            <v>668.30344314924457</v>
          </cell>
          <cell r="SW120">
            <v>668.30344314924457</v>
          </cell>
          <cell r="SX120">
            <v>668.30344314924457</v>
          </cell>
        </row>
        <row r="121">
          <cell r="SO121">
            <v>0</v>
          </cell>
          <cell r="SP121">
            <v>666.66513638879746</v>
          </cell>
          <cell r="SQ121">
            <v>222.22171212959915</v>
          </cell>
          <cell r="SR121">
            <v>2222.2171212959915</v>
          </cell>
          <cell r="SS121">
            <v>666.66513638879746</v>
          </cell>
          <cell r="ST121">
            <v>0</v>
          </cell>
          <cell r="SU121">
            <v>0</v>
          </cell>
          <cell r="SV121">
            <v>666.66513638879746</v>
          </cell>
          <cell r="SW121">
            <v>666.66513638879746</v>
          </cell>
          <cell r="SX121">
            <v>666.66513638879746</v>
          </cell>
        </row>
        <row r="122">
          <cell r="SO122">
            <v>0</v>
          </cell>
          <cell r="SP122">
            <v>665.00897179218134</v>
          </cell>
          <cell r="SQ122">
            <v>221.66965726406048</v>
          </cell>
          <cell r="SR122">
            <v>2216.6965726406047</v>
          </cell>
          <cell r="SS122">
            <v>665.00897179218134</v>
          </cell>
          <cell r="ST122">
            <v>0</v>
          </cell>
          <cell r="SU122">
            <v>0</v>
          </cell>
          <cell r="SV122">
            <v>665.00897179218134</v>
          </cell>
          <cell r="SW122">
            <v>665.00897179218134</v>
          </cell>
          <cell r="SX122">
            <v>665.00897179218134</v>
          </cell>
        </row>
        <row r="123">
          <cell r="SO123">
            <v>0</v>
          </cell>
          <cell r="SP123">
            <v>663.3570352373672</v>
          </cell>
          <cell r="SQ123">
            <v>221.11901174578907</v>
          </cell>
          <cell r="SR123">
            <v>2211.1901174578907</v>
          </cell>
          <cell r="SS123">
            <v>663.3570352373672</v>
          </cell>
          <cell r="ST123">
            <v>0</v>
          </cell>
          <cell r="SU123">
            <v>0</v>
          </cell>
          <cell r="SV123">
            <v>663.3570352373672</v>
          </cell>
          <cell r="SW123">
            <v>663.3570352373672</v>
          </cell>
          <cell r="SX123">
            <v>663.3570352373672</v>
          </cell>
        </row>
        <row r="124">
          <cell r="SO124">
            <v>0</v>
          </cell>
          <cell r="SP124">
            <v>661.70298466165229</v>
          </cell>
          <cell r="SQ124">
            <v>220.56766155388411</v>
          </cell>
          <cell r="SR124">
            <v>2205.6766155388409</v>
          </cell>
          <cell r="SS124">
            <v>661.70298466165229</v>
          </cell>
          <cell r="ST124">
            <v>0</v>
          </cell>
          <cell r="SU124">
            <v>0</v>
          </cell>
          <cell r="SV124">
            <v>661.70298466165229</v>
          </cell>
          <cell r="SW124">
            <v>661.70298466165229</v>
          </cell>
          <cell r="SX124">
            <v>661.70298466165229</v>
          </cell>
        </row>
        <row r="125">
          <cell r="SO125">
            <v>0</v>
          </cell>
          <cell r="SP125">
            <v>660.04893408593693</v>
          </cell>
          <cell r="SQ125">
            <v>220.01631136197898</v>
          </cell>
          <cell r="SR125">
            <v>2200.1631136197898</v>
          </cell>
          <cell r="SS125">
            <v>660.04893408593693</v>
          </cell>
          <cell r="ST125">
            <v>0</v>
          </cell>
          <cell r="SU125">
            <v>0</v>
          </cell>
          <cell r="SV125">
            <v>660.04893408593693</v>
          </cell>
          <cell r="SW125">
            <v>660.04893408593693</v>
          </cell>
          <cell r="SX125">
            <v>660.04893408593693</v>
          </cell>
        </row>
        <row r="126">
          <cell r="SO126">
            <v>0</v>
          </cell>
          <cell r="SP126">
            <v>658.39276948932081</v>
          </cell>
          <cell r="SQ126">
            <v>219.4642564964403</v>
          </cell>
          <cell r="SR126">
            <v>1841.1780864554855</v>
          </cell>
          <cell r="SS126">
            <v>658.39276948932081</v>
          </cell>
          <cell r="ST126">
            <v>0</v>
          </cell>
          <cell r="SU126">
            <v>0</v>
          </cell>
          <cell r="SV126">
            <v>658.39276948932081</v>
          </cell>
          <cell r="SW126">
            <v>658.39276948932081</v>
          </cell>
          <cell r="SX126">
            <v>658.39276948932081</v>
          </cell>
        </row>
        <row r="127">
          <cell r="SO127">
            <v>0</v>
          </cell>
          <cell r="SP127">
            <v>656.74083293450667</v>
          </cell>
          <cell r="SQ127">
            <v>218.91361097816889</v>
          </cell>
          <cell r="SR127">
            <v>1485.058766312201</v>
          </cell>
          <cell r="SS127">
            <v>656.74083293450667</v>
          </cell>
          <cell r="ST127">
            <v>0</v>
          </cell>
          <cell r="SU127">
            <v>0</v>
          </cell>
          <cell r="SV127">
            <v>656.74083293450667</v>
          </cell>
          <cell r="SW127">
            <v>656.74083293450667</v>
          </cell>
          <cell r="SX127">
            <v>656.74083293450667</v>
          </cell>
        </row>
        <row r="128">
          <cell r="SO128">
            <v>0</v>
          </cell>
          <cell r="SP128">
            <v>-46.399934007250067</v>
          </cell>
          <cell r="SQ128">
            <v>-15.466644669083337</v>
          </cell>
          <cell r="SR128">
            <v>1014.4780805859027</v>
          </cell>
          <cell r="SS128">
            <v>-46.399934007250067</v>
          </cell>
          <cell r="ST128">
            <v>0</v>
          </cell>
          <cell r="SU128">
            <v>0</v>
          </cell>
          <cell r="SV128">
            <v>538.17232963111792</v>
          </cell>
          <cell r="SW128">
            <v>538.17232963111792</v>
          </cell>
          <cell r="SX128">
            <v>421.2578769034443</v>
          </cell>
        </row>
      </sheetData>
      <sheetData sheetId="4">
        <row r="3">
          <cell r="SQ3">
            <v>1090.9376985442723</v>
          </cell>
          <cell r="SR3">
            <v>1090.9376985442723</v>
          </cell>
          <cell r="SS3">
            <v>1090.9376985442723</v>
          </cell>
          <cell r="ST3">
            <v>1090.9376985442723</v>
          </cell>
          <cell r="SU3">
            <v>1090.9376985442723</v>
          </cell>
          <cell r="SV3">
            <v>1090.9376985442723</v>
          </cell>
          <cell r="SW3">
            <v>1090.9376985442723</v>
          </cell>
          <cell r="SX3">
            <v>1090.9376985442723</v>
          </cell>
          <cell r="SY3">
            <v>1090.9376985442723</v>
          </cell>
          <cell r="SZ3">
            <v>1090.9376985442723</v>
          </cell>
        </row>
        <row r="4">
          <cell r="SQ4">
            <v>791.33335060289392</v>
          </cell>
          <cell r="SR4">
            <v>791.33335060289392</v>
          </cell>
          <cell r="SS4">
            <v>791.33335060289392</v>
          </cell>
          <cell r="ST4">
            <v>791.33335060289392</v>
          </cell>
          <cell r="SU4">
            <v>791.33335060289392</v>
          </cell>
          <cell r="SV4">
            <v>791.33335060289392</v>
          </cell>
          <cell r="SW4">
            <v>791.33335060289392</v>
          </cell>
          <cell r="SX4">
            <v>791.33335060289392</v>
          </cell>
          <cell r="SY4">
            <v>791.33335060289392</v>
          </cell>
          <cell r="SZ4">
            <v>791.33335060289392</v>
          </cell>
        </row>
        <row r="5">
          <cell r="SQ5">
            <v>824.14628020405507</v>
          </cell>
          <cell r="SR5">
            <v>824.14628020405507</v>
          </cell>
          <cell r="SS5">
            <v>824.14628020405507</v>
          </cell>
          <cell r="ST5">
            <v>824.14628020405507</v>
          </cell>
          <cell r="SU5">
            <v>824.14628020405507</v>
          </cell>
          <cell r="SV5">
            <v>824.14628020405507</v>
          </cell>
          <cell r="SW5">
            <v>824.14628020405507</v>
          </cell>
          <cell r="SX5">
            <v>824.14628020405507</v>
          </cell>
          <cell r="SY5">
            <v>824.14628020405507</v>
          </cell>
          <cell r="SZ5">
            <v>824.14628020405507</v>
          </cell>
        </row>
        <row r="6">
          <cell r="SQ6">
            <v>924.56661000241002</v>
          </cell>
          <cell r="SR6">
            <v>924.56661000241002</v>
          </cell>
          <cell r="SS6">
            <v>924.56661000241002</v>
          </cell>
          <cell r="ST6">
            <v>924.56661000241002</v>
          </cell>
          <cell r="SU6">
            <v>0</v>
          </cell>
          <cell r="SV6">
            <v>0</v>
          </cell>
          <cell r="SW6">
            <v>0</v>
          </cell>
          <cell r="SX6">
            <v>924.56661000241002</v>
          </cell>
          <cell r="SY6">
            <v>924.56661000241002</v>
          </cell>
          <cell r="SZ6">
            <v>924.56661000241002</v>
          </cell>
        </row>
        <row r="7">
          <cell r="SQ7">
            <v>998.74274850066286</v>
          </cell>
          <cell r="SR7">
            <v>998.74274850066286</v>
          </cell>
          <cell r="SS7">
            <v>998.74274850066286</v>
          </cell>
          <cell r="ST7">
            <v>998.74274850066286</v>
          </cell>
          <cell r="SU7">
            <v>0</v>
          </cell>
          <cell r="SV7">
            <v>0</v>
          </cell>
          <cell r="SW7">
            <v>0</v>
          </cell>
          <cell r="SX7">
            <v>998.74274850066286</v>
          </cell>
          <cell r="SY7">
            <v>998.74274850066286</v>
          </cell>
          <cell r="SZ7">
            <v>998.74274850066286</v>
          </cell>
        </row>
        <row r="8">
          <cell r="SQ8">
            <v>938.2758426278524</v>
          </cell>
          <cell r="SR8">
            <v>938.2758426278524</v>
          </cell>
          <cell r="SS8">
            <v>938.2758426278524</v>
          </cell>
          <cell r="ST8">
            <v>938.2758426278524</v>
          </cell>
          <cell r="SU8">
            <v>0</v>
          </cell>
          <cell r="SV8">
            <v>0</v>
          </cell>
          <cell r="SW8">
            <v>0</v>
          </cell>
          <cell r="SX8">
            <v>938.2758426278524</v>
          </cell>
          <cell r="SY8">
            <v>938.2758426278524</v>
          </cell>
          <cell r="SZ8">
            <v>938.2758426278524</v>
          </cell>
        </row>
        <row r="9">
          <cell r="SQ9">
            <v>878.86835788714234</v>
          </cell>
          <cell r="SR9">
            <v>878.86835788714234</v>
          </cell>
          <cell r="SS9">
            <v>878.86835788714234</v>
          </cell>
          <cell r="ST9">
            <v>878.86835788714234</v>
          </cell>
          <cell r="SU9">
            <v>0</v>
          </cell>
          <cell r="SV9">
            <v>0</v>
          </cell>
          <cell r="SW9">
            <v>0</v>
          </cell>
          <cell r="SX9">
            <v>878.86835788714234</v>
          </cell>
          <cell r="SY9">
            <v>878.86835788714234</v>
          </cell>
          <cell r="SZ9">
            <v>878.86835788714234</v>
          </cell>
        </row>
        <row r="10">
          <cell r="SQ10">
            <v>827.85203051302233</v>
          </cell>
          <cell r="SR10">
            <v>827.85203051302233</v>
          </cell>
          <cell r="SS10">
            <v>827.85203051302233</v>
          </cell>
          <cell r="ST10">
            <v>827.85203051302233</v>
          </cell>
          <cell r="SU10">
            <v>0</v>
          </cell>
          <cell r="SV10">
            <v>0</v>
          </cell>
          <cell r="SW10">
            <v>0</v>
          </cell>
          <cell r="SX10">
            <v>827.85203051302233</v>
          </cell>
          <cell r="SY10">
            <v>827.85203051302233</v>
          </cell>
          <cell r="SZ10">
            <v>827.85203051302233</v>
          </cell>
        </row>
        <row r="11">
          <cell r="SQ11">
            <v>828.91145164516638</v>
          </cell>
          <cell r="SR11">
            <v>828.91145164516638</v>
          </cell>
          <cell r="SS11">
            <v>828.91145164516638</v>
          </cell>
          <cell r="ST11">
            <v>828.91145164516638</v>
          </cell>
          <cell r="SU11">
            <v>0</v>
          </cell>
          <cell r="SV11">
            <v>0</v>
          </cell>
          <cell r="SW11">
            <v>0</v>
          </cell>
          <cell r="SX11">
            <v>828.91145164516638</v>
          </cell>
          <cell r="SY11">
            <v>828.91145164516638</v>
          </cell>
          <cell r="SZ11">
            <v>828.91145164516638</v>
          </cell>
        </row>
        <row r="12">
          <cell r="SQ12">
            <v>822.90880169851152</v>
          </cell>
          <cell r="SR12">
            <v>822.90880169851152</v>
          </cell>
          <cell r="SS12">
            <v>822.90880169851152</v>
          </cell>
          <cell r="ST12">
            <v>822.90880169851152</v>
          </cell>
          <cell r="SU12">
            <v>0</v>
          </cell>
          <cell r="SV12">
            <v>0</v>
          </cell>
          <cell r="SW12">
            <v>0</v>
          </cell>
          <cell r="SX12">
            <v>822.90880169851152</v>
          </cell>
          <cell r="SY12">
            <v>822.90880169851152</v>
          </cell>
          <cell r="SZ12">
            <v>822.90880169851152</v>
          </cell>
        </row>
        <row r="13">
          <cell r="SQ13">
            <v>792.51552782468207</v>
          </cell>
          <cell r="SR13">
            <v>792.51552782468207</v>
          </cell>
          <cell r="SS13">
            <v>792.51552782468207</v>
          </cell>
          <cell r="ST13">
            <v>792.51552782468207</v>
          </cell>
          <cell r="SU13">
            <v>0</v>
          </cell>
          <cell r="SV13">
            <v>0</v>
          </cell>
          <cell r="SW13">
            <v>0</v>
          </cell>
          <cell r="SX13">
            <v>792.51552782468207</v>
          </cell>
          <cell r="SY13">
            <v>792.51552782468207</v>
          </cell>
          <cell r="SZ13">
            <v>792.51552782468207</v>
          </cell>
        </row>
        <row r="14">
          <cell r="SQ14">
            <v>759.18457131252944</v>
          </cell>
          <cell r="SR14">
            <v>759.18457131252944</v>
          </cell>
          <cell r="SS14">
            <v>759.18457131252944</v>
          </cell>
          <cell r="ST14">
            <v>759.18457131252944</v>
          </cell>
          <cell r="SU14">
            <v>0</v>
          </cell>
          <cell r="SV14">
            <v>0</v>
          </cell>
          <cell r="SW14">
            <v>0</v>
          </cell>
          <cell r="SX14">
            <v>759.18457131252944</v>
          </cell>
          <cell r="SY14">
            <v>759.18457131252944</v>
          </cell>
          <cell r="SZ14">
            <v>759.18457131252944</v>
          </cell>
        </row>
        <row r="15">
          <cell r="SQ15">
            <v>734.79394738563133</v>
          </cell>
          <cell r="SR15">
            <v>734.79394738563133</v>
          </cell>
          <cell r="SS15">
            <v>734.79394738563133</v>
          </cell>
          <cell r="ST15">
            <v>734.79394738563133</v>
          </cell>
          <cell r="SU15">
            <v>0</v>
          </cell>
          <cell r="SV15">
            <v>0</v>
          </cell>
          <cell r="SW15">
            <v>0</v>
          </cell>
          <cell r="SX15">
            <v>734.79394738563133</v>
          </cell>
          <cell r="SY15">
            <v>734.79394738563133</v>
          </cell>
          <cell r="SZ15">
            <v>734.79394738563133</v>
          </cell>
        </row>
        <row r="16">
          <cell r="SQ16">
            <v>734.7939473854276</v>
          </cell>
          <cell r="SR16">
            <v>734.7939473854276</v>
          </cell>
          <cell r="SS16">
            <v>734.7939473854276</v>
          </cell>
          <cell r="ST16">
            <v>734.7939473854276</v>
          </cell>
          <cell r="SU16">
            <v>0</v>
          </cell>
          <cell r="SV16">
            <v>0</v>
          </cell>
          <cell r="SW16">
            <v>0</v>
          </cell>
          <cell r="SX16">
            <v>734.7939473854276</v>
          </cell>
          <cell r="SY16">
            <v>734.7939473854276</v>
          </cell>
          <cell r="SZ16">
            <v>734.7939473854276</v>
          </cell>
        </row>
        <row r="17">
          <cell r="SQ17">
            <v>727.99234515373973</v>
          </cell>
          <cell r="SR17">
            <v>727.99234515373973</v>
          </cell>
          <cell r="SS17">
            <v>727.99234515373973</v>
          </cell>
          <cell r="ST17">
            <v>727.99234515373973</v>
          </cell>
          <cell r="SU17">
            <v>0</v>
          </cell>
          <cell r="SV17">
            <v>0</v>
          </cell>
          <cell r="SW17">
            <v>0</v>
          </cell>
          <cell r="SX17">
            <v>727.99234515373973</v>
          </cell>
          <cell r="SY17">
            <v>727.99234515373973</v>
          </cell>
          <cell r="SZ17">
            <v>727.99234515373973</v>
          </cell>
        </row>
        <row r="18">
          <cell r="SQ18">
            <v>686.02876982567977</v>
          </cell>
          <cell r="SR18">
            <v>686.02876982567977</v>
          </cell>
          <cell r="SS18">
            <v>686.02876982567977</v>
          </cell>
          <cell r="ST18">
            <v>686.02876982567977</v>
          </cell>
          <cell r="SU18">
            <v>0</v>
          </cell>
          <cell r="SV18">
            <v>0</v>
          </cell>
          <cell r="SW18">
            <v>0</v>
          </cell>
          <cell r="SX18">
            <v>686.02876982567977</v>
          </cell>
          <cell r="SY18">
            <v>686.02876982567977</v>
          </cell>
          <cell r="SZ18">
            <v>686.02876982567977</v>
          </cell>
        </row>
        <row r="19">
          <cell r="SQ19">
            <v>646.7284952897171</v>
          </cell>
          <cell r="SR19">
            <v>646.7284952897171</v>
          </cell>
          <cell r="SS19">
            <v>646.7284952897171</v>
          </cell>
          <cell r="ST19">
            <v>646.7284952897171</v>
          </cell>
          <cell r="SU19">
            <v>0</v>
          </cell>
          <cell r="SV19">
            <v>0</v>
          </cell>
          <cell r="SW19">
            <v>0</v>
          </cell>
          <cell r="SX19">
            <v>646.7284952897171</v>
          </cell>
          <cell r="SY19">
            <v>646.7284952897171</v>
          </cell>
          <cell r="SZ19">
            <v>646.7284952897171</v>
          </cell>
        </row>
        <row r="20">
          <cell r="SQ20">
            <v>614.22982298569696</v>
          </cell>
          <cell r="SR20">
            <v>614.22982298569696</v>
          </cell>
          <cell r="SS20">
            <v>614.22982298569696</v>
          </cell>
          <cell r="ST20">
            <v>614.22982298569696</v>
          </cell>
          <cell r="SU20">
            <v>0</v>
          </cell>
          <cell r="SV20">
            <v>0</v>
          </cell>
          <cell r="SW20">
            <v>0</v>
          </cell>
          <cell r="SX20">
            <v>614.22982298569696</v>
          </cell>
          <cell r="SY20">
            <v>614.22982298569696</v>
          </cell>
          <cell r="SZ20">
            <v>614.22982298569696</v>
          </cell>
        </row>
        <row r="21">
          <cell r="SQ21">
            <v>615.01486227218265</v>
          </cell>
          <cell r="SR21">
            <v>615.01486227218265</v>
          </cell>
          <cell r="SS21">
            <v>615.01486227218265</v>
          </cell>
          <cell r="ST21">
            <v>615.01486227218265</v>
          </cell>
          <cell r="SU21">
            <v>0</v>
          </cell>
          <cell r="SV21">
            <v>0</v>
          </cell>
          <cell r="SW21">
            <v>0</v>
          </cell>
          <cell r="SX21">
            <v>615.01486227218265</v>
          </cell>
          <cell r="SY21">
            <v>615.01486227218265</v>
          </cell>
          <cell r="SZ21">
            <v>615.01486227218265</v>
          </cell>
        </row>
        <row r="22">
          <cell r="SQ22">
            <v>614.9227350960864</v>
          </cell>
          <cell r="SR22">
            <v>614.9227350960864</v>
          </cell>
          <cell r="SS22">
            <v>614.9227350960864</v>
          </cell>
          <cell r="ST22">
            <v>614.9227350960864</v>
          </cell>
          <cell r="SU22">
            <v>0</v>
          </cell>
          <cell r="SV22">
            <v>0</v>
          </cell>
          <cell r="SW22">
            <v>0</v>
          </cell>
          <cell r="SX22">
            <v>614.9227350960864</v>
          </cell>
          <cell r="SY22">
            <v>614.9227350960864</v>
          </cell>
          <cell r="SZ22">
            <v>614.9227350960864</v>
          </cell>
        </row>
        <row r="23">
          <cell r="SQ23">
            <v>623.43220154444134</v>
          </cell>
          <cell r="SR23">
            <v>623.43220154444134</v>
          </cell>
          <cell r="SS23">
            <v>623.43220154444134</v>
          </cell>
          <cell r="ST23">
            <v>623.43220154444134</v>
          </cell>
          <cell r="SU23">
            <v>0</v>
          </cell>
          <cell r="SV23">
            <v>0</v>
          </cell>
          <cell r="SW23">
            <v>0</v>
          </cell>
          <cell r="SX23">
            <v>623.43220154444134</v>
          </cell>
          <cell r="SY23">
            <v>623.43220154444134</v>
          </cell>
          <cell r="SZ23">
            <v>623.43220154444134</v>
          </cell>
        </row>
        <row r="24">
          <cell r="SQ24">
            <v>631.156628706638</v>
          </cell>
          <cell r="SR24">
            <v>631.156628706638</v>
          </cell>
          <cell r="SS24">
            <v>631.156628706638</v>
          </cell>
          <cell r="ST24">
            <v>631.156628706638</v>
          </cell>
          <cell r="SU24">
            <v>0</v>
          </cell>
          <cell r="SV24">
            <v>0</v>
          </cell>
          <cell r="SW24">
            <v>0</v>
          </cell>
          <cell r="SX24">
            <v>631.156628706638</v>
          </cell>
          <cell r="SY24">
            <v>631.156628706638</v>
          </cell>
          <cell r="SZ24">
            <v>631.156628706638</v>
          </cell>
        </row>
        <row r="25">
          <cell r="SQ25">
            <v>638.21776123348536</v>
          </cell>
          <cell r="SR25">
            <v>638.21776123348536</v>
          </cell>
          <cell r="SS25">
            <v>638.21776123348536</v>
          </cell>
          <cell r="ST25">
            <v>638.21776123348536</v>
          </cell>
          <cell r="SU25">
            <v>0</v>
          </cell>
          <cell r="SV25">
            <v>0</v>
          </cell>
          <cell r="SW25">
            <v>0</v>
          </cell>
          <cell r="SX25">
            <v>638.21776123348536</v>
          </cell>
          <cell r="SY25">
            <v>638.21776123348536</v>
          </cell>
          <cell r="SZ25">
            <v>638.21776123348536</v>
          </cell>
        </row>
        <row r="26">
          <cell r="SQ26">
            <v>636.58844771079021</v>
          </cell>
          <cell r="SR26">
            <v>636.58844771079021</v>
          </cell>
          <cell r="SS26">
            <v>636.58844771079021</v>
          </cell>
          <cell r="ST26">
            <v>636.58844771079021</v>
          </cell>
          <cell r="SU26">
            <v>0</v>
          </cell>
          <cell r="SV26">
            <v>0</v>
          </cell>
          <cell r="SW26">
            <v>0</v>
          </cell>
          <cell r="SX26">
            <v>636.58844771079021</v>
          </cell>
          <cell r="SY26">
            <v>636.58844771079021</v>
          </cell>
          <cell r="SZ26">
            <v>636.58844771079021</v>
          </cell>
        </row>
        <row r="27">
          <cell r="SQ27">
            <v>637.40310447209049</v>
          </cell>
          <cell r="SR27">
            <v>637.40310447209049</v>
          </cell>
          <cell r="SS27">
            <v>637.40310447209049</v>
          </cell>
          <cell r="ST27">
            <v>637.40310447209049</v>
          </cell>
          <cell r="SU27">
            <v>0</v>
          </cell>
          <cell r="SV27">
            <v>0</v>
          </cell>
          <cell r="SW27">
            <v>0</v>
          </cell>
          <cell r="SX27">
            <v>637.40310447209049</v>
          </cell>
          <cell r="SY27">
            <v>637.40310447209049</v>
          </cell>
          <cell r="SZ27">
            <v>637.40310447209049</v>
          </cell>
        </row>
        <row r="28">
          <cell r="SQ28">
            <v>637.40310447209777</v>
          </cell>
          <cell r="SR28">
            <v>637.40310447209777</v>
          </cell>
          <cell r="SS28">
            <v>637.40310447209777</v>
          </cell>
          <cell r="ST28">
            <v>637.40310447209777</v>
          </cell>
          <cell r="SU28">
            <v>0</v>
          </cell>
          <cell r="SV28">
            <v>0</v>
          </cell>
          <cell r="SW28">
            <v>0</v>
          </cell>
          <cell r="SX28">
            <v>637.40310447209777</v>
          </cell>
          <cell r="SY28">
            <v>637.40310447209777</v>
          </cell>
          <cell r="SZ28">
            <v>637.40310447209777</v>
          </cell>
        </row>
        <row r="29">
          <cell r="SQ29">
            <v>638.21776123344171</v>
          </cell>
          <cell r="SR29">
            <v>638.21776123344171</v>
          </cell>
          <cell r="SS29">
            <v>638.21776123344171</v>
          </cell>
          <cell r="ST29">
            <v>638.21776123344171</v>
          </cell>
          <cell r="SU29">
            <v>0</v>
          </cell>
          <cell r="SV29">
            <v>0</v>
          </cell>
          <cell r="SW29">
            <v>0</v>
          </cell>
          <cell r="SX29">
            <v>638.21776123344171</v>
          </cell>
          <cell r="SY29">
            <v>638.21776123344171</v>
          </cell>
          <cell r="SZ29">
            <v>638.21776123344171</v>
          </cell>
        </row>
        <row r="30">
          <cell r="SQ30">
            <v>636.58844771067379</v>
          </cell>
          <cell r="SR30">
            <v>636.58844771067379</v>
          </cell>
          <cell r="SS30">
            <v>636.58844771067379</v>
          </cell>
          <cell r="ST30">
            <v>636.58844771067379</v>
          </cell>
          <cell r="SU30">
            <v>0</v>
          </cell>
          <cell r="SV30">
            <v>0</v>
          </cell>
          <cell r="SW30">
            <v>0</v>
          </cell>
          <cell r="SX30">
            <v>636.58844771067379</v>
          </cell>
          <cell r="SY30">
            <v>636.58844771067379</v>
          </cell>
          <cell r="SZ30">
            <v>636.58844771067379</v>
          </cell>
        </row>
        <row r="31">
          <cell r="SQ31">
            <v>637.40310447206139</v>
          </cell>
          <cell r="SR31">
            <v>637.40310447206139</v>
          </cell>
          <cell r="SS31">
            <v>637.40310447206139</v>
          </cell>
          <cell r="ST31">
            <v>637.40310447206139</v>
          </cell>
          <cell r="SU31">
            <v>0</v>
          </cell>
          <cell r="SV31">
            <v>0</v>
          </cell>
          <cell r="SW31">
            <v>0</v>
          </cell>
          <cell r="SX31">
            <v>637.40310447206139</v>
          </cell>
          <cell r="SY31">
            <v>637.40310447206139</v>
          </cell>
          <cell r="SZ31">
            <v>637.40310447206139</v>
          </cell>
        </row>
        <row r="34">
          <cell r="SQ34">
            <v>0</v>
          </cell>
          <cell r="SR34">
            <v>0</v>
          </cell>
          <cell r="SS34">
            <v>0</v>
          </cell>
          <cell r="ST34">
            <v>0</v>
          </cell>
          <cell r="SU34">
            <v>0</v>
          </cell>
          <cell r="SV34">
            <v>0</v>
          </cell>
          <cell r="SW34">
            <v>0</v>
          </cell>
          <cell r="SX34">
            <v>0</v>
          </cell>
          <cell r="SY34">
            <v>0</v>
          </cell>
          <cell r="SZ34">
            <v>0</v>
          </cell>
        </row>
        <row r="35">
          <cell r="SQ35">
            <v>0</v>
          </cell>
          <cell r="SR35">
            <v>0</v>
          </cell>
          <cell r="SS35">
            <v>0</v>
          </cell>
          <cell r="ST35">
            <v>0</v>
          </cell>
          <cell r="SU35">
            <v>0</v>
          </cell>
          <cell r="SV35">
            <v>0</v>
          </cell>
          <cell r="SW35">
            <v>0</v>
          </cell>
          <cell r="SX35">
            <v>0</v>
          </cell>
          <cell r="SY35">
            <v>0</v>
          </cell>
          <cell r="SZ35">
            <v>0</v>
          </cell>
        </row>
        <row r="36">
          <cell r="SQ36">
            <v>0</v>
          </cell>
          <cell r="SR36">
            <v>0</v>
          </cell>
          <cell r="SS36">
            <v>0</v>
          </cell>
          <cell r="ST36">
            <v>0</v>
          </cell>
          <cell r="SU36">
            <v>0</v>
          </cell>
          <cell r="SV36">
            <v>0</v>
          </cell>
          <cell r="SW36">
            <v>0</v>
          </cell>
          <cell r="SX36">
            <v>0</v>
          </cell>
          <cell r="SY36">
            <v>0</v>
          </cell>
          <cell r="SZ36">
            <v>0</v>
          </cell>
        </row>
        <row r="37">
          <cell r="SQ37">
            <v>0</v>
          </cell>
          <cell r="SR37">
            <v>0</v>
          </cell>
          <cell r="SS37">
            <v>0</v>
          </cell>
          <cell r="ST37">
            <v>0</v>
          </cell>
          <cell r="SU37">
            <v>0</v>
          </cell>
          <cell r="SV37">
            <v>0</v>
          </cell>
          <cell r="SW37">
            <v>0</v>
          </cell>
          <cell r="SX37">
            <v>0</v>
          </cell>
          <cell r="SY37">
            <v>0</v>
          </cell>
          <cell r="SZ37">
            <v>0</v>
          </cell>
        </row>
        <row r="38">
          <cell r="SQ38">
            <v>0</v>
          </cell>
          <cell r="SR38">
            <v>0</v>
          </cell>
          <cell r="SS38">
            <v>0</v>
          </cell>
          <cell r="ST38">
            <v>0</v>
          </cell>
          <cell r="SU38">
            <v>0</v>
          </cell>
          <cell r="SV38">
            <v>0</v>
          </cell>
          <cell r="SW38">
            <v>0</v>
          </cell>
          <cell r="SX38">
            <v>0</v>
          </cell>
          <cell r="SY38">
            <v>0</v>
          </cell>
          <cell r="SZ38">
            <v>0</v>
          </cell>
        </row>
        <row r="39">
          <cell r="SQ39">
            <v>0</v>
          </cell>
          <cell r="SR39">
            <v>0</v>
          </cell>
          <cell r="SS39">
            <v>0</v>
          </cell>
          <cell r="ST39">
            <v>0</v>
          </cell>
          <cell r="SU39">
            <v>0</v>
          </cell>
          <cell r="SV39">
            <v>0</v>
          </cell>
          <cell r="SW39">
            <v>0</v>
          </cell>
          <cell r="SX39">
            <v>0</v>
          </cell>
          <cell r="SY39">
            <v>0</v>
          </cell>
          <cell r="SZ39">
            <v>0</v>
          </cell>
        </row>
        <row r="40">
          <cell r="SQ40">
            <v>0</v>
          </cell>
          <cell r="SR40">
            <v>0</v>
          </cell>
          <cell r="SS40">
            <v>0</v>
          </cell>
          <cell r="ST40">
            <v>0</v>
          </cell>
          <cell r="SU40">
            <v>0</v>
          </cell>
          <cell r="SV40">
            <v>0</v>
          </cell>
          <cell r="SW40">
            <v>0</v>
          </cell>
          <cell r="SX40">
            <v>0</v>
          </cell>
          <cell r="SY40">
            <v>0</v>
          </cell>
          <cell r="SZ40">
            <v>0</v>
          </cell>
        </row>
        <row r="41">
          <cell r="SQ41">
            <v>0</v>
          </cell>
          <cell r="SR41">
            <v>0</v>
          </cell>
          <cell r="SS41">
            <v>0</v>
          </cell>
          <cell r="ST41">
            <v>0</v>
          </cell>
          <cell r="SU41">
            <v>0</v>
          </cell>
          <cell r="SV41">
            <v>0</v>
          </cell>
          <cell r="SW41">
            <v>0</v>
          </cell>
          <cell r="SX41">
            <v>0</v>
          </cell>
          <cell r="SY41">
            <v>0</v>
          </cell>
          <cell r="SZ41">
            <v>0</v>
          </cell>
        </row>
        <row r="42">
          <cell r="SQ42">
            <v>0</v>
          </cell>
          <cell r="SR42">
            <v>0</v>
          </cell>
          <cell r="SS42">
            <v>0</v>
          </cell>
          <cell r="ST42">
            <v>0</v>
          </cell>
          <cell r="SU42">
            <v>0</v>
          </cell>
          <cell r="SV42">
            <v>0</v>
          </cell>
          <cell r="SW42">
            <v>0</v>
          </cell>
          <cell r="SX42">
            <v>0</v>
          </cell>
          <cell r="SY42">
            <v>0</v>
          </cell>
          <cell r="SZ42">
            <v>0</v>
          </cell>
        </row>
        <row r="43">
          <cell r="SQ43">
            <v>0</v>
          </cell>
          <cell r="SR43">
            <v>0</v>
          </cell>
          <cell r="SS43">
            <v>0</v>
          </cell>
          <cell r="ST43">
            <v>0</v>
          </cell>
          <cell r="SU43">
            <v>0</v>
          </cell>
          <cell r="SV43">
            <v>0</v>
          </cell>
          <cell r="SW43">
            <v>0</v>
          </cell>
          <cell r="SX43">
            <v>0</v>
          </cell>
          <cell r="SY43">
            <v>0</v>
          </cell>
          <cell r="SZ43">
            <v>0</v>
          </cell>
        </row>
        <row r="44">
          <cell r="SQ44">
            <v>0</v>
          </cell>
          <cell r="SR44">
            <v>0</v>
          </cell>
          <cell r="SS44">
            <v>0</v>
          </cell>
          <cell r="ST44">
            <v>0</v>
          </cell>
          <cell r="SU44">
            <v>0</v>
          </cell>
          <cell r="SV44">
            <v>0</v>
          </cell>
          <cell r="SW44">
            <v>0</v>
          </cell>
          <cell r="SX44">
            <v>0</v>
          </cell>
          <cell r="SY44">
            <v>0</v>
          </cell>
          <cell r="SZ44">
            <v>0</v>
          </cell>
        </row>
        <row r="45">
          <cell r="SQ45">
            <v>0</v>
          </cell>
          <cell r="SR45">
            <v>0</v>
          </cell>
          <cell r="SS45">
            <v>0</v>
          </cell>
          <cell r="ST45">
            <v>0</v>
          </cell>
          <cell r="SU45">
            <v>0</v>
          </cell>
          <cell r="SV45">
            <v>0</v>
          </cell>
          <cell r="SW45">
            <v>0</v>
          </cell>
          <cell r="SX45">
            <v>0</v>
          </cell>
          <cell r="SY45">
            <v>0</v>
          </cell>
          <cell r="SZ45">
            <v>0</v>
          </cell>
        </row>
        <row r="46">
          <cell r="SQ46">
            <v>0</v>
          </cell>
          <cell r="SR46">
            <v>0</v>
          </cell>
          <cell r="SS46">
            <v>0</v>
          </cell>
          <cell r="ST46">
            <v>0</v>
          </cell>
          <cell r="SU46">
            <v>0</v>
          </cell>
          <cell r="SV46">
            <v>0</v>
          </cell>
          <cell r="SW46">
            <v>0</v>
          </cell>
          <cell r="SX46">
            <v>0</v>
          </cell>
          <cell r="SY46">
            <v>0</v>
          </cell>
          <cell r="SZ46">
            <v>0</v>
          </cell>
        </row>
        <row r="47">
          <cell r="SQ47">
            <v>0</v>
          </cell>
          <cell r="SR47">
            <v>0</v>
          </cell>
          <cell r="SS47">
            <v>0</v>
          </cell>
          <cell r="ST47">
            <v>0</v>
          </cell>
          <cell r="SU47">
            <v>0</v>
          </cell>
          <cell r="SV47">
            <v>0</v>
          </cell>
          <cell r="SW47">
            <v>0</v>
          </cell>
          <cell r="SX47">
            <v>0</v>
          </cell>
          <cell r="SY47">
            <v>0</v>
          </cell>
          <cell r="SZ47">
            <v>0</v>
          </cell>
        </row>
        <row r="48">
          <cell r="SQ48">
            <v>0</v>
          </cell>
          <cell r="SR48">
            <v>0</v>
          </cell>
          <cell r="SS48">
            <v>0</v>
          </cell>
          <cell r="ST48">
            <v>0</v>
          </cell>
          <cell r="SU48">
            <v>0</v>
          </cell>
          <cell r="SV48">
            <v>0</v>
          </cell>
          <cell r="SW48">
            <v>0</v>
          </cell>
          <cell r="SX48">
            <v>0</v>
          </cell>
          <cell r="SY48">
            <v>0</v>
          </cell>
          <cell r="SZ48">
            <v>0</v>
          </cell>
        </row>
        <row r="49">
          <cell r="SQ49">
            <v>0</v>
          </cell>
          <cell r="SR49">
            <v>0</v>
          </cell>
          <cell r="SS49">
            <v>0</v>
          </cell>
          <cell r="ST49">
            <v>0</v>
          </cell>
          <cell r="SU49">
            <v>0</v>
          </cell>
          <cell r="SV49">
            <v>0</v>
          </cell>
          <cell r="SW49">
            <v>0</v>
          </cell>
          <cell r="SX49">
            <v>0</v>
          </cell>
          <cell r="SY49">
            <v>0</v>
          </cell>
          <cell r="SZ49">
            <v>0</v>
          </cell>
        </row>
        <row r="50">
          <cell r="SQ50">
            <v>0</v>
          </cell>
          <cell r="SR50">
            <v>0</v>
          </cell>
          <cell r="SS50">
            <v>0</v>
          </cell>
          <cell r="ST50">
            <v>0</v>
          </cell>
          <cell r="SU50">
            <v>0</v>
          </cell>
          <cell r="SV50">
            <v>0</v>
          </cell>
          <cell r="SW50">
            <v>0</v>
          </cell>
          <cell r="SX50">
            <v>0</v>
          </cell>
          <cell r="SY50">
            <v>0</v>
          </cell>
          <cell r="SZ50">
            <v>0</v>
          </cell>
        </row>
        <row r="51">
          <cell r="SQ51">
            <v>0</v>
          </cell>
          <cell r="SR51">
            <v>0</v>
          </cell>
          <cell r="SS51">
            <v>0</v>
          </cell>
          <cell r="ST51">
            <v>0</v>
          </cell>
          <cell r="SU51">
            <v>0</v>
          </cell>
          <cell r="SV51">
            <v>0</v>
          </cell>
          <cell r="SW51">
            <v>0</v>
          </cell>
          <cell r="SX51">
            <v>0</v>
          </cell>
          <cell r="SY51">
            <v>0</v>
          </cell>
          <cell r="SZ51">
            <v>0</v>
          </cell>
        </row>
        <row r="52">
          <cell r="SQ52">
            <v>0</v>
          </cell>
          <cell r="SR52">
            <v>0</v>
          </cell>
          <cell r="SS52">
            <v>0</v>
          </cell>
          <cell r="ST52">
            <v>0</v>
          </cell>
          <cell r="SU52">
            <v>0</v>
          </cell>
          <cell r="SV52">
            <v>0</v>
          </cell>
          <cell r="SW52">
            <v>0</v>
          </cell>
          <cell r="SX52">
            <v>0</v>
          </cell>
          <cell r="SY52">
            <v>0</v>
          </cell>
          <cell r="SZ52">
            <v>0</v>
          </cell>
        </row>
        <row r="53">
          <cell r="SQ53">
            <v>0</v>
          </cell>
          <cell r="SR53">
            <v>0</v>
          </cell>
          <cell r="SS53">
            <v>0</v>
          </cell>
          <cell r="ST53">
            <v>0</v>
          </cell>
          <cell r="SU53">
            <v>0</v>
          </cell>
          <cell r="SV53">
            <v>0</v>
          </cell>
          <cell r="SW53">
            <v>0</v>
          </cell>
          <cell r="SX53">
            <v>0</v>
          </cell>
          <cell r="SY53">
            <v>0</v>
          </cell>
          <cell r="SZ53">
            <v>0</v>
          </cell>
        </row>
        <row r="54">
          <cell r="SQ54">
            <v>0</v>
          </cell>
          <cell r="SR54">
            <v>0</v>
          </cell>
          <cell r="SS54">
            <v>0</v>
          </cell>
          <cell r="ST54">
            <v>0</v>
          </cell>
          <cell r="SU54">
            <v>0</v>
          </cell>
          <cell r="SV54">
            <v>0</v>
          </cell>
          <cell r="SW54">
            <v>0</v>
          </cell>
          <cell r="SX54">
            <v>0</v>
          </cell>
          <cell r="SY54">
            <v>0</v>
          </cell>
          <cell r="SZ54">
            <v>0</v>
          </cell>
        </row>
        <row r="55">
          <cell r="SQ55">
            <v>0</v>
          </cell>
          <cell r="SR55">
            <v>0</v>
          </cell>
          <cell r="SS55">
            <v>0</v>
          </cell>
          <cell r="ST55">
            <v>0</v>
          </cell>
          <cell r="SU55">
            <v>0</v>
          </cell>
          <cell r="SV55">
            <v>0</v>
          </cell>
          <cell r="SW55">
            <v>0</v>
          </cell>
          <cell r="SX55">
            <v>0</v>
          </cell>
          <cell r="SY55">
            <v>0</v>
          </cell>
          <cell r="SZ55">
            <v>0</v>
          </cell>
        </row>
        <row r="56">
          <cell r="SQ56">
            <v>0</v>
          </cell>
          <cell r="SR56">
            <v>0</v>
          </cell>
          <cell r="SS56">
            <v>0</v>
          </cell>
          <cell r="ST56">
            <v>0</v>
          </cell>
          <cell r="SU56">
            <v>0</v>
          </cell>
          <cell r="SV56">
            <v>0</v>
          </cell>
          <cell r="SW56">
            <v>0</v>
          </cell>
          <cell r="SX56">
            <v>0</v>
          </cell>
          <cell r="SY56">
            <v>0</v>
          </cell>
          <cell r="SZ56">
            <v>0</v>
          </cell>
        </row>
        <row r="57">
          <cell r="SQ57">
            <v>0</v>
          </cell>
          <cell r="SR57">
            <v>0</v>
          </cell>
          <cell r="SS57">
            <v>0</v>
          </cell>
          <cell r="ST57">
            <v>0</v>
          </cell>
          <cell r="SU57">
            <v>0</v>
          </cell>
          <cell r="SV57">
            <v>0</v>
          </cell>
          <cell r="SW57">
            <v>0</v>
          </cell>
          <cell r="SX57">
            <v>0</v>
          </cell>
          <cell r="SY57">
            <v>0</v>
          </cell>
          <cell r="SZ57">
            <v>0</v>
          </cell>
        </row>
        <row r="58">
          <cell r="SQ58">
            <v>0</v>
          </cell>
          <cell r="SR58">
            <v>0</v>
          </cell>
          <cell r="SS58">
            <v>0</v>
          </cell>
          <cell r="ST58">
            <v>0</v>
          </cell>
          <cell r="SU58">
            <v>0</v>
          </cell>
          <cell r="SV58">
            <v>0</v>
          </cell>
          <cell r="SW58">
            <v>0</v>
          </cell>
          <cell r="SX58">
            <v>0</v>
          </cell>
          <cell r="SY58">
            <v>0</v>
          </cell>
          <cell r="SZ58">
            <v>0</v>
          </cell>
        </row>
        <row r="59">
          <cell r="SQ59">
            <v>0</v>
          </cell>
          <cell r="SR59">
            <v>0</v>
          </cell>
          <cell r="SS59">
            <v>0</v>
          </cell>
          <cell r="ST59">
            <v>0</v>
          </cell>
          <cell r="SU59">
            <v>0</v>
          </cell>
          <cell r="SV59">
            <v>0</v>
          </cell>
          <cell r="SW59">
            <v>0</v>
          </cell>
          <cell r="SX59">
            <v>0</v>
          </cell>
          <cell r="SY59">
            <v>0</v>
          </cell>
          <cell r="SZ59">
            <v>0</v>
          </cell>
        </row>
        <row r="60">
          <cell r="SQ60">
            <v>0</v>
          </cell>
          <cell r="SR60">
            <v>0</v>
          </cell>
          <cell r="SS60">
            <v>0</v>
          </cell>
          <cell r="ST60">
            <v>0</v>
          </cell>
          <cell r="SU60">
            <v>0</v>
          </cell>
          <cell r="SV60">
            <v>0</v>
          </cell>
          <cell r="SW60">
            <v>0</v>
          </cell>
          <cell r="SX60">
            <v>0</v>
          </cell>
          <cell r="SY60">
            <v>0</v>
          </cell>
          <cell r="SZ60">
            <v>0</v>
          </cell>
        </row>
        <row r="61">
          <cell r="SQ61">
            <v>0</v>
          </cell>
          <cell r="SR61">
            <v>0</v>
          </cell>
          <cell r="SS61">
            <v>0</v>
          </cell>
          <cell r="ST61">
            <v>0</v>
          </cell>
          <cell r="SU61">
            <v>0</v>
          </cell>
          <cell r="SV61">
            <v>0</v>
          </cell>
          <cell r="SW61">
            <v>0</v>
          </cell>
          <cell r="SX61">
            <v>0</v>
          </cell>
          <cell r="SY61">
            <v>0</v>
          </cell>
          <cell r="SZ61">
            <v>0</v>
          </cell>
        </row>
        <row r="62">
          <cell r="SQ62">
            <v>0</v>
          </cell>
          <cell r="SR62">
            <v>0</v>
          </cell>
          <cell r="SS62">
            <v>0</v>
          </cell>
          <cell r="ST62">
            <v>0</v>
          </cell>
          <cell r="SU62">
            <v>0</v>
          </cell>
          <cell r="SV62">
            <v>0</v>
          </cell>
          <cell r="SW62">
            <v>0</v>
          </cell>
          <cell r="SX62">
            <v>0</v>
          </cell>
          <cell r="SY62">
            <v>0</v>
          </cell>
          <cell r="SZ62">
            <v>0</v>
          </cell>
        </row>
        <row r="98">
          <cell r="SQ98">
            <v>0</v>
          </cell>
          <cell r="SR98">
            <v>0</v>
          </cell>
          <cell r="SS98">
            <v>0</v>
          </cell>
          <cell r="ST98">
            <v>0</v>
          </cell>
          <cell r="SU98">
            <v>0</v>
          </cell>
          <cell r="SV98">
            <v>0</v>
          </cell>
          <cell r="SW98">
            <v>0</v>
          </cell>
          <cell r="SX98">
            <v>0</v>
          </cell>
          <cell r="SY98">
            <v>0</v>
          </cell>
          <cell r="SZ98">
            <v>0</v>
          </cell>
        </row>
        <row r="99">
          <cell r="SQ99">
            <v>0</v>
          </cell>
          <cell r="SR99">
            <v>0</v>
          </cell>
          <cell r="SS99">
            <v>0</v>
          </cell>
          <cell r="ST99">
            <v>0</v>
          </cell>
          <cell r="SU99">
            <v>0</v>
          </cell>
          <cell r="SV99">
            <v>0</v>
          </cell>
          <cell r="SW99">
            <v>0</v>
          </cell>
          <cell r="SX99">
            <v>0</v>
          </cell>
          <cell r="SY99">
            <v>0</v>
          </cell>
          <cell r="SZ99">
            <v>0</v>
          </cell>
        </row>
        <row r="100">
          <cell r="SQ100">
            <v>0</v>
          </cell>
          <cell r="SR100">
            <v>0</v>
          </cell>
          <cell r="SS100">
            <v>0</v>
          </cell>
          <cell r="ST100">
            <v>0</v>
          </cell>
          <cell r="SU100">
            <v>0</v>
          </cell>
          <cell r="SV100">
            <v>0</v>
          </cell>
          <cell r="SW100">
            <v>0</v>
          </cell>
          <cell r="SX100">
            <v>0</v>
          </cell>
          <cell r="SY100">
            <v>0</v>
          </cell>
          <cell r="SZ100">
            <v>0</v>
          </cell>
        </row>
        <row r="101">
          <cell r="SQ101">
            <v>0</v>
          </cell>
          <cell r="SR101">
            <v>46.228330500120506</v>
          </cell>
          <cell r="SS101">
            <v>18.491332200048202</v>
          </cell>
          <cell r="ST101">
            <v>0</v>
          </cell>
          <cell r="SU101">
            <v>0</v>
          </cell>
          <cell r="SV101">
            <v>0</v>
          </cell>
          <cell r="SW101">
            <v>0</v>
          </cell>
          <cell r="SX101">
            <v>46.228330500120506</v>
          </cell>
          <cell r="SY101">
            <v>46.228330500120506</v>
          </cell>
          <cell r="SZ101">
            <v>0</v>
          </cell>
        </row>
        <row r="102">
          <cell r="SQ102">
            <v>0</v>
          </cell>
          <cell r="SR102">
            <v>99.874274850066286</v>
          </cell>
          <cell r="SS102">
            <v>39.949709940026516</v>
          </cell>
          <cell r="ST102">
            <v>0</v>
          </cell>
          <cell r="SU102">
            <v>0</v>
          </cell>
          <cell r="SV102">
            <v>0</v>
          </cell>
          <cell r="SW102">
            <v>0</v>
          </cell>
          <cell r="SX102">
            <v>99.874274850066286</v>
          </cell>
          <cell r="SY102">
            <v>99.874274850066286</v>
          </cell>
          <cell r="SZ102">
            <v>0</v>
          </cell>
        </row>
        <row r="103">
          <cell r="SQ103">
            <v>0</v>
          </cell>
          <cell r="SR103">
            <v>140.74137639417785</v>
          </cell>
          <cell r="SS103">
            <v>65.679308983949667</v>
          </cell>
          <cell r="ST103">
            <v>0</v>
          </cell>
          <cell r="SU103">
            <v>0</v>
          </cell>
          <cell r="SV103">
            <v>0</v>
          </cell>
          <cell r="SW103">
            <v>0</v>
          </cell>
          <cell r="SX103">
            <v>140.74137639417785</v>
          </cell>
          <cell r="SY103">
            <v>140.74137639417785</v>
          </cell>
          <cell r="SZ103">
            <v>0</v>
          </cell>
        </row>
        <row r="104">
          <cell r="SQ104">
            <v>0</v>
          </cell>
          <cell r="SR104">
            <v>175.77367157742847</v>
          </cell>
          <cell r="SS104">
            <v>87.886835788714237</v>
          </cell>
          <cell r="ST104">
            <v>0</v>
          </cell>
          <cell r="SU104">
            <v>0</v>
          </cell>
          <cell r="SV104">
            <v>0</v>
          </cell>
          <cell r="SW104">
            <v>0</v>
          </cell>
          <cell r="SX104">
            <v>175.77367157742847</v>
          </cell>
          <cell r="SY104">
            <v>175.77367157742847</v>
          </cell>
          <cell r="SZ104">
            <v>0</v>
          </cell>
        </row>
        <row r="105">
          <cell r="SQ105">
            <v>0</v>
          </cell>
          <cell r="SR105">
            <v>206.96300762825558</v>
          </cell>
          <cell r="SS105">
            <v>115.89928427182313</v>
          </cell>
          <cell r="ST105">
            <v>0</v>
          </cell>
          <cell r="SU105">
            <v>0</v>
          </cell>
          <cell r="SV105">
            <v>0</v>
          </cell>
          <cell r="SW105">
            <v>0</v>
          </cell>
          <cell r="SX105">
            <v>206.96300762825558</v>
          </cell>
          <cell r="SY105">
            <v>206.96300762825558</v>
          </cell>
          <cell r="SZ105">
            <v>0</v>
          </cell>
        </row>
        <row r="106">
          <cell r="SQ106">
            <v>0</v>
          </cell>
          <cell r="SR106">
            <v>248.6734354935499</v>
          </cell>
          <cell r="SS106">
            <v>149.20406129612994</v>
          </cell>
          <cell r="ST106">
            <v>0</v>
          </cell>
          <cell r="SU106">
            <v>0</v>
          </cell>
          <cell r="SV106">
            <v>0</v>
          </cell>
          <cell r="SW106">
            <v>0</v>
          </cell>
          <cell r="SX106">
            <v>248.6734354935499</v>
          </cell>
          <cell r="SY106">
            <v>248.6734354935499</v>
          </cell>
          <cell r="SZ106">
            <v>0</v>
          </cell>
        </row>
        <row r="107">
          <cell r="SQ107">
            <v>0</v>
          </cell>
          <cell r="SR107">
            <v>246.87264050955343</v>
          </cell>
          <cell r="SS107">
            <v>189.26902439065765</v>
          </cell>
          <cell r="ST107">
            <v>0</v>
          </cell>
          <cell r="SU107">
            <v>0</v>
          </cell>
          <cell r="SV107">
            <v>0</v>
          </cell>
          <cell r="SW107">
            <v>0</v>
          </cell>
          <cell r="SX107">
            <v>246.87264050955343</v>
          </cell>
          <cell r="SY107">
            <v>246.87264050955343</v>
          </cell>
          <cell r="SZ107">
            <v>0</v>
          </cell>
        </row>
        <row r="108">
          <cell r="SQ108">
            <v>0</v>
          </cell>
          <cell r="SR108">
            <v>237.75465834740461</v>
          </cell>
          <cell r="SS108">
            <v>221.904347790911</v>
          </cell>
          <cell r="ST108">
            <v>0</v>
          </cell>
          <cell r="SU108">
            <v>0</v>
          </cell>
          <cell r="SV108">
            <v>0</v>
          </cell>
          <cell r="SW108">
            <v>0</v>
          </cell>
          <cell r="SX108">
            <v>237.75465834740461</v>
          </cell>
          <cell r="SY108">
            <v>237.75465834740461</v>
          </cell>
          <cell r="SZ108">
            <v>0</v>
          </cell>
        </row>
        <row r="109">
          <cell r="SQ109">
            <v>0</v>
          </cell>
          <cell r="SR109">
            <v>227.75537139375882</v>
          </cell>
          <cell r="SS109">
            <v>258.12275424626</v>
          </cell>
          <cell r="ST109">
            <v>0</v>
          </cell>
          <cell r="SU109">
            <v>0</v>
          </cell>
          <cell r="SV109">
            <v>0</v>
          </cell>
          <cell r="SW109">
            <v>0</v>
          </cell>
          <cell r="SX109">
            <v>227.75537139375882</v>
          </cell>
          <cell r="SY109">
            <v>227.75537139375882</v>
          </cell>
          <cell r="SZ109">
            <v>0</v>
          </cell>
        </row>
        <row r="110">
          <cell r="SQ110">
            <v>0</v>
          </cell>
          <cell r="SR110">
            <v>220.4381842156894</v>
          </cell>
          <cell r="SS110">
            <v>293.91757895425252</v>
          </cell>
          <cell r="ST110">
            <v>0</v>
          </cell>
          <cell r="SU110">
            <v>0</v>
          </cell>
          <cell r="SV110">
            <v>0</v>
          </cell>
          <cell r="SW110">
            <v>0</v>
          </cell>
          <cell r="SX110">
            <v>220.4381842156894</v>
          </cell>
          <cell r="SY110">
            <v>220.4381842156894</v>
          </cell>
          <cell r="SZ110">
            <v>0</v>
          </cell>
        </row>
        <row r="111">
          <cell r="SQ111">
            <v>0</v>
          </cell>
          <cell r="SR111">
            <v>220.43818421562827</v>
          </cell>
          <cell r="SS111">
            <v>345.35315527115097</v>
          </cell>
          <cell r="ST111">
            <v>0</v>
          </cell>
          <cell r="SU111">
            <v>0</v>
          </cell>
          <cell r="SV111">
            <v>0</v>
          </cell>
          <cell r="SW111">
            <v>0</v>
          </cell>
          <cell r="SX111">
            <v>220.43818421562827</v>
          </cell>
          <cell r="SY111">
            <v>220.43818421562827</v>
          </cell>
          <cell r="SZ111">
            <v>0</v>
          </cell>
        </row>
        <row r="112">
          <cell r="SQ112">
            <v>0</v>
          </cell>
          <cell r="SR112">
            <v>218.3977035461219</v>
          </cell>
          <cell r="SS112">
            <v>385.83594293148207</v>
          </cell>
          <cell r="ST112">
            <v>0</v>
          </cell>
          <cell r="SU112">
            <v>0</v>
          </cell>
          <cell r="SV112">
            <v>0</v>
          </cell>
          <cell r="SW112">
            <v>0</v>
          </cell>
          <cell r="SX112">
            <v>218.3977035461219</v>
          </cell>
          <cell r="SY112">
            <v>218.3977035461219</v>
          </cell>
          <cell r="SZ112">
            <v>0</v>
          </cell>
        </row>
        <row r="113">
          <cell r="SQ113">
            <v>0</v>
          </cell>
          <cell r="SR113">
            <v>205.80863094770393</v>
          </cell>
          <cell r="SS113">
            <v>397.89668649889427</v>
          </cell>
          <cell r="ST113">
            <v>0</v>
          </cell>
          <cell r="SU113">
            <v>0</v>
          </cell>
          <cell r="SV113">
            <v>0</v>
          </cell>
          <cell r="SW113">
            <v>0</v>
          </cell>
          <cell r="SX113">
            <v>205.80863094770393</v>
          </cell>
          <cell r="SY113">
            <v>205.80863094770393</v>
          </cell>
          <cell r="SZ113">
            <v>0</v>
          </cell>
        </row>
        <row r="114">
          <cell r="SQ114">
            <v>0</v>
          </cell>
          <cell r="SR114">
            <v>194.01854858691513</v>
          </cell>
          <cell r="SS114">
            <v>400.97166707962458</v>
          </cell>
          <cell r="ST114">
            <v>0</v>
          </cell>
          <cell r="SU114">
            <v>0</v>
          </cell>
          <cell r="SV114">
            <v>0</v>
          </cell>
          <cell r="SW114">
            <v>0</v>
          </cell>
          <cell r="SX114">
            <v>194.01854858691513</v>
          </cell>
          <cell r="SY114">
            <v>194.01854858691513</v>
          </cell>
          <cell r="SZ114">
            <v>0</v>
          </cell>
        </row>
        <row r="115">
          <cell r="SQ115">
            <v>0</v>
          </cell>
          <cell r="SR115">
            <v>184.26894689570909</v>
          </cell>
          <cell r="SS115">
            <v>399.24938494070301</v>
          </cell>
          <cell r="ST115">
            <v>0</v>
          </cell>
          <cell r="SU115">
            <v>0</v>
          </cell>
          <cell r="SV115">
            <v>0</v>
          </cell>
          <cell r="SW115">
            <v>0</v>
          </cell>
          <cell r="SX115">
            <v>184.26894689570909</v>
          </cell>
          <cell r="SY115">
            <v>184.26894689570909</v>
          </cell>
          <cell r="SZ115">
            <v>0</v>
          </cell>
        </row>
        <row r="116">
          <cell r="SQ116">
            <v>0</v>
          </cell>
          <cell r="SR116">
            <v>184.5044586816548</v>
          </cell>
          <cell r="SS116">
            <v>412.05995772236241</v>
          </cell>
          <cell r="ST116">
            <v>0</v>
          </cell>
          <cell r="SU116">
            <v>0</v>
          </cell>
          <cell r="SV116">
            <v>0</v>
          </cell>
          <cell r="SW116">
            <v>0</v>
          </cell>
          <cell r="SX116">
            <v>184.5044586816548</v>
          </cell>
          <cell r="SY116">
            <v>184.5044586816548</v>
          </cell>
          <cell r="SZ116">
            <v>0</v>
          </cell>
        </row>
        <row r="117">
          <cell r="SQ117">
            <v>0</v>
          </cell>
          <cell r="SR117">
            <v>184.47682052882593</v>
          </cell>
          <cell r="SS117">
            <v>418.14745986533876</v>
          </cell>
          <cell r="ST117">
            <v>0</v>
          </cell>
          <cell r="SU117">
            <v>0</v>
          </cell>
          <cell r="SV117">
            <v>0</v>
          </cell>
          <cell r="SW117">
            <v>0</v>
          </cell>
          <cell r="SX117">
            <v>184.47682052882593</v>
          </cell>
          <cell r="SY117">
            <v>184.47682052882593</v>
          </cell>
          <cell r="SZ117">
            <v>0</v>
          </cell>
        </row>
        <row r="118">
          <cell r="SQ118">
            <v>0</v>
          </cell>
          <cell r="SR118">
            <v>187.02966046333239</v>
          </cell>
          <cell r="SS118">
            <v>423.93389705022014</v>
          </cell>
          <cell r="ST118">
            <v>0</v>
          </cell>
          <cell r="SU118">
            <v>0</v>
          </cell>
          <cell r="SV118">
            <v>0</v>
          </cell>
          <cell r="SW118">
            <v>0</v>
          </cell>
          <cell r="SX118">
            <v>187.02966046333239</v>
          </cell>
          <cell r="SY118">
            <v>187.02966046333239</v>
          </cell>
          <cell r="SZ118">
            <v>0</v>
          </cell>
        </row>
        <row r="119">
          <cell r="SQ119">
            <v>0</v>
          </cell>
          <cell r="SR119">
            <v>189.34698861199141</v>
          </cell>
          <cell r="SS119">
            <v>429.18650752051389</v>
          </cell>
          <cell r="ST119">
            <v>0</v>
          </cell>
          <cell r="SU119">
            <v>0</v>
          </cell>
          <cell r="SV119">
            <v>0</v>
          </cell>
          <cell r="SW119">
            <v>0</v>
          </cell>
          <cell r="SX119">
            <v>189.34698861199141</v>
          </cell>
          <cell r="SY119">
            <v>189.34698861199141</v>
          </cell>
          <cell r="SZ119">
            <v>0</v>
          </cell>
        </row>
        <row r="120">
          <cell r="SQ120">
            <v>0</v>
          </cell>
          <cell r="SR120">
            <v>191.4653283700456</v>
          </cell>
          <cell r="SS120">
            <v>433.98807763877005</v>
          </cell>
          <cell r="ST120">
            <v>0</v>
          </cell>
          <cell r="SU120">
            <v>0</v>
          </cell>
          <cell r="SV120">
            <v>0</v>
          </cell>
          <cell r="SW120">
            <v>0</v>
          </cell>
          <cell r="SX120">
            <v>191.4653283700456</v>
          </cell>
          <cell r="SY120">
            <v>191.4653283700456</v>
          </cell>
          <cell r="SZ120">
            <v>0</v>
          </cell>
        </row>
        <row r="121">
          <cell r="SQ121">
            <v>0</v>
          </cell>
          <cell r="SR121">
            <v>190.97653431323707</v>
          </cell>
          <cell r="SS121">
            <v>432.88014444333737</v>
          </cell>
          <cell r="ST121">
            <v>0</v>
          </cell>
          <cell r="SU121">
            <v>0</v>
          </cell>
          <cell r="SV121">
            <v>0</v>
          </cell>
          <cell r="SW121">
            <v>0</v>
          </cell>
          <cell r="SX121">
            <v>190.97653431323707</v>
          </cell>
          <cell r="SY121">
            <v>190.97653431323707</v>
          </cell>
          <cell r="SZ121">
            <v>0</v>
          </cell>
        </row>
        <row r="122">
          <cell r="SQ122">
            <v>0</v>
          </cell>
          <cell r="SR122">
            <v>191.22093134162714</v>
          </cell>
          <cell r="SS122">
            <v>433.43411104102154</v>
          </cell>
          <cell r="ST122">
            <v>0</v>
          </cell>
          <cell r="SU122">
            <v>0</v>
          </cell>
          <cell r="SV122">
            <v>0</v>
          </cell>
          <cell r="SW122">
            <v>0</v>
          </cell>
          <cell r="SX122">
            <v>191.22093134162714</v>
          </cell>
          <cell r="SY122">
            <v>191.22093134162714</v>
          </cell>
          <cell r="SZ122">
            <v>0</v>
          </cell>
        </row>
        <row r="123">
          <cell r="SQ123">
            <v>0</v>
          </cell>
          <cell r="SR123">
            <v>191.22093134162932</v>
          </cell>
          <cell r="SS123">
            <v>433.43411104102654</v>
          </cell>
          <cell r="ST123">
            <v>0</v>
          </cell>
          <cell r="SU123">
            <v>0</v>
          </cell>
          <cell r="SV123">
            <v>0</v>
          </cell>
          <cell r="SW123">
            <v>0</v>
          </cell>
          <cell r="SX123">
            <v>191.22093134162932</v>
          </cell>
          <cell r="SY123">
            <v>191.22093134162932</v>
          </cell>
          <cell r="SZ123">
            <v>0</v>
          </cell>
        </row>
        <row r="124">
          <cell r="SQ124">
            <v>0</v>
          </cell>
          <cell r="SR124">
            <v>191.46532837003249</v>
          </cell>
          <cell r="SS124">
            <v>433.98807763874038</v>
          </cell>
          <cell r="ST124">
            <v>0</v>
          </cell>
          <cell r="SU124">
            <v>0</v>
          </cell>
          <cell r="SV124">
            <v>0</v>
          </cell>
          <cell r="SW124">
            <v>0</v>
          </cell>
          <cell r="SX124">
            <v>191.46532837003249</v>
          </cell>
          <cell r="SY124">
            <v>191.46532837003249</v>
          </cell>
          <cell r="SZ124">
            <v>0</v>
          </cell>
        </row>
        <row r="125">
          <cell r="SQ125">
            <v>0</v>
          </cell>
          <cell r="SR125">
            <v>190.97653431320214</v>
          </cell>
          <cell r="SS125">
            <v>432.88014444325819</v>
          </cell>
          <cell r="ST125">
            <v>0</v>
          </cell>
          <cell r="SU125">
            <v>0</v>
          </cell>
          <cell r="SV125">
            <v>0</v>
          </cell>
          <cell r="SW125">
            <v>0</v>
          </cell>
          <cell r="SX125">
            <v>190.97653431320214</v>
          </cell>
          <cell r="SY125">
            <v>190.97653431320214</v>
          </cell>
          <cell r="SZ125">
            <v>0</v>
          </cell>
        </row>
        <row r="126">
          <cell r="SQ126">
            <v>0</v>
          </cell>
          <cell r="SR126">
            <v>191.22093134161841</v>
          </cell>
          <cell r="SS126">
            <v>433.43411104100176</v>
          </cell>
          <cell r="ST126">
            <v>0</v>
          </cell>
          <cell r="SU126">
            <v>0</v>
          </cell>
          <cell r="SV126">
            <v>0</v>
          </cell>
          <cell r="SW126">
            <v>0</v>
          </cell>
          <cell r="SX126">
            <v>191.22093134161841</v>
          </cell>
          <cell r="SY126">
            <v>191.22093134161841</v>
          </cell>
          <cell r="SZ126">
            <v>0</v>
          </cell>
        </row>
      </sheetData>
      <sheetData sheetId="5">
        <row r="4">
          <cell r="SO4">
            <v>82907.058315087561</v>
          </cell>
          <cell r="SP4">
            <v>82907.058315087561</v>
          </cell>
          <cell r="SQ4">
            <v>82907.058315087561</v>
          </cell>
          <cell r="SR4">
            <v>82907.058315087561</v>
          </cell>
          <cell r="SS4">
            <v>82907.058315087561</v>
          </cell>
          <cell r="ST4">
            <v>82907.058315087561</v>
          </cell>
          <cell r="SU4">
            <v>82907.058315087561</v>
          </cell>
          <cell r="SV4">
            <v>82907.058315087561</v>
          </cell>
          <cell r="SW4">
            <v>82907.058315087561</v>
          </cell>
          <cell r="SX4">
            <v>82907.058315087561</v>
          </cell>
        </row>
        <row r="5">
          <cell r="SO5">
            <v>82859.785017739254</v>
          </cell>
          <cell r="SP5">
            <v>82859.785017739254</v>
          </cell>
          <cell r="SQ5">
            <v>82859.785017739254</v>
          </cell>
          <cell r="SR5">
            <v>82859.785017739254</v>
          </cell>
          <cell r="SS5">
            <v>82859.785017739254</v>
          </cell>
          <cell r="ST5">
            <v>82859.785017739254</v>
          </cell>
          <cell r="SU5">
            <v>79590.775982484061</v>
          </cell>
          <cell r="SV5">
            <v>82859.785017739254</v>
          </cell>
          <cell r="SW5">
            <v>82859.785017739254</v>
          </cell>
          <cell r="SX5">
            <v>82859.785017739254</v>
          </cell>
        </row>
        <row r="6">
          <cell r="SO6">
            <v>82811.138810960241</v>
          </cell>
          <cell r="SP6">
            <v>82811.138810960241</v>
          </cell>
          <cell r="SQ6">
            <v>82811.138810960241</v>
          </cell>
          <cell r="SR6">
            <v>82811.138810960241</v>
          </cell>
          <cell r="SS6">
            <v>82811.138810960241</v>
          </cell>
          <cell r="ST6">
            <v>82811.138810960241</v>
          </cell>
          <cell r="SU6">
            <v>76274.493649880562</v>
          </cell>
          <cell r="SV6">
            <v>82811.138810960241</v>
          </cell>
          <cell r="SW6">
            <v>82811.138810960241</v>
          </cell>
          <cell r="SX6">
            <v>82811.138810960241</v>
          </cell>
        </row>
        <row r="7">
          <cell r="SO7">
            <v>82765.19901407804</v>
          </cell>
          <cell r="SP7">
            <v>82765.19901407804</v>
          </cell>
          <cell r="SQ7">
            <v>82765.19901407804</v>
          </cell>
          <cell r="SR7">
            <v>82765.19901407804</v>
          </cell>
          <cell r="SS7">
            <v>82765.19901407804</v>
          </cell>
          <cell r="ST7">
            <v>81154.916034741036</v>
          </cell>
          <cell r="SU7">
            <v>72958.211317277062</v>
          </cell>
          <cell r="SV7">
            <v>82765.19901407804</v>
          </cell>
          <cell r="SW7">
            <v>82765.19901407804</v>
          </cell>
          <cell r="SX7">
            <v>82765.19901407804</v>
          </cell>
        </row>
        <row r="8">
          <cell r="SO8">
            <v>82719.032353144939</v>
          </cell>
          <cell r="SP8">
            <v>82719.032353144939</v>
          </cell>
          <cell r="SQ8">
            <v>82719.032353144939</v>
          </cell>
          <cell r="SR8">
            <v>82719.032353144939</v>
          </cell>
          <cell r="SS8">
            <v>82719.032353144939</v>
          </cell>
          <cell r="ST8">
            <v>79498.693258521831</v>
          </cell>
          <cell r="SU8">
            <v>69641.928984673563</v>
          </cell>
          <cell r="SV8">
            <v>82719.032353144939</v>
          </cell>
          <cell r="SW8">
            <v>82719.032353144939</v>
          </cell>
          <cell r="SX8">
            <v>82719.032353144939</v>
          </cell>
        </row>
        <row r="9">
          <cell r="SO9">
            <v>82672.776588073786</v>
          </cell>
          <cell r="SP9">
            <v>82672.776588073786</v>
          </cell>
          <cell r="SQ9">
            <v>82672.776588073786</v>
          </cell>
          <cell r="SR9">
            <v>82672.776588073786</v>
          </cell>
          <cell r="SS9">
            <v>82672.776588073786</v>
          </cell>
          <cell r="ST9">
            <v>77842.470482302626</v>
          </cell>
          <cell r="SU9">
            <v>66325.646652070063</v>
          </cell>
          <cell r="SV9">
            <v>82672.776588073786</v>
          </cell>
          <cell r="SW9">
            <v>82672.776588073786</v>
          </cell>
          <cell r="SX9">
            <v>82672.776588073786</v>
          </cell>
        </row>
        <row r="10">
          <cell r="SO10">
            <v>82626.451509658364</v>
          </cell>
          <cell r="SP10">
            <v>82626.451509658364</v>
          </cell>
          <cell r="SQ10">
            <v>82626.451509658364</v>
          </cell>
          <cell r="SR10">
            <v>82626.451509658364</v>
          </cell>
          <cell r="SS10">
            <v>82626.451509658364</v>
          </cell>
          <cell r="ST10">
            <v>76186.247706083421</v>
          </cell>
          <cell r="SU10">
            <v>63009.364319466564</v>
          </cell>
          <cell r="SV10">
            <v>82626.451509658364</v>
          </cell>
          <cell r="SW10">
            <v>82626.451509658364</v>
          </cell>
          <cell r="SX10">
            <v>82626.451509658364</v>
          </cell>
        </row>
        <row r="11">
          <cell r="SO11">
            <v>82579.678526371805</v>
          </cell>
          <cell r="SP11">
            <v>82579.678526371805</v>
          </cell>
          <cell r="SQ11">
            <v>82579.678526371805</v>
          </cell>
          <cell r="SR11">
            <v>82579.678526371805</v>
          </cell>
          <cell r="SS11">
            <v>82579.678526371805</v>
          </cell>
          <cell r="ST11">
            <v>74530.024929864216</v>
          </cell>
          <cell r="SU11">
            <v>59693.081986863064</v>
          </cell>
          <cell r="SV11">
            <v>82579.678526371805</v>
          </cell>
          <cell r="SW11">
            <v>82579.678526371805</v>
          </cell>
          <cell r="SX11">
            <v>82579.678526371805</v>
          </cell>
        </row>
        <row r="12">
          <cell r="SO12">
            <v>82532.481178575545</v>
          </cell>
          <cell r="SP12">
            <v>82532.481178575545</v>
          </cell>
          <cell r="SQ12">
            <v>82532.481178575545</v>
          </cell>
          <cell r="SR12">
            <v>82532.481178575545</v>
          </cell>
          <cell r="SS12">
            <v>82532.481178575545</v>
          </cell>
          <cell r="ST12">
            <v>72873.802153645011</v>
          </cell>
          <cell r="SU12">
            <v>56376.799654259565</v>
          </cell>
          <cell r="SV12">
            <v>82532.481178575545</v>
          </cell>
          <cell r="SW12">
            <v>82532.481178575545</v>
          </cell>
          <cell r="SX12">
            <v>82532.481178575545</v>
          </cell>
        </row>
        <row r="13">
          <cell r="SO13">
            <v>82485.042555156469</v>
          </cell>
          <cell r="SP13">
            <v>82485.042555156469</v>
          </cell>
          <cell r="SQ13">
            <v>82485.042555156469</v>
          </cell>
          <cell r="SR13">
            <v>82485.042555156469</v>
          </cell>
          <cell r="SS13">
            <v>82485.042555156469</v>
          </cell>
          <cell r="ST13">
            <v>71217.579377425805</v>
          </cell>
          <cell r="SU13">
            <v>53060.517321656065</v>
          </cell>
          <cell r="SV13">
            <v>82485.042555156469</v>
          </cell>
          <cell r="SW13">
            <v>82485.042555156469</v>
          </cell>
          <cell r="SX13">
            <v>82485.042555156469</v>
          </cell>
        </row>
        <row r="14">
          <cell r="SO14">
            <v>82437.532104103448</v>
          </cell>
          <cell r="SP14">
            <v>82437.532104103448</v>
          </cell>
          <cell r="SQ14">
            <v>82437.532104103448</v>
          </cell>
          <cell r="SR14">
            <v>82437.532104103448</v>
          </cell>
          <cell r="SS14">
            <v>82437.532104103448</v>
          </cell>
          <cell r="ST14">
            <v>69561.3566012066</v>
          </cell>
          <cell r="SU14">
            <v>49744.234989052566</v>
          </cell>
          <cell r="SV14">
            <v>82437.532104103448</v>
          </cell>
          <cell r="SW14">
            <v>82437.532104103448</v>
          </cell>
          <cell r="SX14">
            <v>82437.532104103448</v>
          </cell>
        </row>
        <row r="15">
          <cell r="SO15">
            <v>82389.573187639122</v>
          </cell>
          <cell r="SP15">
            <v>82389.573187639122</v>
          </cell>
          <cell r="SQ15">
            <v>82389.573187639122</v>
          </cell>
          <cell r="SR15">
            <v>82389.573187639122</v>
          </cell>
          <cell r="SS15">
            <v>82389.573187639122</v>
          </cell>
          <cell r="ST15">
            <v>67905.133824987395</v>
          </cell>
          <cell r="SU15">
            <v>46427.952656449066</v>
          </cell>
          <cell r="SV15">
            <v>82389.573187639122</v>
          </cell>
          <cell r="SW15">
            <v>82389.573187639122</v>
          </cell>
          <cell r="SX15">
            <v>82389.573187639122</v>
          </cell>
        </row>
        <row r="16">
          <cell r="SO16">
            <v>82340.993105629357</v>
          </cell>
          <cell r="SP16">
            <v>82340.993105629357</v>
          </cell>
          <cell r="SQ16">
            <v>82340.993105629357</v>
          </cell>
          <cell r="SR16">
            <v>82340.993105629357</v>
          </cell>
          <cell r="SS16">
            <v>82340.993105629357</v>
          </cell>
          <cell r="ST16">
            <v>66248.91104876819</v>
          </cell>
          <cell r="SU16">
            <v>43111.670323845567</v>
          </cell>
          <cell r="SV16">
            <v>82340.993105629357</v>
          </cell>
          <cell r="SW16">
            <v>82340.993105629357</v>
          </cell>
          <cell r="SX16">
            <v>82340.993105629357</v>
          </cell>
        </row>
        <row r="17">
          <cell r="SO17">
            <v>82291.633415879027</v>
          </cell>
          <cell r="SP17">
            <v>82291.633415879027</v>
          </cell>
          <cell r="SQ17">
            <v>82291.633415879027</v>
          </cell>
          <cell r="SR17">
            <v>82291.633415879027</v>
          </cell>
          <cell r="SS17">
            <v>82291.633415879027</v>
          </cell>
          <cell r="ST17">
            <v>64592.688272548985</v>
          </cell>
          <cell r="SU17">
            <v>39795.387991242067</v>
          </cell>
          <cell r="SV17">
            <v>82291.633415879027</v>
          </cell>
          <cell r="SW17">
            <v>82291.633415879027</v>
          </cell>
          <cell r="SX17">
            <v>82291.633415879027</v>
          </cell>
        </row>
        <row r="18">
          <cell r="SO18">
            <v>82241.547648021369</v>
          </cell>
          <cell r="SP18">
            <v>82241.547648021369</v>
          </cell>
          <cell r="SQ18">
            <v>82241.547648021369</v>
          </cell>
          <cell r="SR18">
            <v>82241.547648021369</v>
          </cell>
          <cell r="SS18">
            <v>82241.547648021369</v>
          </cell>
          <cell r="ST18">
            <v>62936.46549632978</v>
          </cell>
          <cell r="SU18">
            <v>36479.105658638568</v>
          </cell>
          <cell r="SV18">
            <v>82241.547648021369</v>
          </cell>
          <cell r="SW18">
            <v>82241.547648021369</v>
          </cell>
          <cell r="SX18">
            <v>82241.547648021369</v>
          </cell>
        </row>
        <row r="19">
          <cell r="SO19">
            <v>82190.664035156355</v>
          </cell>
          <cell r="SP19">
            <v>82190.664035156355</v>
          </cell>
          <cell r="SQ19">
            <v>82190.664035156355</v>
          </cell>
          <cell r="SR19">
            <v>82190.664035156355</v>
          </cell>
          <cell r="SS19">
            <v>82190.664035156355</v>
          </cell>
          <cell r="ST19">
            <v>61280.242720110575</v>
          </cell>
          <cell r="SU19">
            <v>33162.823326035068</v>
          </cell>
          <cell r="SV19">
            <v>82190.664035156355</v>
          </cell>
          <cell r="SW19">
            <v>82190.664035156355</v>
          </cell>
          <cell r="SX19">
            <v>82190.664035156355</v>
          </cell>
        </row>
        <row r="20">
          <cell r="SO20">
            <v>82138.992300713537</v>
          </cell>
          <cell r="SP20">
            <v>82138.992300713537</v>
          </cell>
          <cell r="SQ20">
            <v>82138.992300713537</v>
          </cell>
          <cell r="SR20">
            <v>82138.992300713537</v>
          </cell>
          <cell r="SS20">
            <v>82138.992300713537</v>
          </cell>
          <cell r="ST20">
            <v>59624.01994389137</v>
          </cell>
          <cell r="SU20">
            <v>29846.540993431565</v>
          </cell>
          <cell r="SV20">
            <v>82138.992300713537</v>
          </cell>
          <cell r="SW20">
            <v>82138.992300713537</v>
          </cell>
          <cell r="SX20">
            <v>82138.992300713537</v>
          </cell>
        </row>
        <row r="21">
          <cell r="SO21">
            <v>82086.377304586844</v>
          </cell>
          <cell r="SP21">
            <v>82086.377304586844</v>
          </cell>
          <cell r="SQ21">
            <v>82086.377304586844</v>
          </cell>
          <cell r="SR21">
            <v>82086.377304586844</v>
          </cell>
          <cell r="SS21">
            <v>82086.377304586844</v>
          </cell>
          <cell r="ST21">
            <v>57967.797167672165</v>
          </cell>
          <cell r="SU21">
            <v>26530.258660828062</v>
          </cell>
          <cell r="SV21">
            <v>82086.377304586844</v>
          </cell>
          <cell r="SW21">
            <v>82086.377304586844</v>
          </cell>
          <cell r="SX21">
            <v>82086.377304586844</v>
          </cell>
        </row>
        <row r="22">
          <cell r="SO22">
            <v>82032.854333368727</v>
          </cell>
          <cell r="SP22">
            <v>82032.854333368727</v>
          </cell>
          <cell r="SQ22">
            <v>82032.854333368727</v>
          </cell>
          <cell r="SR22">
            <v>82032.854333368727</v>
          </cell>
          <cell r="SS22">
            <v>82032.854333368727</v>
          </cell>
          <cell r="ST22">
            <v>56311.574391452959</v>
          </cell>
          <cell r="SU22">
            <v>23213.976328224559</v>
          </cell>
          <cell r="SV22">
            <v>82032.854333368727</v>
          </cell>
          <cell r="SW22">
            <v>82032.854333368727</v>
          </cell>
          <cell r="SX22">
            <v>82032.854333368727</v>
          </cell>
        </row>
        <row r="23">
          <cell r="SO23">
            <v>81978.348288261346</v>
          </cell>
          <cell r="SP23">
            <v>81978.348288261346</v>
          </cell>
          <cell r="SQ23">
            <v>81978.348288261346</v>
          </cell>
          <cell r="SR23">
            <v>81978.348288261346</v>
          </cell>
          <cell r="SS23">
            <v>81978.348288261346</v>
          </cell>
          <cell r="ST23">
            <v>54655.351615233754</v>
          </cell>
          <cell r="SU23">
            <v>19897.693995621055</v>
          </cell>
          <cell r="SV23">
            <v>81978.348288261346</v>
          </cell>
          <cell r="SW23">
            <v>81978.348288261346</v>
          </cell>
          <cell r="SX23">
            <v>81978.348288261346</v>
          </cell>
        </row>
        <row r="24">
          <cell r="SO24">
            <v>81923.059978969337</v>
          </cell>
          <cell r="SP24">
            <v>81923.059978969337</v>
          </cell>
          <cell r="SQ24">
            <v>81923.059978969337</v>
          </cell>
          <cell r="SR24">
            <v>81923.059978969337</v>
          </cell>
          <cell r="SS24">
            <v>81923.059978969337</v>
          </cell>
          <cell r="ST24">
            <v>52999.128839014549</v>
          </cell>
          <cell r="SU24">
            <v>16581.411663017552</v>
          </cell>
          <cell r="SV24">
            <v>81923.059978969337</v>
          </cell>
          <cell r="SW24">
            <v>81923.059978969337</v>
          </cell>
          <cell r="SX24">
            <v>81923.059978969337</v>
          </cell>
        </row>
        <row r="25">
          <cell r="SO25">
            <v>81866.88318296097</v>
          </cell>
          <cell r="SP25">
            <v>81866.88318296097</v>
          </cell>
          <cell r="SQ25">
            <v>81866.88318296097</v>
          </cell>
          <cell r="SR25">
            <v>81866.88318296097</v>
          </cell>
          <cell r="SS25">
            <v>81866.88318296097</v>
          </cell>
          <cell r="ST25">
            <v>51342.906062795344</v>
          </cell>
          <cell r="SU25">
            <v>13265.129330414049</v>
          </cell>
          <cell r="SV25">
            <v>81866.88318296097</v>
          </cell>
          <cell r="SW25">
            <v>81866.88318296097</v>
          </cell>
          <cell r="SX25">
            <v>81866.88318296097</v>
          </cell>
        </row>
        <row r="26">
          <cell r="SO26">
            <v>81809.796321691349</v>
          </cell>
          <cell r="SP26">
            <v>81809.796321691349</v>
          </cell>
          <cell r="SQ26">
            <v>81809.796321691349</v>
          </cell>
          <cell r="SR26">
            <v>81809.796321691349</v>
          </cell>
          <cell r="SS26">
            <v>81809.796321691349</v>
          </cell>
          <cell r="ST26">
            <v>49686.683286576139</v>
          </cell>
          <cell r="SU26">
            <v>9948.8469978105459</v>
          </cell>
          <cell r="SV26">
            <v>81809.796321691349</v>
          </cell>
          <cell r="SW26">
            <v>81809.796321691349</v>
          </cell>
          <cell r="SX26">
            <v>81809.796321691349</v>
          </cell>
        </row>
        <row r="27">
          <cell r="SO27">
            <v>81751.65985151926</v>
          </cell>
          <cell r="SP27">
            <v>81751.65985151926</v>
          </cell>
          <cell r="SQ27">
            <v>81751.65985151926</v>
          </cell>
          <cell r="SR27">
            <v>81751.65985151926</v>
          </cell>
          <cell r="SS27">
            <v>81751.65985151926</v>
          </cell>
          <cell r="ST27">
            <v>48030.460510356934</v>
          </cell>
          <cell r="SU27">
            <v>6632.5646652070427</v>
          </cell>
          <cell r="SV27">
            <v>81751.65985151926</v>
          </cell>
          <cell r="SW27">
            <v>81751.65985151926</v>
          </cell>
          <cell r="SX27">
            <v>81751.65985151926</v>
          </cell>
        </row>
        <row r="28">
          <cell r="SO28">
            <v>81692.646551557831</v>
          </cell>
          <cell r="SP28">
            <v>81692.646551557831</v>
          </cell>
          <cell r="SQ28">
            <v>81692.646551557831</v>
          </cell>
          <cell r="SR28">
            <v>81692.646551557831</v>
          </cell>
          <cell r="SS28">
            <v>81692.646551557831</v>
          </cell>
          <cell r="ST28">
            <v>46374.237734137729</v>
          </cell>
          <cell r="SU28">
            <v>4145.352915754378</v>
          </cell>
          <cell r="SV28">
            <v>81692.646551557831</v>
          </cell>
          <cell r="SW28">
            <v>81692.646551557831</v>
          </cell>
          <cell r="SX28">
            <v>81692.646551557831</v>
          </cell>
        </row>
        <row r="29">
          <cell r="SO29">
            <v>81632.744514857215</v>
          </cell>
          <cell r="SP29">
            <v>81632.744514857215</v>
          </cell>
          <cell r="SQ29">
            <v>81632.744514857215</v>
          </cell>
          <cell r="SR29">
            <v>81632.744514857215</v>
          </cell>
          <cell r="SS29">
            <v>81632.744514857215</v>
          </cell>
          <cell r="ST29">
            <v>44718.014957918524</v>
          </cell>
          <cell r="SU29">
            <v>4145.352915754378</v>
          </cell>
          <cell r="SV29">
            <v>81632.744514857215</v>
          </cell>
          <cell r="SW29">
            <v>81632.744514857215</v>
          </cell>
          <cell r="SX29">
            <v>81632.744514857215</v>
          </cell>
        </row>
        <row r="30">
          <cell r="SO30">
            <v>81571.977224861737</v>
          </cell>
          <cell r="SP30">
            <v>81571.977224861737</v>
          </cell>
          <cell r="SQ30">
            <v>81571.977224861737</v>
          </cell>
          <cell r="SR30">
            <v>81571.977224861737</v>
          </cell>
          <cell r="SS30">
            <v>81571.977224861737</v>
          </cell>
          <cell r="ST30">
            <v>43061.792181699318</v>
          </cell>
          <cell r="SU30">
            <v>4145.352915754378</v>
          </cell>
          <cell r="SV30">
            <v>81571.977224861737</v>
          </cell>
          <cell r="SW30">
            <v>81571.977224861737</v>
          </cell>
          <cell r="SX30">
            <v>81571.977224861737</v>
          </cell>
        </row>
        <row r="31">
          <cell r="SO31">
            <v>81510.163998388627</v>
          </cell>
          <cell r="SP31">
            <v>81510.163998388627</v>
          </cell>
          <cell r="SQ31">
            <v>81510.163998388627</v>
          </cell>
          <cell r="SR31">
            <v>81510.163998388627</v>
          </cell>
          <cell r="SS31">
            <v>81510.163998388627</v>
          </cell>
          <cell r="ST31">
            <v>41405.569405480113</v>
          </cell>
          <cell r="SU31">
            <v>4145.352915754378</v>
          </cell>
          <cell r="SV31">
            <v>81510.163998388627</v>
          </cell>
          <cell r="SW31">
            <v>81510.163998388627</v>
          </cell>
          <cell r="SX31">
            <v>81510.163998388627</v>
          </cell>
        </row>
        <row r="32">
          <cell r="SO32">
            <v>81447.457922082467</v>
          </cell>
          <cell r="SP32">
            <v>81447.457922082467</v>
          </cell>
          <cell r="SQ32">
            <v>81447.457922082467</v>
          </cell>
          <cell r="SR32">
            <v>81447.457922082467</v>
          </cell>
          <cell r="SS32">
            <v>81447.457922082467</v>
          </cell>
          <cell r="ST32">
            <v>39749.346629260908</v>
          </cell>
          <cell r="SU32">
            <v>4145.352915754378</v>
          </cell>
          <cell r="SV32">
            <v>81447.457922082467</v>
          </cell>
          <cell r="SW32">
            <v>81447.457922082467</v>
          </cell>
          <cell r="SX32">
            <v>81447.457922082467</v>
          </cell>
        </row>
        <row r="36">
          <cell r="SO36">
            <v>0</v>
          </cell>
          <cell r="SP36">
            <v>0</v>
          </cell>
          <cell r="SQ36">
            <v>0</v>
          </cell>
          <cell r="SR36">
            <v>0</v>
          </cell>
          <cell r="SS36">
            <v>0</v>
          </cell>
          <cell r="ST36">
            <v>0</v>
          </cell>
          <cell r="SU36">
            <v>0</v>
          </cell>
          <cell r="SV36">
            <v>0</v>
          </cell>
          <cell r="SW36">
            <v>0</v>
          </cell>
          <cell r="SX36">
            <v>0</v>
          </cell>
        </row>
        <row r="37">
          <cell r="SO37">
            <v>0</v>
          </cell>
          <cell r="SP37">
            <v>0</v>
          </cell>
          <cell r="SQ37">
            <v>0</v>
          </cell>
          <cell r="SR37">
            <v>0</v>
          </cell>
          <cell r="SS37">
            <v>0</v>
          </cell>
          <cell r="ST37">
            <v>0</v>
          </cell>
          <cell r="SU37">
            <v>0</v>
          </cell>
          <cell r="SV37">
            <v>0</v>
          </cell>
          <cell r="SW37">
            <v>0</v>
          </cell>
          <cell r="SX37">
            <v>0</v>
          </cell>
        </row>
        <row r="38">
          <cell r="SO38">
            <v>0</v>
          </cell>
          <cell r="SP38">
            <v>0</v>
          </cell>
          <cell r="SQ38">
            <v>0</v>
          </cell>
          <cell r="SR38">
            <v>0</v>
          </cell>
          <cell r="SS38">
            <v>0</v>
          </cell>
          <cell r="ST38">
            <v>0</v>
          </cell>
          <cell r="SU38">
            <v>0</v>
          </cell>
          <cell r="SV38">
            <v>0</v>
          </cell>
          <cell r="SW38">
            <v>0</v>
          </cell>
          <cell r="SX38">
            <v>0</v>
          </cell>
        </row>
        <row r="39">
          <cell r="SO39">
            <v>0</v>
          </cell>
          <cell r="SP39">
            <v>165.5303980281561</v>
          </cell>
          <cell r="SQ39">
            <v>66.212159211262431</v>
          </cell>
          <cell r="SR39">
            <v>0</v>
          </cell>
          <cell r="SS39">
            <v>165.5303980281561</v>
          </cell>
          <cell r="ST39">
            <v>0</v>
          </cell>
          <cell r="SU39">
            <v>0</v>
          </cell>
          <cell r="SV39">
            <v>165.5303980281561</v>
          </cell>
          <cell r="SW39">
            <v>165.5303980281561</v>
          </cell>
          <cell r="SX39">
            <v>0</v>
          </cell>
        </row>
        <row r="40">
          <cell r="SO40">
            <v>0</v>
          </cell>
          <cell r="SP40">
            <v>330.87612941257976</v>
          </cell>
          <cell r="SQ40">
            <v>132.35045176503189</v>
          </cell>
          <cell r="SR40">
            <v>0</v>
          </cell>
          <cell r="SS40">
            <v>330.87612941257976</v>
          </cell>
          <cell r="ST40">
            <v>0</v>
          </cell>
          <cell r="SU40">
            <v>0</v>
          </cell>
          <cell r="SV40">
            <v>330.87612941257976</v>
          </cell>
          <cell r="SW40">
            <v>330.87612941257976</v>
          </cell>
          <cell r="SX40">
            <v>0</v>
          </cell>
        </row>
        <row r="41">
          <cell r="SO41">
            <v>0</v>
          </cell>
          <cell r="SP41">
            <v>496.03665952844267</v>
          </cell>
          <cell r="SQ41">
            <v>231.48377444660662</v>
          </cell>
          <cell r="SR41">
            <v>0</v>
          </cell>
          <cell r="SS41">
            <v>496.03665952844267</v>
          </cell>
          <cell r="ST41">
            <v>0</v>
          </cell>
          <cell r="SU41">
            <v>0</v>
          </cell>
          <cell r="SV41">
            <v>496.03665952844267</v>
          </cell>
          <cell r="SW41">
            <v>496.03665952844267</v>
          </cell>
          <cell r="SX41">
            <v>0</v>
          </cell>
        </row>
        <row r="42">
          <cell r="SO42">
            <v>0</v>
          </cell>
          <cell r="SP42">
            <v>661.01161207726693</v>
          </cell>
          <cell r="SQ42">
            <v>330.50580603863347</v>
          </cell>
          <cell r="SR42">
            <v>0</v>
          </cell>
          <cell r="SS42">
            <v>661.01161207726693</v>
          </cell>
          <cell r="ST42">
            <v>0</v>
          </cell>
          <cell r="SU42">
            <v>0</v>
          </cell>
          <cell r="SV42">
            <v>661.01161207726693</v>
          </cell>
          <cell r="SW42">
            <v>661.01161207726693</v>
          </cell>
          <cell r="SX42">
            <v>0</v>
          </cell>
        </row>
        <row r="43">
          <cell r="SO43">
            <v>0</v>
          </cell>
          <cell r="SP43">
            <v>825.79678526371799</v>
          </cell>
          <cell r="SQ43">
            <v>462.4461997476821</v>
          </cell>
          <cell r="SR43">
            <v>0</v>
          </cell>
          <cell r="SS43">
            <v>825.79678526371799</v>
          </cell>
          <cell r="ST43">
            <v>0</v>
          </cell>
          <cell r="SU43">
            <v>0</v>
          </cell>
          <cell r="SV43">
            <v>825.79678526371799</v>
          </cell>
          <cell r="SW43">
            <v>825.79678526371799</v>
          </cell>
          <cell r="SX43">
            <v>0</v>
          </cell>
        </row>
        <row r="44">
          <cell r="SO44">
            <v>0</v>
          </cell>
          <cell r="SP44">
            <v>990.38977414290639</v>
          </cell>
          <cell r="SQ44">
            <v>594.23386448574388</v>
          </cell>
          <cell r="SR44">
            <v>0</v>
          </cell>
          <cell r="SS44">
            <v>825.3248117857554</v>
          </cell>
          <cell r="ST44">
            <v>0</v>
          </cell>
          <cell r="SU44">
            <v>0</v>
          </cell>
          <cell r="SV44">
            <v>990.38977414290639</v>
          </cell>
          <cell r="SW44">
            <v>990.38977414290639</v>
          </cell>
          <cell r="SX44">
            <v>0</v>
          </cell>
        </row>
        <row r="45">
          <cell r="SO45">
            <v>0</v>
          </cell>
          <cell r="SP45">
            <v>989.82051066187762</v>
          </cell>
          <cell r="SQ45">
            <v>758.86239150743961</v>
          </cell>
          <cell r="SR45">
            <v>0</v>
          </cell>
          <cell r="SS45">
            <v>824.85042555156474</v>
          </cell>
          <cell r="ST45">
            <v>0</v>
          </cell>
          <cell r="SU45">
            <v>0</v>
          </cell>
          <cell r="SV45">
            <v>989.82051066187762</v>
          </cell>
          <cell r="SW45">
            <v>989.82051066187762</v>
          </cell>
          <cell r="SX45">
            <v>0</v>
          </cell>
        </row>
        <row r="46">
          <cell r="SO46">
            <v>0</v>
          </cell>
          <cell r="SP46">
            <v>989.25038524924128</v>
          </cell>
          <cell r="SQ46">
            <v>923.30035956595873</v>
          </cell>
          <cell r="SR46">
            <v>0</v>
          </cell>
          <cell r="SS46">
            <v>824.37532104103445</v>
          </cell>
          <cell r="ST46">
            <v>0</v>
          </cell>
          <cell r="SU46">
            <v>0</v>
          </cell>
          <cell r="SV46">
            <v>989.25038524924128</v>
          </cell>
          <cell r="SW46">
            <v>989.25038524924128</v>
          </cell>
          <cell r="SX46">
            <v>0</v>
          </cell>
        </row>
        <row r="47">
          <cell r="SO47">
            <v>0</v>
          </cell>
          <cell r="SP47">
            <v>988.67487825166938</v>
          </cell>
          <cell r="SQ47">
            <v>1120.498195351892</v>
          </cell>
          <cell r="SR47">
            <v>0</v>
          </cell>
          <cell r="SS47">
            <v>823.89573187639121</v>
          </cell>
          <cell r="ST47">
            <v>0</v>
          </cell>
          <cell r="SU47">
            <v>0</v>
          </cell>
          <cell r="SV47">
            <v>988.67487825166938</v>
          </cell>
          <cell r="SW47">
            <v>988.67487825166938</v>
          </cell>
          <cell r="SX47">
            <v>0</v>
          </cell>
        </row>
        <row r="48">
          <cell r="SO48">
            <v>0</v>
          </cell>
          <cell r="SP48">
            <v>988.09191726755216</v>
          </cell>
          <cell r="SQ48">
            <v>1317.4558896900699</v>
          </cell>
          <cell r="SR48">
            <v>0</v>
          </cell>
          <cell r="SS48">
            <v>823.40993105629354</v>
          </cell>
          <cell r="ST48">
            <v>0</v>
          </cell>
          <cell r="SU48">
            <v>0</v>
          </cell>
          <cell r="SV48">
            <v>988.09191726755216</v>
          </cell>
          <cell r="SW48">
            <v>988.09191726755216</v>
          </cell>
          <cell r="SX48">
            <v>0</v>
          </cell>
        </row>
        <row r="49">
          <cell r="SO49">
            <v>0</v>
          </cell>
          <cell r="SP49">
            <v>987.49960099054829</v>
          </cell>
          <cell r="SQ49">
            <v>1547.0827082185256</v>
          </cell>
          <cell r="SR49">
            <v>0</v>
          </cell>
          <cell r="SS49">
            <v>822.91633415879028</v>
          </cell>
          <cell r="ST49">
            <v>0</v>
          </cell>
          <cell r="SU49">
            <v>0</v>
          </cell>
          <cell r="SV49">
            <v>987.49960099054829</v>
          </cell>
          <cell r="SW49">
            <v>987.49960099054829</v>
          </cell>
          <cell r="SX49">
            <v>0</v>
          </cell>
        </row>
        <row r="50">
          <cell r="SO50">
            <v>0</v>
          </cell>
          <cell r="SP50">
            <v>986.8985717762564</v>
          </cell>
          <cell r="SQ50">
            <v>1743.5208101380531</v>
          </cell>
          <cell r="SR50">
            <v>0</v>
          </cell>
          <cell r="SS50">
            <v>822.41547648021367</v>
          </cell>
          <cell r="ST50">
            <v>0</v>
          </cell>
          <cell r="SU50">
            <v>0</v>
          </cell>
          <cell r="SV50">
            <v>986.8985717762564</v>
          </cell>
          <cell r="SW50">
            <v>986.8985717762564</v>
          </cell>
          <cell r="SX50">
            <v>0</v>
          </cell>
        </row>
        <row r="51">
          <cell r="SO51">
            <v>0</v>
          </cell>
          <cell r="SP51">
            <v>986.28796842187614</v>
          </cell>
          <cell r="SQ51">
            <v>1906.8234056156273</v>
          </cell>
          <cell r="SR51">
            <v>0</v>
          </cell>
          <cell r="SS51">
            <v>821.90664035156351</v>
          </cell>
          <cell r="ST51">
            <v>0</v>
          </cell>
          <cell r="SU51">
            <v>0</v>
          </cell>
          <cell r="SV51">
            <v>986.28796842187614</v>
          </cell>
          <cell r="SW51">
            <v>986.28796842187614</v>
          </cell>
          <cell r="SX51">
            <v>0</v>
          </cell>
        </row>
        <row r="52">
          <cell r="SO52">
            <v>0</v>
          </cell>
          <cell r="SP52">
            <v>985.66790760856247</v>
          </cell>
          <cell r="SQ52">
            <v>2037.0470090576957</v>
          </cell>
          <cell r="SR52">
            <v>0</v>
          </cell>
          <cell r="SS52">
            <v>821.38992300713539</v>
          </cell>
          <cell r="ST52">
            <v>0</v>
          </cell>
          <cell r="SU52">
            <v>0</v>
          </cell>
          <cell r="SV52">
            <v>985.66790760856247</v>
          </cell>
          <cell r="SW52">
            <v>985.66790760856247</v>
          </cell>
          <cell r="SX52">
            <v>0</v>
          </cell>
        </row>
        <row r="53">
          <cell r="SO53">
            <v>0</v>
          </cell>
          <cell r="SP53">
            <v>985.03652765504216</v>
          </cell>
          <cell r="SQ53">
            <v>2134.2458099192581</v>
          </cell>
          <cell r="SR53">
            <v>0</v>
          </cell>
          <cell r="SS53">
            <v>820.86377304586847</v>
          </cell>
          <cell r="ST53">
            <v>0</v>
          </cell>
          <cell r="SU53">
            <v>0</v>
          </cell>
          <cell r="SV53">
            <v>985.03652765504216</v>
          </cell>
          <cell r="SW53">
            <v>985.03652765504216</v>
          </cell>
          <cell r="SX53">
            <v>0</v>
          </cell>
        </row>
        <row r="54">
          <cell r="SO54">
            <v>0</v>
          </cell>
          <cell r="SP54">
            <v>984.39425200042479</v>
          </cell>
          <cell r="SQ54">
            <v>2198.480496134282</v>
          </cell>
          <cell r="SR54">
            <v>0</v>
          </cell>
          <cell r="SS54">
            <v>820.32854333368732</v>
          </cell>
          <cell r="ST54">
            <v>0</v>
          </cell>
          <cell r="SU54">
            <v>0</v>
          </cell>
          <cell r="SV54">
            <v>984.39425200042479</v>
          </cell>
          <cell r="SW54">
            <v>984.39425200042479</v>
          </cell>
          <cell r="SX54">
            <v>0</v>
          </cell>
        </row>
        <row r="55">
          <cell r="SO55">
            <v>0</v>
          </cell>
          <cell r="SP55">
            <v>983.74017945913613</v>
          </cell>
          <cell r="SQ55">
            <v>2229.8110734407087</v>
          </cell>
          <cell r="SR55">
            <v>0</v>
          </cell>
          <cell r="SS55">
            <v>819.7834828826135</v>
          </cell>
          <cell r="ST55">
            <v>0</v>
          </cell>
          <cell r="SU55">
            <v>0</v>
          </cell>
          <cell r="SV55">
            <v>983.74017945913613</v>
          </cell>
          <cell r="SW55">
            <v>983.74017945913613</v>
          </cell>
          <cell r="SX55">
            <v>0</v>
          </cell>
        </row>
        <row r="56">
          <cell r="SO56">
            <v>0</v>
          </cell>
          <cell r="SP56">
            <v>983.07671974763196</v>
          </cell>
          <cell r="SQ56">
            <v>2228.3072314279661</v>
          </cell>
          <cell r="SR56">
            <v>0</v>
          </cell>
          <cell r="SS56">
            <v>819.23059978969331</v>
          </cell>
          <cell r="ST56">
            <v>0</v>
          </cell>
          <cell r="SU56">
            <v>0</v>
          </cell>
          <cell r="SV56">
            <v>983.07671974763196</v>
          </cell>
          <cell r="SW56">
            <v>983.07671974763196</v>
          </cell>
          <cell r="SX56">
            <v>0</v>
          </cell>
        </row>
        <row r="57">
          <cell r="SO57">
            <v>0</v>
          </cell>
          <cell r="SP57">
            <v>982.40259819553148</v>
          </cell>
          <cell r="SQ57">
            <v>2226.7792225765384</v>
          </cell>
          <cell r="SR57">
            <v>0</v>
          </cell>
          <cell r="SS57">
            <v>818.66883182960964</v>
          </cell>
          <cell r="ST57">
            <v>0</v>
          </cell>
          <cell r="SU57">
            <v>0</v>
          </cell>
          <cell r="SV57">
            <v>982.40259819553148</v>
          </cell>
          <cell r="SW57">
            <v>982.40259819553148</v>
          </cell>
          <cell r="SX57">
            <v>0</v>
          </cell>
        </row>
        <row r="58">
          <cell r="SO58">
            <v>0</v>
          </cell>
          <cell r="SP58">
            <v>981.71755586029622</v>
          </cell>
          <cell r="SQ58">
            <v>2225.2264599500049</v>
          </cell>
          <cell r="SR58">
            <v>0</v>
          </cell>
          <cell r="SS58">
            <v>818.09796321691351</v>
          </cell>
          <cell r="ST58">
            <v>0</v>
          </cell>
          <cell r="SU58">
            <v>0</v>
          </cell>
          <cell r="SV58">
            <v>981.71755586029622</v>
          </cell>
          <cell r="SW58">
            <v>981.71755586029622</v>
          </cell>
          <cell r="SX58">
            <v>0</v>
          </cell>
        </row>
        <row r="59">
          <cell r="SO59">
            <v>0</v>
          </cell>
          <cell r="SP59">
            <v>981.01991821823117</v>
          </cell>
          <cell r="SQ59">
            <v>2223.6451479613243</v>
          </cell>
          <cell r="SR59">
            <v>0</v>
          </cell>
          <cell r="SS59">
            <v>817.51659851519264</v>
          </cell>
          <cell r="ST59">
            <v>0</v>
          </cell>
          <cell r="SU59">
            <v>0</v>
          </cell>
          <cell r="SV59">
            <v>981.01991821823117</v>
          </cell>
          <cell r="SW59">
            <v>981.01991821823117</v>
          </cell>
          <cell r="SX59">
            <v>0</v>
          </cell>
        </row>
        <row r="60">
          <cell r="SO60">
            <v>0</v>
          </cell>
          <cell r="SP60">
            <v>980.31175861869394</v>
          </cell>
          <cell r="SQ60">
            <v>2222.0399862023733</v>
          </cell>
          <cell r="SR60">
            <v>0</v>
          </cell>
          <cell r="SS60">
            <v>816.92646551557834</v>
          </cell>
          <cell r="ST60">
            <v>0</v>
          </cell>
          <cell r="SU60">
            <v>0</v>
          </cell>
          <cell r="SV60">
            <v>980.31175861869394</v>
          </cell>
          <cell r="SW60">
            <v>980.31175861869394</v>
          </cell>
          <cell r="SX60">
            <v>0</v>
          </cell>
        </row>
        <row r="61">
          <cell r="SO61">
            <v>0</v>
          </cell>
          <cell r="SP61">
            <v>979.59293417828644</v>
          </cell>
          <cell r="SQ61">
            <v>2220.4106508041164</v>
          </cell>
          <cell r="SR61">
            <v>0</v>
          </cell>
          <cell r="SS61">
            <v>816.32744514857211</v>
          </cell>
          <cell r="ST61">
            <v>0</v>
          </cell>
          <cell r="SU61">
            <v>0</v>
          </cell>
          <cell r="SV61">
            <v>979.59293417828644</v>
          </cell>
          <cell r="SW61">
            <v>979.59293417828644</v>
          </cell>
          <cell r="SX61">
            <v>0</v>
          </cell>
        </row>
        <row r="62">
          <cell r="SO62">
            <v>0</v>
          </cell>
          <cell r="SP62">
            <v>978.86372669834077</v>
          </cell>
          <cell r="SQ62">
            <v>2218.7577805162396</v>
          </cell>
          <cell r="SR62">
            <v>0</v>
          </cell>
          <cell r="SS62">
            <v>815.71977224861735</v>
          </cell>
          <cell r="ST62">
            <v>0</v>
          </cell>
          <cell r="SU62">
            <v>0</v>
          </cell>
          <cell r="SV62">
            <v>978.86372669834077</v>
          </cell>
          <cell r="SW62">
            <v>978.86372669834077</v>
          </cell>
          <cell r="SX62">
            <v>0</v>
          </cell>
        </row>
        <row r="63">
          <cell r="SO63">
            <v>0</v>
          </cell>
          <cell r="SP63">
            <v>978.12196798066338</v>
          </cell>
          <cell r="SQ63">
            <v>2217.0764607561705</v>
          </cell>
          <cell r="SR63">
            <v>0</v>
          </cell>
          <cell r="SS63">
            <v>815.10163998388623</v>
          </cell>
          <cell r="ST63">
            <v>0</v>
          </cell>
          <cell r="SU63">
            <v>0</v>
          </cell>
          <cell r="SV63">
            <v>978.12196798066338</v>
          </cell>
          <cell r="SW63">
            <v>978.12196798066338</v>
          </cell>
          <cell r="SX63">
            <v>0</v>
          </cell>
        </row>
        <row r="64">
          <cell r="SO64">
            <v>0</v>
          </cell>
          <cell r="SP64">
            <v>811.83909703683344</v>
          </cell>
          <cell r="SQ64">
            <v>2149.1586962693809</v>
          </cell>
          <cell r="SR64">
            <v>0</v>
          </cell>
          <cell r="SS64">
            <v>648.94418119266857</v>
          </cell>
          <cell r="ST64">
            <v>0</v>
          </cell>
          <cell r="SU64">
            <v>0</v>
          </cell>
          <cell r="SV64">
            <v>811.83909703683344</v>
          </cell>
          <cell r="SW64">
            <v>811.83909703683344</v>
          </cell>
          <cell r="SX64">
            <v>0</v>
          </cell>
        </row>
        <row r="100">
          <cell r="SO100">
            <v>0</v>
          </cell>
          <cell r="SP100">
            <v>0</v>
          </cell>
          <cell r="SQ100">
            <v>0</v>
          </cell>
          <cell r="SR100">
            <v>0</v>
          </cell>
          <cell r="SS100">
            <v>0</v>
          </cell>
          <cell r="ST100">
            <v>0</v>
          </cell>
          <cell r="SU100">
            <v>0</v>
          </cell>
          <cell r="SV100">
            <v>0</v>
          </cell>
          <cell r="SW100">
            <v>0</v>
          </cell>
          <cell r="SX100">
            <v>0</v>
          </cell>
        </row>
        <row r="101">
          <cell r="SO101">
            <v>0</v>
          </cell>
          <cell r="SP101">
            <v>0</v>
          </cell>
          <cell r="SQ101">
            <v>0</v>
          </cell>
          <cell r="SR101">
            <v>497.15871010643548</v>
          </cell>
          <cell r="SS101">
            <v>0</v>
          </cell>
          <cell r="ST101">
            <v>0</v>
          </cell>
          <cell r="SU101">
            <v>0</v>
          </cell>
          <cell r="SV101">
            <v>0</v>
          </cell>
          <cell r="SW101">
            <v>0</v>
          </cell>
          <cell r="SX101">
            <v>0</v>
          </cell>
        </row>
        <row r="102">
          <cell r="SO102">
            <v>0</v>
          </cell>
          <cell r="SP102">
            <v>0</v>
          </cell>
          <cell r="SQ102">
            <v>0</v>
          </cell>
          <cell r="SR102">
            <v>993.73366573152293</v>
          </cell>
          <cell r="SS102">
            <v>0</v>
          </cell>
          <cell r="ST102">
            <v>0</v>
          </cell>
          <cell r="SU102">
            <v>0</v>
          </cell>
          <cell r="SV102">
            <v>0</v>
          </cell>
          <cell r="SW102">
            <v>0</v>
          </cell>
          <cell r="SX102">
            <v>0</v>
          </cell>
        </row>
        <row r="103">
          <cell r="SO103">
            <v>0</v>
          </cell>
          <cell r="SP103">
            <v>993.18238816893643</v>
          </cell>
          <cell r="SQ103">
            <v>331.0607960563122</v>
          </cell>
          <cell r="SR103">
            <v>1655.3039802815608</v>
          </cell>
          <cell r="SS103">
            <v>993.18238816893643</v>
          </cell>
          <cell r="ST103">
            <v>0</v>
          </cell>
          <cell r="SU103">
            <v>0</v>
          </cell>
          <cell r="SV103">
            <v>165.5303980281561</v>
          </cell>
          <cell r="SW103">
            <v>165.5303980281561</v>
          </cell>
          <cell r="SX103">
            <v>331.0607960563122</v>
          </cell>
        </row>
        <row r="104">
          <cell r="SO104">
            <v>0</v>
          </cell>
          <cell r="SP104">
            <v>992.62838823773927</v>
          </cell>
          <cell r="SQ104">
            <v>330.87612941257976</v>
          </cell>
          <cell r="SR104">
            <v>2481.5709705943482</v>
          </cell>
          <cell r="SS104">
            <v>992.62838823773927</v>
          </cell>
          <cell r="ST104">
            <v>0</v>
          </cell>
          <cell r="SU104">
            <v>0</v>
          </cell>
          <cell r="SV104">
            <v>330.87612941257976</v>
          </cell>
          <cell r="SW104">
            <v>330.87612941257976</v>
          </cell>
          <cell r="SX104">
            <v>496.31419411886964</v>
          </cell>
        </row>
        <row r="105">
          <cell r="SO105">
            <v>0</v>
          </cell>
          <cell r="SP105">
            <v>992.07331905688534</v>
          </cell>
          <cell r="SQ105">
            <v>330.69110635229515</v>
          </cell>
          <cell r="SR105">
            <v>2976.219957170656</v>
          </cell>
          <cell r="SS105">
            <v>992.07331905688534</v>
          </cell>
          <cell r="ST105">
            <v>0</v>
          </cell>
          <cell r="SU105">
            <v>0</v>
          </cell>
          <cell r="SV105">
            <v>496.03665952844267</v>
          </cell>
          <cell r="SW105">
            <v>496.03665952844267</v>
          </cell>
          <cell r="SX105">
            <v>661.3822127045903</v>
          </cell>
        </row>
        <row r="106">
          <cell r="SO106">
            <v>0</v>
          </cell>
          <cell r="SP106">
            <v>991.51741811590034</v>
          </cell>
          <cell r="SQ106">
            <v>330.50580603863347</v>
          </cell>
          <cell r="SR106">
            <v>3305.0580603863345</v>
          </cell>
          <cell r="SS106">
            <v>991.51741811590034</v>
          </cell>
          <cell r="ST106">
            <v>0</v>
          </cell>
          <cell r="SU106">
            <v>0</v>
          </cell>
          <cell r="SV106">
            <v>661.01161207726693</v>
          </cell>
          <cell r="SW106">
            <v>661.01161207726693</v>
          </cell>
          <cell r="SX106">
            <v>826.26451509658364</v>
          </cell>
        </row>
        <row r="107">
          <cell r="SO107">
            <v>0</v>
          </cell>
          <cell r="SP107">
            <v>990.95614231646152</v>
          </cell>
          <cell r="SQ107">
            <v>330.31871410548723</v>
          </cell>
          <cell r="SR107">
            <v>3303.187141054872</v>
          </cell>
          <cell r="SS107">
            <v>990.95614231646152</v>
          </cell>
          <cell r="ST107">
            <v>0</v>
          </cell>
          <cell r="SU107">
            <v>0</v>
          </cell>
          <cell r="SV107">
            <v>825.79678526371799</v>
          </cell>
          <cell r="SW107">
            <v>825.79678526371799</v>
          </cell>
          <cell r="SX107">
            <v>990.95614231646152</v>
          </cell>
        </row>
        <row r="108">
          <cell r="SO108">
            <v>0</v>
          </cell>
          <cell r="SP108">
            <v>990.38977414290639</v>
          </cell>
          <cell r="SQ108">
            <v>330.12992471430221</v>
          </cell>
          <cell r="SR108">
            <v>3301.2992471430216</v>
          </cell>
          <cell r="SS108">
            <v>990.38977414290639</v>
          </cell>
          <cell r="ST108">
            <v>0</v>
          </cell>
          <cell r="SU108">
            <v>0</v>
          </cell>
          <cell r="SV108">
            <v>990.38977414290639</v>
          </cell>
          <cell r="SW108">
            <v>990.38977414290639</v>
          </cell>
          <cell r="SX108">
            <v>990.38977414290639</v>
          </cell>
        </row>
        <row r="109">
          <cell r="SO109">
            <v>0</v>
          </cell>
          <cell r="SP109">
            <v>989.82051066187762</v>
          </cell>
          <cell r="SQ109">
            <v>329.94017022062593</v>
          </cell>
          <cell r="SR109">
            <v>3299.401702206259</v>
          </cell>
          <cell r="SS109">
            <v>989.82051066187762</v>
          </cell>
          <cell r="ST109">
            <v>0</v>
          </cell>
          <cell r="SU109">
            <v>0</v>
          </cell>
          <cell r="SV109">
            <v>989.82051066187762</v>
          </cell>
          <cell r="SW109">
            <v>989.82051066187762</v>
          </cell>
          <cell r="SX109">
            <v>989.82051066187762</v>
          </cell>
        </row>
        <row r="110">
          <cell r="SO110">
            <v>0</v>
          </cell>
          <cell r="SP110">
            <v>989.25038524924128</v>
          </cell>
          <cell r="SQ110">
            <v>329.75012841641382</v>
          </cell>
          <cell r="SR110">
            <v>3297.5012841641378</v>
          </cell>
          <cell r="SS110">
            <v>989.25038524924128</v>
          </cell>
          <cell r="ST110">
            <v>0</v>
          </cell>
          <cell r="SU110">
            <v>0</v>
          </cell>
          <cell r="SV110">
            <v>989.25038524924128</v>
          </cell>
          <cell r="SW110">
            <v>989.25038524924128</v>
          </cell>
          <cell r="SX110">
            <v>989.25038524924128</v>
          </cell>
        </row>
        <row r="111">
          <cell r="SO111">
            <v>0</v>
          </cell>
          <cell r="SP111">
            <v>988.67487825166938</v>
          </cell>
          <cell r="SQ111">
            <v>329.55829275055652</v>
          </cell>
          <cell r="SR111">
            <v>3295.5829275055648</v>
          </cell>
          <cell r="SS111">
            <v>988.67487825166938</v>
          </cell>
          <cell r="ST111">
            <v>0</v>
          </cell>
          <cell r="SU111">
            <v>0</v>
          </cell>
          <cell r="SV111">
            <v>988.67487825166938</v>
          </cell>
          <cell r="SW111">
            <v>988.67487825166938</v>
          </cell>
          <cell r="SX111">
            <v>988.67487825166938</v>
          </cell>
        </row>
        <row r="112">
          <cell r="SO112">
            <v>0</v>
          </cell>
          <cell r="SP112">
            <v>988.09191726755216</v>
          </cell>
          <cell r="SQ112">
            <v>329.36397242251746</v>
          </cell>
          <cell r="SR112">
            <v>3293.6397242251742</v>
          </cell>
          <cell r="SS112">
            <v>988.09191726755216</v>
          </cell>
          <cell r="ST112">
            <v>0</v>
          </cell>
          <cell r="SU112">
            <v>0</v>
          </cell>
          <cell r="SV112">
            <v>988.09191726755216</v>
          </cell>
          <cell r="SW112">
            <v>988.09191726755216</v>
          </cell>
          <cell r="SX112">
            <v>988.09191726755216</v>
          </cell>
        </row>
        <row r="113">
          <cell r="SO113">
            <v>0</v>
          </cell>
          <cell r="SP113">
            <v>987.49960099054829</v>
          </cell>
          <cell r="SQ113">
            <v>329.16653366351613</v>
          </cell>
          <cell r="SR113">
            <v>3291.6653366351611</v>
          </cell>
          <cell r="SS113">
            <v>987.49960099054829</v>
          </cell>
          <cell r="ST113">
            <v>0</v>
          </cell>
          <cell r="SU113">
            <v>0</v>
          </cell>
          <cell r="SV113">
            <v>987.49960099054829</v>
          </cell>
          <cell r="SW113">
            <v>987.49960099054829</v>
          </cell>
          <cell r="SX113">
            <v>987.49960099054829</v>
          </cell>
        </row>
        <row r="114">
          <cell r="SO114">
            <v>0</v>
          </cell>
          <cell r="SP114">
            <v>986.8985717762564</v>
          </cell>
          <cell r="SQ114">
            <v>328.96619059208547</v>
          </cell>
          <cell r="SR114">
            <v>3289.6619059208547</v>
          </cell>
          <cell r="SS114">
            <v>986.8985717762564</v>
          </cell>
          <cell r="ST114">
            <v>0</v>
          </cell>
          <cell r="SU114">
            <v>0</v>
          </cell>
          <cell r="SV114">
            <v>986.8985717762564</v>
          </cell>
          <cell r="SW114">
            <v>986.8985717762564</v>
          </cell>
          <cell r="SX114">
            <v>986.8985717762564</v>
          </cell>
        </row>
        <row r="115">
          <cell r="SO115">
            <v>0</v>
          </cell>
          <cell r="SP115">
            <v>986.28796842187614</v>
          </cell>
          <cell r="SQ115">
            <v>328.76265614062544</v>
          </cell>
          <cell r="SR115">
            <v>3287.626561406254</v>
          </cell>
          <cell r="SS115">
            <v>986.28796842187614</v>
          </cell>
          <cell r="ST115">
            <v>0</v>
          </cell>
          <cell r="SU115">
            <v>0</v>
          </cell>
          <cell r="SV115">
            <v>986.28796842187614</v>
          </cell>
          <cell r="SW115">
            <v>986.28796842187614</v>
          </cell>
          <cell r="SX115">
            <v>986.28796842187614</v>
          </cell>
        </row>
        <row r="116">
          <cell r="SO116">
            <v>0</v>
          </cell>
          <cell r="SP116">
            <v>985.66790760856247</v>
          </cell>
          <cell r="SQ116">
            <v>328.55596920285416</v>
          </cell>
          <cell r="SR116">
            <v>3285.5596920285416</v>
          </cell>
          <cell r="SS116">
            <v>985.66790760856247</v>
          </cell>
          <cell r="ST116">
            <v>0</v>
          </cell>
          <cell r="SU116">
            <v>0</v>
          </cell>
          <cell r="SV116">
            <v>985.66790760856247</v>
          </cell>
          <cell r="SW116">
            <v>985.66790760856247</v>
          </cell>
          <cell r="SX116">
            <v>985.66790760856247</v>
          </cell>
        </row>
        <row r="117">
          <cell r="SO117">
            <v>0</v>
          </cell>
          <cell r="SP117">
            <v>985.03652765504216</v>
          </cell>
          <cell r="SQ117">
            <v>328.34550921834739</v>
          </cell>
          <cell r="SR117">
            <v>3283.4550921834739</v>
          </cell>
          <cell r="SS117">
            <v>985.03652765504216</v>
          </cell>
          <cell r="ST117">
            <v>0</v>
          </cell>
          <cell r="SU117">
            <v>0</v>
          </cell>
          <cell r="SV117">
            <v>985.03652765504216</v>
          </cell>
          <cell r="SW117">
            <v>985.03652765504216</v>
          </cell>
          <cell r="SX117">
            <v>985.03652765504216</v>
          </cell>
        </row>
        <row r="118">
          <cell r="SO118">
            <v>0</v>
          </cell>
          <cell r="SP118">
            <v>984.39425200042479</v>
          </cell>
          <cell r="SQ118">
            <v>328.13141733347493</v>
          </cell>
          <cell r="SR118">
            <v>3281.3141733347493</v>
          </cell>
          <cell r="SS118">
            <v>984.39425200042479</v>
          </cell>
          <cell r="ST118">
            <v>0</v>
          </cell>
          <cell r="SU118">
            <v>0</v>
          </cell>
          <cell r="SV118">
            <v>984.39425200042479</v>
          </cell>
          <cell r="SW118">
            <v>984.39425200042479</v>
          </cell>
          <cell r="SX118">
            <v>984.39425200042479</v>
          </cell>
        </row>
        <row r="119">
          <cell r="SO119">
            <v>0</v>
          </cell>
          <cell r="SP119">
            <v>983.74017945913613</v>
          </cell>
          <cell r="SQ119">
            <v>327.91339315304543</v>
          </cell>
          <cell r="SR119">
            <v>3279.133931530454</v>
          </cell>
          <cell r="SS119">
            <v>983.74017945913613</v>
          </cell>
          <cell r="ST119">
            <v>0</v>
          </cell>
          <cell r="SU119">
            <v>0</v>
          </cell>
          <cell r="SV119">
            <v>983.74017945913613</v>
          </cell>
          <cell r="SW119">
            <v>983.74017945913613</v>
          </cell>
          <cell r="SX119">
            <v>983.74017945913613</v>
          </cell>
        </row>
        <row r="120">
          <cell r="SO120">
            <v>0</v>
          </cell>
          <cell r="SP120">
            <v>983.07671974763196</v>
          </cell>
          <cell r="SQ120">
            <v>327.69223991587734</v>
          </cell>
          <cell r="SR120">
            <v>3276.9223991587733</v>
          </cell>
          <cell r="SS120">
            <v>983.07671974763196</v>
          </cell>
          <cell r="ST120">
            <v>0</v>
          </cell>
          <cell r="SU120">
            <v>0</v>
          </cell>
          <cell r="SV120">
            <v>983.07671974763196</v>
          </cell>
          <cell r="SW120">
            <v>983.07671974763196</v>
          </cell>
          <cell r="SX120">
            <v>983.07671974763196</v>
          </cell>
        </row>
        <row r="121">
          <cell r="SO121">
            <v>0</v>
          </cell>
          <cell r="SP121">
            <v>982.40259819553148</v>
          </cell>
          <cell r="SQ121">
            <v>327.4675327318439</v>
          </cell>
          <cell r="SR121">
            <v>3274.6753273184386</v>
          </cell>
          <cell r="SS121">
            <v>982.40259819553148</v>
          </cell>
          <cell r="ST121">
            <v>0</v>
          </cell>
          <cell r="SU121">
            <v>0</v>
          </cell>
          <cell r="SV121">
            <v>982.40259819553148</v>
          </cell>
          <cell r="SW121">
            <v>982.40259819553148</v>
          </cell>
          <cell r="SX121">
            <v>982.40259819553148</v>
          </cell>
        </row>
        <row r="122">
          <cell r="SO122">
            <v>0</v>
          </cell>
          <cell r="SP122">
            <v>981.71755586029622</v>
          </cell>
          <cell r="SQ122">
            <v>327.23918528676541</v>
          </cell>
          <cell r="SR122">
            <v>3272.3918528676541</v>
          </cell>
          <cell r="SS122">
            <v>981.71755586029622</v>
          </cell>
          <cell r="ST122">
            <v>0</v>
          </cell>
          <cell r="SU122">
            <v>0</v>
          </cell>
          <cell r="SV122">
            <v>981.71755586029622</v>
          </cell>
          <cell r="SW122">
            <v>981.71755586029622</v>
          </cell>
          <cell r="SX122">
            <v>981.71755586029622</v>
          </cell>
        </row>
        <row r="123">
          <cell r="SO123">
            <v>0</v>
          </cell>
          <cell r="SP123">
            <v>981.01991821823117</v>
          </cell>
          <cell r="SQ123">
            <v>327.00663940607706</v>
          </cell>
          <cell r="SR123">
            <v>3270.0663940607706</v>
          </cell>
          <cell r="SS123">
            <v>981.01991821823117</v>
          </cell>
          <cell r="ST123">
            <v>0</v>
          </cell>
          <cell r="SU123">
            <v>0</v>
          </cell>
          <cell r="SV123">
            <v>981.01991821823117</v>
          </cell>
          <cell r="SW123">
            <v>981.01991821823117</v>
          </cell>
          <cell r="SX123">
            <v>981.01991821823117</v>
          </cell>
        </row>
        <row r="124">
          <cell r="SO124">
            <v>0</v>
          </cell>
          <cell r="SP124">
            <v>980.31175861869394</v>
          </cell>
          <cell r="SQ124">
            <v>326.77058620623137</v>
          </cell>
          <cell r="SR124">
            <v>3267.7058620623134</v>
          </cell>
          <cell r="SS124">
            <v>980.31175861869394</v>
          </cell>
          <cell r="ST124">
            <v>0</v>
          </cell>
          <cell r="SU124">
            <v>0</v>
          </cell>
          <cell r="SV124">
            <v>980.31175861869394</v>
          </cell>
          <cell r="SW124">
            <v>980.31175861869394</v>
          </cell>
          <cell r="SX124">
            <v>980.31175861869394</v>
          </cell>
        </row>
        <row r="125">
          <cell r="SO125">
            <v>0</v>
          </cell>
          <cell r="SP125">
            <v>979.59293417828644</v>
          </cell>
          <cell r="SQ125">
            <v>326.53097805942889</v>
          </cell>
          <cell r="SR125">
            <v>3265.3097805942884</v>
          </cell>
          <cell r="SS125">
            <v>979.59293417828644</v>
          </cell>
          <cell r="ST125">
            <v>0</v>
          </cell>
          <cell r="SU125">
            <v>0</v>
          </cell>
          <cell r="SV125">
            <v>979.59293417828644</v>
          </cell>
          <cell r="SW125">
            <v>979.59293417828644</v>
          </cell>
          <cell r="SX125">
            <v>979.59293417828644</v>
          </cell>
        </row>
        <row r="126">
          <cell r="SO126">
            <v>0</v>
          </cell>
          <cell r="SP126">
            <v>978.86372669834077</v>
          </cell>
          <cell r="SQ126">
            <v>326.28790889944696</v>
          </cell>
          <cell r="SR126">
            <v>2765.7203788880338</v>
          </cell>
          <cell r="SS126">
            <v>978.86372669834077</v>
          </cell>
          <cell r="ST126">
            <v>0</v>
          </cell>
          <cell r="SU126">
            <v>0</v>
          </cell>
          <cell r="SV126">
            <v>978.86372669834077</v>
          </cell>
          <cell r="SW126">
            <v>978.86372669834077</v>
          </cell>
          <cell r="SX126">
            <v>978.86372669834077</v>
          </cell>
        </row>
        <row r="127">
          <cell r="SO127">
            <v>0</v>
          </cell>
          <cell r="SP127">
            <v>978.12196798066338</v>
          </cell>
          <cell r="SQ127">
            <v>326.04065599355454</v>
          </cell>
          <cell r="SR127">
            <v>2266.6728942040218</v>
          </cell>
          <cell r="SS127">
            <v>978.12196798066338</v>
          </cell>
          <cell r="ST127">
            <v>0</v>
          </cell>
          <cell r="SU127">
            <v>0</v>
          </cell>
          <cell r="SV127">
            <v>978.12196798066338</v>
          </cell>
          <cell r="SW127">
            <v>978.12196798066338</v>
          </cell>
          <cell r="SX127">
            <v>978.12196798066338</v>
          </cell>
        </row>
        <row r="128">
          <cell r="SO128">
            <v>0</v>
          </cell>
          <cell r="SP128">
            <v>-15.812893103946863</v>
          </cell>
          <cell r="SQ128">
            <v>-5.2709643679822875</v>
          </cell>
          <cell r="SR128">
            <v>1602.594336601738</v>
          </cell>
          <cell r="SS128">
            <v>-15.812893103946863</v>
          </cell>
          <cell r="ST128">
            <v>0</v>
          </cell>
          <cell r="SU128">
            <v>0</v>
          </cell>
          <cell r="SV128">
            <v>811.83909703683344</v>
          </cell>
          <cell r="SW128">
            <v>811.83909703683344</v>
          </cell>
          <cell r="SX128">
            <v>646.30869900867742</v>
          </cell>
        </row>
        <row r="164">
          <cell r="SO164">
            <v>0</v>
          </cell>
          <cell r="SP164">
            <v>0</v>
          </cell>
          <cell r="SQ164">
            <v>0</v>
          </cell>
          <cell r="SR164">
            <v>0</v>
          </cell>
          <cell r="SS164">
            <v>0</v>
          </cell>
          <cell r="ST164">
            <v>0</v>
          </cell>
          <cell r="SU164">
            <v>0</v>
          </cell>
          <cell r="SV164">
            <v>0</v>
          </cell>
          <cell r="SW164">
            <v>0</v>
          </cell>
          <cell r="SX164">
            <v>0</v>
          </cell>
        </row>
        <row r="165">
          <cell r="SO165">
            <v>0</v>
          </cell>
          <cell r="SP165">
            <v>0</v>
          </cell>
          <cell r="SQ165">
            <v>0</v>
          </cell>
          <cell r="SR165">
            <v>0</v>
          </cell>
          <cell r="SS165">
            <v>0</v>
          </cell>
          <cell r="ST165">
            <v>0</v>
          </cell>
          <cell r="SU165">
            <v>0</v>
          </cell>
          <cell r="SV165">
            <v>0</v>
          </cell>
          <cell r="SW165">
            <v>0</v>
          </cell>
          <cell r="SX165">
            <v>0</v>
          </cell>
        </row>
        <row r="166">
          <cell r="SO166">
            <v>0</v>
          </cell>
          <cell r="SP166">
            <v>0</v>
          </cell>
          <cell r="SQ166">
            <v>0</v>
          </cell>
          <cell r="SR166">
            <v>0</v>
          </cell>
          <cell r="SS166">
            <v>0</v>
          </cell>
          <cell r="ST166">
            <v>0</v>
          </cell>
          <cell r="SU166">
            <v>0</v>
          </cell>
          <cell r="SV166">
            <v>0</v>
          </cell>
          <cell r="SW166">
            <v>0</v>
          </cell>
          <cell r="SX166">
            <v>0</v>
          </cell>
        </row>
        <row r="167">
          <cell r="SO167">
            <v>0</v>
          </cell>
          <cell r="SP167">
            <v>344.85499589199185</v>
          </cell>
          <cell r="SQ167">
            <v>137.94199835679674</v>
          </cell>
          <cell r="SR167">
            <v>0</v>
          </cell>
          <cell r="SS167">
            <v>344.85499589199185</v>
          </cell>
          <cell r="ST167">
            <v>0</v>
          </cell>
          <cell r="SU167">
            <v>0</v>
          </cell>
          <cell r="SV167">
            <v>344.85499589199185</v>
          </cell>
          <cell r="SW167">
            <v>344.85499589199185</v>
          </cell>
          <cell r="SX167">
            <v>0</v>
          </cell>
        </row>
        <row r="168">
          <cell r="SO168">
            <v>0</v>
          </cell>
          <cell r="SP168">
            <v>689.32526960954124</v>
          </cell>
          <cell r="SQ168">
            <v>275.73010784381648</v>
          </cell>
          <cell r="SR168">
            <v>0</v>
          </cell>
          <cell r="SS168">
            <v>689.32526960954124</v>
          </cell>
          <cell r="ST168">
            <v>0</v>
          </cell>
          <cell r="SU168">
            <v>0</v>
          </cell>
          <cell r="SV168">
            <v>689.32526960954124</v>
          </cell>
          <cell r="SW168">
            <v>689.32526960954124</v>
          </cell>
          <cell r="SX168">
            <v>0</v>
          </cell>
        </row>
        <row r="169">
          <cell r="SO169">
            <v>0</v>
          </cell>
          <cell r="SP169">
            <v>1033.4097073509222</v>
          </cell>
          <cell r="SQ169">
            <v>482.25786343043046</v>
          </cell>
          <cell r="SR169">
            <v>0</v>
          </cell>
          <cell r="SS169">
            <v>1033.4097073509222</v>
          </cell>
          <cell r="ST169">
            <v>0</v>
          </cell>
          <cell r="SU169">
            <v>0</v>
          </cell>
          <cell r="SV169">
            <v>1033.4097073509222</v>
          </cell>
          <cell r="SW169">
            <v>1033.4097073509222</v>
          </cell>
          <cell r="SX169">
            <v>0</v>
          </cell>
        </row>
        <row r="170">
          <cell r="SO170">
            <v>0</v>
          </cell>
          <cell r="SP170">
            <v>1377.1075251609727</v>
          </cell>
          <cell r="SQ170">
            <v>688.55376258048636</v>
          </cell>
          <cell r="SR170">
            <v>0</v>
          </cell>
          <cell r="SS170">
            <v>1377.1075251609727</v>
          </cell>
          <cell r="ST170">
            <v>0</v>
          </cell>
          <cell r="SU170">
            <v>0</v>
          </cell>
          <cell r="SV170">
            <v>1377.1075251609727</v>
          </cell>
          <cell r="SW170">
            <v>1377.1075251609727</v>
          </cell>
          <cell r="SX170">
            <v>0</v>
          </cell>
        </row>
        <row r="171">
          <cell r="SO171">
            <v>0</v>
          </cell>
          <cell r="SP171">
            <v>1720.4099692994125</v>
          </cell>
          <cell r="SQ171">
            <v>963.42958280767107</v>
          </cell>
          <cell r="SR171">
            <v>0</v>
          </cell>
          <cell r="SS171">
            <v>1720.4099692994125</v>
          </cell>
          <cell r="ST171">
            <v>0</v>
          </cell>
          <cell r="SU171">
            <v>0</v>
          </cell>
          <cell r="SV171">
            <v>1720.4099692994125</v>
          </cell>
          <cell r="SW171">
            <v>1720.4099692994125</v>
          </cell>
          <cell r="SX171">
            <v>0</v>
          </cell>
        </row>
        <row r="172">
          <cell r="SO172">
            <v>0</v>
          </cell>
          <cell r="SP172">
            <v>2063.3120294643886</v>
          </cell>
          <cell r="SQ172">
            <v>1237.9872176786332</v>
          </cell>
          <cell r="SR172">
            <v>0</v>
          </cell>
          <cell r="SS172">
            <v>1719.4266912203238</v>
          </cell>
          <cell r="ST172">
            <v>0</v>
          </cell>
          <cell r="SU172">
            <v>0</v>
          </cell>
          <cell r="SV172">
            <v>2063.3120294643886</v>
          </cell>
          <cell r="SW172">
            <v>2063.3120294643886</v>
          </cell>
          <cell r="SX172">
            <v>0</v>
          </cell>
        </row>
        <row r="173">
          <cell r="SO173">
            <v>0</v>
          </cell>
          <cell r="SP173">
            <v>2062.1260638789117</v>
          </cell>
          <cell r="SQ173">
            <v>1580.9633156404991</v>
          </cell>
          <cell r="SR173">
            <v>0</v>
          </cell>
          <cell r="SS173">
            <v>1718.4383865657599</v>
          </cell>
          <cell r="ST173">
            <v>0</v>
          </cell>
          <cell r="SU173">
            <v>0</v>
          </cell>
          <cell r="SV173">
            <v>2062.1260638789117</v>
          </cell>
          <cell r="SW173">
            <v>2062.1260638789117</v>
          </cell>
          <cell r="SX173">
            <v>0</v>
          </cell>
        </row>
        <row r="174">
          <cell r="SO174">
            <v>0</v>
          </cell>
          <cell r="SP174">
            <v>2060.9383026025862</v>
          </cell>
          <cell r="SQ174">
            <v>1923.5424157624138</v>
          </cell>
          <cell r="SR174">
            <v>0</v>
          </cell>
          <cell r="SS174">
            <v>1717.4485855021551</v>
          </cell>
          <cell r="ST174">
            <v>0</v>
          </cell>
          <cell r="SU174">
            <v>0</v>
          </cell>
          <cell r="SV174">
            <v>2060.9383026025862</v>
          </cell>
          <cell r="SW174">
            <v>2060.9383026025862</v>
          </cell>
          <cell r="SX174">
            <v>0</v>
          </cell>
        </row>
        <row r="175">
          <cell r="SO175">
            <v>0</v>
          </cell>
          <cell r="SP175">
            <v>2059.7393296909781</v>
          </cell>
          <cell r="SQ175">
            <v>2334.3712403164423</v>
          </cell>
          <cell r="SR175">
            <v>0</v>
          </cell>
          <cell r="SS175">
            <v>1716.4494414091484</v>
          </cell>
          <cell r="ST175">
            <v>0</v>
          </cell>
          <cell r="SU175">
            <v>0</v>
          </cell>
          <cell r="SV175">
            <v>2059.7393296909781</v>
          </cell>
          <cell r="SW175">
            <v>2059.7393296909781</v>
          </cell>
          <cell r="SX175">
            <v>0</v>
          </cell>
        </row>
        <row r="176">
          <cell r="SO176">
            <v>0</v>
          </cell>
          <cell r="SP176">
            <v>2058.5248276407337</v>
          </cell>
          <cell r="SQ176">
            <v>2744.6997701876453</v>
          </cell>
          <cell r="SR176">
            <v>0</v>
          </cell>
          <cell r="SS176">
            <v>1715.4373563672782</v>
          </cell>
          <cell r="ST176">
            <v>0</v>
          </cell>
          <cell r="SU176">
            <v>0</v>
          </cell>
          <cell r="SV176">
            <v>2058.5248276407337</v>
          </cell>
          <cell r="SW176">
            <v>2058.5248276407337</v>
          </cell>
          <cell r="SX176">
            <v>0</v>
          </cell>
        </row>
        <row r="177">
          <cell r="SO177">
            <v>0</v>
          </cell>
          <cell r="SP177">
            <v>2057.2908353969756</v>
          </cell>
          <cell r="SQ177">
            <v>3223.0889754552613</v>
          </cell>
          <cell r="SR177">
            <v>0</v>
          </cell>
          <cell r="SS177">
            <v>1714.4090294974797</v>
          </cell>
          <cell r="ST177">
            <v>0</v>
          </cell>
          <cell r="SU177">
            <v>0</v>
          </cell>
          <cell r="SV177">
            <v>2057.2908353969756</v>
          </cell>
          <cell r="SW177">
            <v>2057.2908353969756</v>
          </cell>
          <cell r="SX177">
            <v>0</v>
          </cell>
        </row>
        <row r="178">
          <cell r="SO178">
            <v>0</v>
          </cell>
          <cell r="SP178">
            <v>2056.0386912005342</v>
          </cell>
          <cell r="SQ178">
            <v>3632.335021120944</v>
          </cell>
          <cell r="SR178">
            <v>0</v>
          </cell>
          <cell r="SS178">
            <v>1713.3655760004451</v>
          </cell>
          <cell r="ST178">
            <v>0</v>
          </cell>
          <cell r="SU178">
            <v>0</v>
          </cell>
          <cell r="SV178">
            <v>2056.0386912005342</v>
          </cell>
          <cell r="SW178">
            <v>2056.0386912005342</v>
          </cell>
          <cell r="SX178">
            <v>0</v>
          </cell>
        </row>
        <row r="179">
          <cell r="SO179">
            <v>0</v>
          </cell>
          <cell r="SP179">
            <v>1709.9116049869169</v>
          </cell>
          <cell r="SQ179">
            <v>3834.6067633424263</v>
          </cell>
          <cell r="SR179">
            <v>0</v>
          </cell>
          <cell r="SS179">
            <v>1367.4505048404321</v>
          </cell>
          <cell r="ST179">
            <v>0</v>
          </cell>
          <cell r="SU179">
            <v>0</v>
          </cell>
          <cell r="SV179">
            <v>1709.9116049869169</v>
          </cell>
          <cell r="SW179">
            <v>1709.9116049869169</v>
          </cell>
          <cell r="SX179">
            <v>0</v>
          </cell>
        </row>
        <row r="180">
          <cell r="SO180">
            <v>0</v>
          </cell>
          <cell r="SP180">
            <v>1364.1495379082969</v>
          </cell>
          <cell r="SQ180">
            <v>3968.11782769305</v>
          </cell>
          <cell r="SR180">
            <v>0</v>
          </cell>
          <cell r="SS180">
            <v>1021.9037366553241</v>
          </cell>
          <cell r="ST180">
            <v>0</v>
          </cell>
          <cell r="SU180">
            <v>0</v>
          </cell>
          <cell r="SV180">
            <v>1364.1495379082969</v>
          </cell>
          <cell r="SW180">
            <v>1364.1495379082969</v>
          </cell>
          <cell r="SX180">
            <v>0</v>
          </cell>
        </row>
        <row r="181">
          <cell r="SO181">
            <v>0</v>
          </cell>
          <cell r="SP181">
            <v>1018.7497252637488</v>
          </cell>
          <cell r="SQ181">
            <v>3964.0875739013577</v>
          </cell>
          <cell r="SR181">
            <v>0</v>
          </cell>
          <cell r="SS181">
            <v>676.7231531613038</v>
          </cell>
          <cell r="ST181">
            <v>0</v>
          </cell>
          <cell r="SU181">
            <v>0</v>
          </cell>
          <cell r="SV181">
            <v>1018.7497252637488</v>
          </cell>
          <cell r="SW181">
            <v>1018.7497252637488</v>
          </cell>
          <cell r="SX181">
            <v>0</v>
          </cell>
        </row>
        <row r="182">
          <cell r="SO182">
            <v>0</v>
          </cell>
          <cell r="SP182">
            <v>673.71383317324535</v>
          </cell>
          <cell r="SQ182">
            <v>3891.6139376992678</v>
          </cell>
          <cell r="SR182">
            <v>0</v>
          </cell>
          <cell r="SS182">
            <v>331.91027345087582</v>
          </cell>
          <cell r="ST182">
            <v>0</v>
          </cell>
          <cell r="SU182">
            <v>0</v>
          </cell>
          <cell r="SV182">
            <v>673.71383317324535</v>
          </cell>
          <cell r="SW182">
            <v>673.71383317324535</v>
          </cell>
          <cell r="SX182">
            <v>0</v>
          </cell>
        </row>
        <row r="183">
          <cell r="SO183">
            <v>0</v>
          </cell>
          <cell r="SP183">
            <v>329.04873790712122</v>
          </cell>
          <cell r="SQ183">
            <v>3682.0101535271388</v>
          </cell>
          <cell r="SR183">
            <v>0</v>
          </cell>
          <cell r="SS183">
            <v>-12.527713293967736</v>
          </cell>
          <cell r="ST183">
            <v>0</v>
          </cell>
          <cell r="SU183">
            <v>0</v>
          </cell>
          <cell r="SV183">
            <v>329.04873790712122</v>
          </cell>
          <cell r="SW183">
            <v>329.04873790712122</v>
          </cell>
          <cell r="SX183">
            <v>0</v>
          </cell>
        </row>
        <row r="184">
          <cell r="SO184">
            <v>0</v>
          </cell>
          <cell r="SP184">
            <v>-15.235529990155101</v>
          </cell>
          <cell r="SQ184">
            <v>3404.3195144629635</v>
          </cell>
          <cell r="SR184">
            <v>0</v>
          </cell>
          <cell r="SS184">
            <v>-12.696274991795917</v>
          </cell>
          <cell r="ST184">
            <v>0</v>
          </cell>
          <cell r="SU184">
            <v>0</v>
          </cell>
          <cell r="SV184">
            <v>-15.235529990155101</v>
          </cell>
          <cell r="SW184">
            <v>-15.235529990155101</v>
          </cell>
          <cell r="SX184">
            <v>0</v>
          </cell>
        </row>
        <row r="185">
          <cell r="SO185">
            <v>0</v>
          </cell>
          <cell r="SP185">
            <v>-15.453984304887626</v>
          </cell>
          <cell r="SQ185">
            <v>3058.1600647272899</v>
          </cell>
          <cell r="SR185">
            <v>0</v>
          </cell>
          <cell r="SS185">
            <v>-12.87832025407306</v>
          </cell>
          <cell r="ST185">
            <v>0</v>
          </cell>
          <cell r="SU185">
            <v>0</v>
          </cell>
          <cell r="SV185">
            <v>-15.453984304887626</v>
          </cell>
          <cell r="SW185">
            <v>-15.453984304887626</v>
          </cell>
          <cell r="SX185">
            <v>0</v>
          </cell>
        </row>
        <row r="186">
          <cell r="SO186">
            <v>0</v>
          </cell>
          <cell r="SP186">
            <v>-15.69339456030275</v>
          </cell>
          <cell r="SQ186">
            <v>2712.3460424667628</v>
          </cell>
          <cell r="SR186">
            <v>0</v>
          </cell>
          <cell r="SS186">
            <v>-13.077828800252064</v>
          </cell>
          <cell r="ST186">
            <v>0</v>
          </cell>
          <cell r="SU186">
            <v>0</v>
          </cell>
          <cell r="SV186">
            <v>-15.69339456030275</v>
          </cell>
          <cell r="SW186">
            <v>-15.69339456030275</v>
          </cell>
          <cell r="SX186">
            <v>0</v>
          </cell>
        </row>
        <row r="187">
          <cell r="SO187">
            <v>0</v>
          </cell>
          <cell r="SP187">
            <v>-15.947833402996821</v>
          </cell>
          <cell r="SQ187">
            <v>2298.222817936316</v>
          </cell>
          <cell r="SR187">
            <v>0</v>
          </cell>
          <cell r="SS187">
            <v>-13.289861169163942</v>
          </cell>
          <cell r="ST187">
            <v>0</v>
          </cell>
          <cell r="SU187">
            <v>0</v>
          </cell>
          <cell r="SV187">
            <v>-15.947833402996821</v>
          </cell>
          <cell r="SW187">
            <v>-15.947833402996821</v>
          </cell>
          <cell r="SX187">
            <v>0</v>
          </cell>
        </row>
        <row r="188">
          <cell r="SO188">
            <v>0</v>
          </cell>
          <cell r="SP188">
            <v>-16.20866385178806</v>
          </cell>
          <cell r="SQ188">
            <v>1884.550201067299</v>
          </cell>
          <cell r="SR188">
            <v>0</v>
          </cell>
          <cell r="SS188">
            <v>-13.507219876490126</v>
          </cell>
          <cell r="ST188">
            <v>0</v>
          </cell>
          <cell r="SU188">
            <v>0</v>
          </cell>
          <cell r="SV188">
            <v>-16.20866385178806</v>
          </cell>
          <cell r="SW188">
            <v>-16.20866385178806</v>
          </cell>
          <cell r="SX188">
            <v>0</v>
          </cell>
        </row>
        <row r="189">
          <cell r="SO189">
            <v>0</v>
          </cell>
          <cell r="SP189">
            <v>-16.472222525545249</v>
          </cell>
          <cell r="SQ189">
            <v>1402.7665470533143</v>
          </cell>
          <cell r="SR189">
            <v>0</v>
          </cell>
          <cell r="SS189">
            <v>-13.726852104621003</v>
          </cell>
          <cell r="ST189">
            <v>0</v>
          </cell>
          <cell r="SU189">
            <v>0</v>
          </cell>
          <cell r="SV189">
            <v>-16.472222525545249</v>
          </cell>
          <cell r="SW189">
            <v>-16.472222525545249</v>
          </cell>
          <cell r="SX189">
            <v>0</v>
          </cell>
        </row>
        <row r="190">
          <cell r="SO190">
            <v>0</v>
          </cell>
          <cell r="SP190">
            <v>-16.739260578990752</v>
          </cell>
          <cell r="SQ190">
            <v>990.07702162122177</v>
          </cell>
          <cell r="SR190">
            <v>0</v>
          </cell>
          <cell r="SS190">
            <v>-13.949383815825513</v>
          </cell>
          <cell r="ST190">
            <v>0</v>
          </cell>
          <cell r="SU190">
            <v>0</v>
          </cell>
          <cell r="SV190">
            <v>-16.739260578990752</v>
          </cell>
          <cell r="SW190">
            <v>-16.739260578990752</v>
          </cell>
          <cell r="SX190">
            <v>0</v>
          </cell>
        </row>
        <row r="191">
          <cell r="SO191">
            <v>0</v>
          </cell>
          <cell r="SP191">
            <v>327.84249497279848</v>
          </cell>
          <cell r="SQ191">
            <v>784.30252989959627</v>
          </cell>
          <cell r="SR191">
            <v>0</v>
          </cell>
          <cell r="SS191">
            <v>330.67791179266419</v>
          </cell>
          <cell r="ST191">
            <v>0</v>
          </cell>
          <cell r="SU191">
            <v>0</v>
          </cell>
          <cell r="SV191">
            <v>327.84249497279848</v>
          </cell>
          <cell r="SW191">
            <v>327.84249497279848</v>
          </cell>
          <cell r="SX191">
            <v>0</v>
          </cell>
        </row>
        <row r="192">
          <cell r="SO192">
            <v>0</v>
          </cell>
          <cell r="SP192">
            <v>672.03691014376477</v>
          </cell>
          <cell r="SQ192">
            <v>647.23812122495701</v>
          </cell>
          <cell r="SR192">
            <v>0</v>
          </cell>
          <cell r="SS192">
            <v>674.91830338806062</v>
          </cell>
          <cell r="ST192">
            <v>0</v>
          </cell>
          <cell r="SU192">
            <v>0</v>
          </cell>
          <cell r="SV192">
            <v>672.03691014376477</v>
          </cell>
          <cell r="SW192">
            <v>672.03691014376477</v>
          </cell>
          <cell r="SX192">
            <v>0</v>
          </cell>
        </row>
      </sheetData>
      <sheetData sheetId="6">
        <row r="3">
          <cell r="SQ3">
            <v>4225</v>
          </cell>
          <cell r="SR3">
            <v>4225</v>
          </cell>
          <cell r="SS3">
            <v>4225</v>
          </cell>
          <cell r="ST3">
            <v>4225</v>
          </cell>
          <cell r="SU3">
            <v>4225</v>
          </cell>
          <cell r="SV3">
            <v>4225</v>
          </cell>
          <cell r="SW3">
            <v>4225</v>
          </cell>
          <cell r="SX3">
            <v>4225</v>
          </cell>
          <cell r="SY3">
            <v>4225</v>
          </cell>
          <cell r="SZ3">
            <v>4225</v>
          </cell>
        </row>
        <row r="4">
          <cell r="SQ4">
            <v>1436.6069843155251</v>
          </cell>
          <cell r="SR4">
            <v>1436.6069843155251</v>
          </cell>
          <cell r="SS4">
            <v>1436.6069843155251</v>
          </cell>
          <cell r="ST4">
            <v>1436.6069843155251</v>
          </cell>
          <cell r="SU4">
            <v>1436.6069843155251</v>
          </cell>
          <cell r="SV4">
            <v>1436.6069843155251</v>
          </cell>
          <cell r="SW4">
            <v>1436.6069843155251</v>
          </cell>
          <cell r="SX4">
            <v>1436.6069843155251</v>
          </cell>
          <cell r="SY4">
            <v>1436.6069843155251</v>
          </cell>
          <cell r="SZ4">
            <v>1436.6069843155251</v>
          </cell>
        </row>
        <row r="5">
          <cell r="SQ5">
            <v>1774.5252949028954</v>
          </cell>
          <cell r="SR5">
            <v>1774.5252949028954</v>
          </cell>
          <cell r="SS5">
            <v>1774.5252949028954</v>
          </cell>
          <cell r="ST5">
            <v>1774.5252949028954</v>
          </cell>
          <cell r="SU5">
            <v>1774.5252949028954</v>
          </cell>
          <cell r="SV5">
            <v>1774.5252949028954</v>
          </cell>
          <cell r="SW5">
            <v>1774.5252949028954</v>
          </cell>
          <cell r="SX5">
            <v>1774.5252949028954</v>
          </cell>
          <cell r="SY5">
            <v>1774.5252949028954</v>
          </cell>
          <cell r="SZ5">
            <v>1774.5252949028954</v>
          </cell>
        </row>
        <row r="6">
          <cell r="SQ6">
            <v>1800</v>
          </cell>
          <cell r="SR6">
            <v>1800</v>
          </cell>
          <cell r="SS6">
            <v>1800</v>
          </cell>
          <cell r="ST6">
            <v>1800</v>
          </cell>
          <cell r="SU6">
            <v>0</v>
          </cell>
          <cell r="SV6">
            <v>0</v>
          </cell>
          <cell r="SW6">
            <v>0</v>
          </cell>
          <cell r="SX6">
            <v>1800</v>
          </cell>
          <cell r="SY6">
            <v>1800</v>
          </cell>
          <cell r="SZ6">
            <v>1800</v>
          </cell>
        </row>
        <row r="7">
          <cell r="SQ7">
            <v>1800</v>
          </cell>
          <cell r="SR7">
            <v>1800</v>
          </cell>
          <cell r="SS7">
            <v>1800</v>
          </cell>
          <cell r="ST7">
            <v>1800</v>
          </cell>
          <cell r="SU7">
            <v>0</v>
          </cell>
          <cell r="SV7">
            <v>0</v>
          </cell>
          <cell r="SW7">
            <v>0</v>
          </cell>
          <cell r="SX7">
            <v>1800</v>
          </cell>
          <cell r="SY7">
            <v>1800</v>
          </cell>
          <cell r="SZ7">
            <v>1800</v>
          </cell>
        </row>
        <row r="8">
          <cell r="SQ8">
            <v>1800</v>
          </cell>
          <cell r="SR8">
            <v>1800</v>
          </cell>
          <cell r="SS8">
            <v>1800</v>
          </cell>
          <cell r="ST8">
            <v>1800</v>
          </cell>
          <cell r="SU8">
            <v>0</v>
          </cell>
          <cell r="SV8">
            <v>0</v>
          </cell>
          <cell r="SW8">
            <v>0</v>
          </cell>
          <cell r="SX8">
            <v>1800</v>
          </cell>
          <cell r="SY8">
            <v>1800</v>
          </cell>
          <cell r="SZ8">
            <v>1800</v>
          </cell>
        </row>
        <row r="9">
          <cell r="SQ9">
            <v>1800</v>
          </cell>
          <cell r="SR9">
            <v>1800</v>
          </cell>
          <cell r="SS9">
            <v>1800</v>
          </cell>
          <cell r="ST9">
            <v>1800</v>
          </cell>
          <cell r="SU9">
            <v>0</v>
          </cell>
          <cell r="SV9">
            <v>0</v>
          </cell>
          <cell r="SW9">
            <v>0</v>
          </cell>
          <cell r="SX9">
            <v>1800</v>
          </cell>
          <cell r="SY9">
            <v>1800</v>
          </cell>
          <cell r="SZ9">
            <v>1800</v>
          </cell>
        </row>
        <row r="10">
          <cell r="SQ10">
            <v>1800</v>
          </cell>
          <cell r="SR10">
            <v>1800</v>
          </cell>
          <cell r="SS10">
            <v>1800</v>
          </cell>
          <cell r="ST10">
            <v>1800</v>
          </cell>
          <cell r="SU10">
            <v>0</v>
          </cell>
          <cell r="SV10">
            <v>0</v>
          </cell>
          <cell r="SW10">
            <v>0</v>
          </cell>
          <cell r="SX10">
            <v>1800</v>
          </cell>
          <cell r="SY10">
            <v>1800</v>
          </cell>
          <cell r="SZ10">
            <v>1800</v>
          </cell>
        </row>
        <row r="11">
          <cell r="SQ11">
            <v>1800</v>
          </cell>
          <cell r="SR11">
            <v>1800</v>
          </cell>
          <cell r="SS11">
            <v>1800</v>
          </cell>
          <cell r="ST11">
            <v>1800</v>
          </cell>
          <cell r="SU11">
            <v>0</v>
          </cell>
          <cell r="SV11">
            <v>0</v>
          </cell>
          <cell r="SW11">
            <v>0</v>
          </cell>
          <cell r="SX11">
            <v>1800</v>
          </cell>
          <cell r="SY11">
            <v>1800</v>
          </cell>
          <cell r="SZ11">
            <v>1800</v>
          </cell>
        </row>
        <row r="12">
          <cell r="SQ12">
            <v>1800</v>
          </cell>
          <cell r="SR12">
            <v>1800</v>
          </cell>
          <cell r="SS12">
            <v>1800</v>
          </cell>
          <cell r="ST12">
            <v>1800</v>
          </cell>
          <cell r="SU12">
            <v>0</v>
          </cell>
          <cell r="SV12">
            <v>0</v>
          </cell>
          <cell r="SW12">
            <v>0</v>
          </cell>
          <cell r="SX12">
            <v>1800</v>
          </cell>
          <cell r="SY12">
            <v>1800</v>
          </cell>
          <cell r="SZ12">
            <v>1800</v>
          </cell>
        </row>
        <row r="13">
          <cell r="SQ13">
            <v>1800</v>
          </cell>
          <cell r="SR13">
            <v>1800</v>
          </cell>
          <cell r="SS13">
            <v>1800</v>
          </cell>
          <cell r="ST13">
            <v>1800</v>
          </cell>
          <cell r="SU13">
            <v>0</v>
          </cell>
          <cell r="SV13">
            <v>0</v>
          </cell>
          <cell r="SW13">
            <v>0</v>
          </cell>
          <cell r="SX13">
            <v>1800</v>
          </cell>
          <cell r="SY13">
            <v>1800</v>
          </cell>
          <cell r="SZ13">
            <v>1800</v>
          </cell>
        </row>
        <row r="14">
          <cell r="SQ14">
            <v>1800</v>
          </cell>
          <cell r="SR14">
            <v>1800</v>
          </cell>
          <cell r="SS14">
            <v>1800</v>
          </cell>
          <cell r="ST14">
            <v>1800</v>
          </cell>
          <cell r="SU14">
            <v>0</v>
          </cell>
          <cell r="SV14">
            <v>0</v>
          </cell>
          <cell r="SW14">
            <v>0</v>
          </cell>
          <cell r="SX14">
            <v>1800</v>
          </cell>
          <cell r="SY14">
            <v>1800</v>
          </cell>
          <cell r="SZ14">
            <v>1800</v>
          </cell>
        </row>
        <row r="15">
          <cell r="SQ15">
            <v>1800</v>
          </cell>
          <cell r="SR15">
            <v>1800</v>
          </cell>
          <cell r="SS15">
            <v>1800</v>
          </cell>
          <cell r="ST15">
            <v>1800</v>
          </cell>
          <cell r="SU15">
            <v>0</v>
          </cell>
          <cell r="SV15">
            <v>0</v>
          </cell>
          <cell r="SW15">
            <v>0</v>
          </cell>
          <cell r="SX15">
            <v>1800</v>
          </cell>
          <cell r="SY15">
            <v>1800</v>
          </cell>
          <cell r="SZ15">
            <v>1800</v>
          </cell>
        </row>
        <row r="16">
          <cell r="SQ16">
            <v>1800</v>
          </cell>
          <cell r="SR16">
            <v>1800</v>
          </cell>
          <cell r="SS16">
            <v>1800</v>
          </cell>
          <cell r="ST16">
            <v>1800</v>
          </cell>
          <cell r="SU16">
            <v>0</v>
          </cell>
          <cell r="SV16">
            <v>0</v>
          </cell>
          <cell r="SW16">
            <v>0</v>
          </cell>
          <cell r="SX16">
            <v>1800</v>
          </cell>
          <cell r="SY16">
            <v>1800</v>
          </cell>
          <cell r="SZ16">
            <v>1800</v>
          </cell>
        </row>
        <row r="17">
          <cell r="SQ17">
            <v>1800</v>
          </cell>
          <cell r="SR17">
            <v>1800</v>
          </cell>
          <cell r="SS17">
            <v>1800</v>
          </cell>
          <cell r="ST17">
            <v>1800</v>
          </cell>
          <cell r="SU17">
            <v>0</v>
          </cell>
          <cell r="SV17">
            <v>0</v>
          </cell>
          <cell r="SW17">
            <v>0</v>
          </cell>
          <cell r="SX17">
            <v>1800</v>
          </cell>
          <cell r="SY17">
            <v>1800</v>
          </cell>
          <cell r="SZ17">
            <v>1800</v>
          </cell>
        </row>
        <row r="18">
          <cell r="SQ18">
            <v>1800</v>
          </cell>
          <cell r="SR18">
            <v>1800</v>
          </cell>
          <cell r="SS18">
            <v>1800</v>
          </cell>
          <cell r="ST18">
            <v>1800</v>
          </cell>
          <cell r="SU18">
            <v>0</v>
          </cell>
          <cell r="SV18">
            <v>0</v>
          </cell>
          <cell r="SW18">
            <v>0</v>
          </cell>
          <cell r="SX18">
            <v>1800</v>
          </cell>
          <cell r="SY18">
            <v>1800</v>
          </cell>
          <cell r="SZ18">
            <v>1800</v>
          </cell>
        </row>
        <row r="19">
          <cell r="SQ19">
            <v>1800</v>
          </cell>
          <cell r="SR19">
            <v>1800</v>
          </cell>
          <cell r="SS19">
            <v>1800</v>
          </cell>
          <cell r="ST19">
            <v>1800</v>
          </cell>
          <cell r="SU19">
            <v>0</v>
          </cell>
          <cell r="SV19">
            <v>0</v>
          </cell>
          <cell r="SW19">
            <v>0</v>
          </cell>
          <cell r="SX19">
            <v>1800</v>
          </cell>
          <cell r="SY19">
            <v>1800</v>
          </cell>
          <cell r="SZ19">
            <v>1800</v>
          </cell>
        </row>
        <row r="20">
          <cell r="SQ20">
            <v>1800</v>
          </cell>
          <cell r="SR20">
            <v>1800</v>
          </cell>
          <cell r="SS20">
            <v>1800</v>
          </cell>
          <cell r="ST20">
            <v>1800</v>
          </cell>
          <cell r="SU20">
            <v>0</v>
          </cell>
          <cell r="SV20">
            <v>0</v>
          </cell>
          <cell r="SW20">
            <v>0</v>
          </cell>
          <cell r="SX20">
            <v>1800</v>
          </cell>
          <cell r="SY20">
            <v>1800</v>
          </cell>
          <cell r="SZ20">
            <v>1800</v>
          </cell>
        </row>
        <row r="21">
          <cell r="SQ21">
            <v>1800</v>
          </cell>
          <cell r="SR21">
            <v>1800</v>
          </cell>
          <cell r="SS21">
            <v>1800</v>
          </cell>
          <cell r="ST21">
            <v>1800</v>
          </cell>
          <cell r="SU21">
            <v>0</v>
          </cell>
          <cell r="SV21">
            <v>0</v>
          </cell>
          <cell r="SW21">
            <v>0</v>
          </cell>
          <cell r="SX21">
            <v>1800</v>
          </cell>
          <cell r="SY21">
            <v>1800</v>
          </cell>
          <cell r="SZ21">
            <v>1800</v>
          </cell>
        </row>
        <row r="22">
          <cell r="SQ22">
            <v>1800</v>
          </cell>
          <cell r="SR22">
            <v>1800</v>
          </cell>
          <cell r="SS22">
            <v>1800</v>
          </cell>
          <cell r="ST22">
            <v>1800</v>
          </cell>
          <cell r="SU22">
            <v>0</v>
          </cell>
          <cell r="SV22">
            <v>0</v>
          </cell>
          <cell r="SW22">
            <v>0</v>
          </cell>
          <cell r="SX22">
            <v>1800</v>
          </cell>
          <cell r="SY22">
            <v>1800</v>
          </cell>
          <cell r="SZ22">
            <v>1800</v>
          </cell>
        </row>
        <row r="23">
          <cell r="SQ23">
            <v>1800</v>
          </cell>
          <cell r="SR23">
            <v>1800</v>
          </cell>
          <cell r="SS23">
            <v>1800</v>
          </cell>
          <cell r="ST23">
            <v>1800</v>
          </cell>
          <cell r="SU23">
            <v>0</v>
          </cell>
          <cell r="SV23">
            <v>0</v>
          </cell>
          <cell r="SW23">
            <v>0</v>
          </cell>
          <cell r="SX23">
            <v>1800</v>
          </cell>
          <cell r="SY23">
            <v>1800</v>
          </cell>
          <cell r="SZ23">
            <v>1800</v>
          </cell>
        </row>
        <row r="24">
          <cell r="SQ24">
            <v>1800</v>
          </cell>
          <cell r="SR24">
            <v>1800</v>
          </cell>
          <cell r="SS24">
            <v>1800</v>
          </cell>
          <cell r="ST24">
            <v>1800</v>
          </cell>
          <cell r="SU24">
            <v>0</v>
          </cell>
          <cell r="SV24">
            <v>0</v>
          </cell>
          <cell r="SW24">
            <v>0</v>
          </cell>
          <cell r="SX24">
            <v>1800</v>
          </cell>
          <cell r="SY24">
            <v>1800</v>
          </cell>
          <cell r="SZ24">
            <v>1800</v>
          </cell>
        </row>
        <row r="25">
          <cell r="SQ25">
            <v>1800</v>
          </cell>
          <cell r="SR25">
            <v>1800</v>
          </cell>
          <cell r="SS25">
            <v>1800</v>
          </cell>
          <cell r="ST25">
            <v>1800</v>
          </cell>
          <cell r="SU25">
            <v>0</v>
          </cell>
          <cell r="SV25">
            <v>0</v>
          </cell>
          <cell r="SW25">
            <v>0</v>
          </cell>
          <cell r="SX25">
            <v>1800</v>
          </cell>
          <cell r="SY25">
            <v>1800</v>
          </cell>
          <cell r="SZ25">
            <v>1800</v>
          </cell>
        </row>
        <row r="26">
          <cell r="SQ26">
            <v>1800</v>
          </cell>
          <cell r="SR26">
            <v>1800</v>
          </cell>
          <cell r="SS26">
            <v>1800</v>
          </cell>
          <cell r="ST26">
            <v>1800</v>
          </cell>
          <cell r="SU26">
            <v>0</v>
          </cell>
          <cell r="SV26">
            <v>0</v>
          </cell>
          <cell r="SW26">
            <v>0</v>
          </cell>
          <cell r="SX26">
            <v>1800</v>
          </cell>
          <cell r="SY26">
            <v>1800</v>
          </cell>
          <cell r="SZ26">
            <v>1800</v>
          </cell>
        </row>
        <row r="27">
          <cell r="SQ27">
            <v>1800</v>
          </cell>
          <cell r="SR27">
            <v>1800</v>
          </cell>
          <cell r="SS27">
            <v>1800</v>
          </cell>
          <cell r="ST27">
            <v>1800</v>
          </cell>
          <cell r="SU27">
            <v>0</v>
          </cell>
          <cell r="SV27">
            <v>0</v>
          </cell>
          <cell r="SW27">
            <v>0</v>
          </cell>
          <cell r="SX27">
            <v>1800</v>
          </cell>
          <cell r="SY27">
            <v>1800</v>
          </cell>
          <cell r="SZ27">
            <v>1800</v>
          </cell>
        </row>
        <row r="28">
          <cell r="SQ28">
            <v>1800</v>
          </cell>
          <cell r="SR28">
            <v>1800</v>
          </cell>
          <cell r="SS28">
            <v>1800</v>
          </cell>
          <cell r="ST28">
            <v>1800</v>
          </cell>
          <cell r="SU28">
            <v>0</v>
          </cell>
          <cell r="SV28">
            <v>0</v>
          </cell>
          <cell r="SW28">
            <v>0</v>
          </cell>
          <cell r="SX28">
            <v>1800</v>
          </cell>
          <cell r="SY28">
            <v>1800</v>
          </cell>
          <cell r="SZ28">
            <v>1800</v>
          </cell>
        </row>
        <row r="29">
          <cell r="SQ29">
            <v>1800</v>
          </cell>
          <cell r="SR29">
            <v>1800</v>
          </cell>
          <cell r="SS29">
            <v>1800</v>
          </cell>
          <cell r="ST29">
            <v>1800</v>
          </cell>
          <cell r="SU29">
            <v>0</v>
          </cell>
          <cell r="SV29">
            <v>0</v>
          </cell>
          <cell r="SW29">
            <v>0</v>
          </cell>
          <cell r="SX29">
            <v>1800</v>
          </cell>
          <cell r="SY29">
            <v>1800</v>
          </cell>
          <cell r="SZ29">
            <v>1800</v>
          </cell>
        </row>
        <row r="30">
          <cell r="SQ30">
            <v>1800</v>
          </cell>
          <cell r="SR30">
            <v>1800</v>
          </cell>
          <cell r="SS30">
            <v>1800</v>
          </cell>
          <cell r="ST30">
            <v>1800</v>
          </cell>
          <cell r="SU30">
            <v>0</v>
          </cell>
          <cell r="SV30">
            <v>0</v>
          </cell>
          <cell r="SW30">
            <v>0</v>
          </cell>
          <cell r="SX30">
            <v>1800</v>
          </cell>
          <cell r="SY30">
            <v>1800</v>
          </cell>
          <cell r="SZ30">
            <v>1800</v>
          </cell>
        </row>
        <row r="31">
          <cell r="SQ31">
            <v>1800</v>
          </cell>
          <cell r="SR31">
            <v>1800</v>
          </cell>
          <cell r="SS31">
            <v>1800</v>
          </cell>
          <cell r="ST31">
            <v>1800</v>
          </cell>
          <cell r="SU31">
            <v>0</v>
          </cell>
          <cell r="SV31">
            <v>0</v>
          </cell>
          <cell r="SW31">
            <v>0</v>
          </cell>
          <cell r="SX31">
            <v>1800</v>
          </cell>
          <cell r="SY31">
            <v>1800</v>
          </cell>
          <cell r="SZ31">
            <v>1800</v>
          </cell>
        </row>
        <row r="34">
          <cell r="SQ34">
            <v>0</v>
          </cell>
          <cell r="SR34">
            <v>0</v>
          </cell>
          <cell r="SS34">
            <v>0</v>
          </cell>
          <cell r="ST34">
            <v>0</v>
          </cell>
          <cell r="SU34">
            <v>0</v>
          </cell>
          <cell r="SV34">
            <v>0</v>
          </cell>
          <cell r="SW34">
            <v>0</v>
          </cell>
          <cell r="SX34">
            <v>0</v>
          </cell>
          <cell r="SY34">
            <v>0</v>
          </cell>
          <cell r="SZ34">
            <v>0</v>
          </cell>
        </row>
        <row r="35">
          <cell r="SQ35">
            <v>0</v>
          </cell>
          <cell r="SR35">
            <v>0</v>
          </cell>
          <cell r="SS35">
            <v>0</v>
          </cell>
          <cell r="ST35">
            <v>0</v>
          </cell>
          <cell r="SU35">
            <v>0</v>
          </cell>
          <cell r="SV35">
            <v>0</v>
          </cell>
          <cell r="SW35">
            <v>0</v>
          </cell>
          <cell r="SX35">
            <v>0</v>
          </cell>
          <cell r="SY35">
            <v>0</v>
          </cell>
          <cell r="SZ35">
            <v>0</v>
          </cell>
        </row>
        <row r="36">
          <cell r="SQ36">
            <v>0</v>
          </cell>
          <cell r="SR36">
            <v>0</v>
          </cell>
          <cell r="SS36">
            <v>0</v>
          </cell>
          <cell r="ST36">
            <v>0</v>
          </cell>
          <cell r="SU36">
            <v>0</v>
          </cell>
          <cell r="SV36">
            <v>0</v>
          </cell>
          <cell r="SW36">
            <v>0</v>
          </cell>
          <cell r="SX36">
            <v>0</v>
          </cell>
          <cell r="SY36">
            <v>0</v>
          </cell>
          <cell r="SZ36">
            <v>0</v>
          </cell>
        </row>
        <row r="37">
          <cell r="SQ37">
            <v>0</v>
          </cell>
          <cell r="SR37">
            <v>0</v>
          </cell>
          <cell r="SS37">
            <v>0</v>
          </cell>
          <cell r="ST37">
            <v>0</v>
          </cell>
          <cell r="SU37">
            <v>0</v>
          </cell>
          <cell r="SV37">
            <v>0</v>
          </cell>
          <cell r="SW37">
            <v>0</v>
          </cell>
          <cell r="SX37">
            <v>0</v>
          </cell>
          <cell r="SY37">
            <v>0</v>
          </cell>
          <cell r="SZ37">
            <v>0</v>
          </cell>
        </row>
        <row r="38">
          <cell r="SQ38">
            <v>0</v>
          </cell>
          <cell r="SR38">
            <v>0</v>
          </cell>
          <cell r="SS38">
            <v>0</v>
          </cell>
          <cell r="ST38">
            <v>0</v>
          </cell>
          <cell r="SU38">
            <v>0</v>
          </cell>
          <cell r="SV38">
            <v>0</v>
          </cell>
          <cell r="SW38">
            <v>0</v>
          </cell>
          <cell r="SX38">
            <v>0</v>
          </cell>
          <cell r="SY38">
            <v>0</v>
          </cell>
          <cell r="SZ38">
            <v>0</v>
          </cell>
        </row>
        <row r="39">
          <cell r="SQ39">
            <v>0</v>
          </cell>
          <cell r="SR39">
            <v>0</v>
          </cell>
          <cell r="SS39">
            <v>0</v>
          </cell>
          <cell r="ST39">
            <v>0</v>
          </cell>
          <cell r="SU39">
            <v>0</v>
          </cell>
          <cell r="SV39">
            <v>0</v>
          </cell>
          <cell r="SW39">
            <v>0</v>
          </cell>
          <cell r="SX39">
            <v>0</v>
          </cell>
          <cell r="SY39">
            <v>0</v>
          </cell>
          <cell r="SZ39">
            <v>0</v>
          </cell>
        </row>
        <row r="40">
          <cell r="SQ40">
            <v>0</v>
          </cell>
          <cell r="SR40">
            <v>0</v>
          </cell>
          <cell r="SS40">
            <v>0</v>
          </cell>
          <cell r="ST40">
            <v>0</v>
          </cell>
          <cell r="SU40">
            <v>0</v>
          </cell>
          <cell r="SV40">
            <v>0</v>
          </cell>
          <cell r="SW40">
            <v>0</v>
          </cell>
          <cell r="SX40">
            <v>0</v>
          </cell>
          <cell r="SY40">
            <v>0</v>
          </cell>
          <cell r="SZ40">
            <v>0</v>
          </cell>
        </row>
        <row r="41">
          <cell r="SQ41">
            <v>0</v>
          </cell>
          <cell r="SR41">
            <v>0</v>
          </cell>
          <cell r="SS41">
            <v>0</v>
          </cell>
          <cell r="ST41">
            <v>0</v>
          </cell>
          <cell r="SU41">
            <v>0</v>
          </cell>
          <cell r="SV41">
            <v>0</v>
          </cell>
          <cell r="SW41">
            <v>0</v>
          </cell>
          <cell r="SX41">
            <v>0</v>
          </cell>
          <cell r="SY41">
            <v>0</v>
          </cell>
          <cell r="SZ41">
            <v>0</v>
          </cell>
        </row>
        <row r="42">
          <cell r="SQ42">
            <v>0</v>
          </cell>
          <cell r="SR42">
            <v>0</v>
          </cell>
          <cell r="SS42">
            <v>0</v>
          </cell>
          <cell r="ST42">
            <v>0</v>
          </cell>
          <cell r="SU42">
            <v>0</v>
          </cell>
          <cell r="SV42">
            <v>0</v>
          </cell>
          <cell r="SW42">
            <v>0</v>
          </cell>
          <cell r="SX42">
            <v>0</v>
          </cell>
          <cell r="SY42">
            <v>0</v>
          </cell>
          <cell r="SZ42">
            <v>0</v>
          </cell>
        </row>
        <row r="43">
          <cell r="SQ43">
            <v>0</v>
          </cell>
          <cell r="SR43">
            <v>0</v>
          </cell>
          <cell r="SS43">
            <v>0</v>
          </cell>
          <cell r="ST43">
            <v>0</v>
          </cell>
          <cell r="SU43">
            <v>0</v>
          </cell>
          <cell r="SV43">
            <v>0</v>
          </cell>
          <cell r="SW43">
            <v>0</v>
          </cell>
          <cell r="SX43">
            <v>0</v>
          </cell>
          <cell r="SY43">
            <v>0</v>
          </cell>
          <cell r="SZ43">
            <v>0</v>
          </cell>
        </row>
        <row r="44">
          <cell r="SQ44">
            <v>0</v>
          </cell>
          <cell r="SR44">
            <v>0</v>
          </cell>
          <cell r="SS44">
            <v>0</v>
          </cell>
          <cell r="ST44">
            <v>0</v>
          </cell>
          <cell r="SU44">
            <v>0</v>
          </cell>
          <cell r="SV44">
            <v>0</v>
          </cell>
          <cell r="SW44">
            <v>0</v>
          </cell>
          <cell r="SX44">
            <v>0</v>
          </cell>
          <cell r="SY44">
            <v>0</v>
          </cell>
          <cell r="SZ44">
            <v>0</v>
          </cell>
        </row>
        <row r="45">
          <cell r="SQ45">
            <v>0</v>
          </cell>
          <cell r="SR45">
            <v>0</v>
          </cell>
          <cell r="SS45">
            <v>0</v>
          </cell>
          <cell r="ST45">
            <v>0</v>
          </cell>
          <cell r="SU45">
            <v>0</v>
          </cell>
          <cell r="SV45">
            <v>0</v>
          </cell>
          <cell r="SW45">
            <v>0</v>
          </cell>
          <cell r="SX45">
            <v>0</v>
          </cell>
          <cell r="SY45">
            <v>0</v>
          </cell>
          <cell r="SZ45">
            <v>0</v>
          </cell>
        </row>
        <row r="46">
          <cell r="SQ46">
            <v>0</v>
          </cell>
          <cell r="SR46">
            <v>0</v>
          </cell>
          <cell r="SS46">
            <v>0</v>
          </cell>
          <cell r="ST46">
            <v>0</v>
          </cell>
          <cell r="SU46">
            <v>0</v>
          </cell>
          <cell r="SV46">
            <v>0</v>
          </cell>
          <cell r="SW46">
            <v>0</v>
          </cell>
          <cell r="SX46">
            <v>0</v>
          </cell>
          <cell r="SY46">
            <v>0</v>
          </cell>
          <cell r="SZ46">
            <v>0</v>
          </cell>
        </row>
        <row r="47">
          <cell r="SQ47">
            <v>0</v>
          </cell>
          <cell r="SR47">
            <v>0</v>
          </cell>
          <cell r="SS47">
            <v>0</v>
          </cell>
          <cell r="ST47">
            <v>0</v>
          </cell>
          <cell r="SU47">
            <v>0</v>
          </cell>
          <cell r="SV47">
            <v>0</v>
          </cell>
          <cell r="SW47">
            <v>0</v>
          </cell>
          <cell r="SX47">
            <v>0</v>
          </cell>
          <cell r="SY47">
            <v>0</v>
          </cell>
          <cell r="SZ47">
            <v>0</v>
          </cell>
        </row>
        <row r="48">
          <cell r="SQ48">
            <v>0</v>
          </cell>
          <cell r="SR48">
            <v>0</v>
          </cell>
          <cell r="SS48">
            <v>0</v>
          </cell>
          <cell r="ST48">
            <v>0</v>
          </cell>
          <cell r="SU48">
            <v>0</v>
          </cell>
          <cell r="SV48">
            <v>0</v>
          </cell>
          <cell r="SW48">
            <v>0</v>
          </cell>
          <cell r="SX48">
            <v>0</v>
          </cell>
          <cell r="SY48">
            <v>0</v>
          </cell>
          <cell r="SZ48">
            <v>0</v>
          </cell>
        </row>
        <row r="49">
          <cell r="SQ49">
            <v>0</v>
          </cell>
          <cell r="SR49">
            <v>0</v>
          </cell>
          <cell r="SS49">
            <v>0</v>
          </cell>
          <cell r="ST49">
            <v>0</v>
          </cell>
          <cell r="SU49">
            <v>0</v>
          </cell>
          <cell r="SV49">
            <v>0</v>
          </cell>
          <cell r="SW49">
            <v>0</v>
          </cell>
          <cell r="SX49">
            <v>0</v>
          </cell>
          <cell r="SY49">
            <v>0</v>
          </cell>
          <cell r="SZ49">
            <v>0</v>
          </cell>
        </row>
        <row r="50">
          <cell r="SQ50">
            <v>0</v>
          </cell>
          <cell r="SR50">
            <v>0</v>
          </cell>
          <cell r="SS50">
            <v>0</v>
          </cell>
          <cell r="ST50">
            <v>0</v>
          </cell>
          <cell r="SU50">
            <v>0</v>
          </cell>
          <cell r="SV50">
            <v>0</v>
          </cell>
          <cell r="SW50">
            <v>0</v>
          </cell>
          <cell r="SX50">
            <v>0</v>
          </cell>
          <cell r="SY50">
            <v>0</v>
          </cell>
          <cell r="SZ50">
            <v>0</v>
          </cell>
        </row>
        <row r="51">
          <cell r="SQ51">
            <v>0</v>
          </cell>
          <cell r="SR51">
            <v>0</v>
          </cell>
          <cell r="SS51">
            <v>0</v>
          </cell>
          <cell r="ST51">
            <v>0</v>
          </cell>
          <cell r="SU51">
            <v>0</v>
          </cell>
          <cell r="SV51">
            <v>0</v>
          </cell>
          <cell r="SW51">
            <v>0</v>
          </cell>
          <cell r="SX51">
            <v>0</v>
          </cell>
          <cell r="SY51">
            <v>0</v>
          </cell>
          <cell r="SZ51">
            <v>0</v>
          </cell>
        </row>
        <row r="52">
          <cell r="SQ52">
            <v>0</v>
          </cell>
          <cell r="SR52">
            <v>0</v>
          </cell>
          <cell r="SS52">
            <v>0</v>
          </cell>
          <cell r="ST52">
            <v>0</v>
          </cell>
          <cell r="SU52">
            <v>0</v>
          </cell>
          <cell r="SV52">
            <v>0</v>
          </cell>
          <cell r="SW52">
            <v>0</v>
          </cell>
          <cell r="SX52">
            <v>0</v>
          </cell>
          <cell r="SY52">
            <v>0</v>
          </cell>
          <cell r="SZ52">
            <v>0</v>
          </cell>
        </row>
        <row r="53">
          <cell r="SQ53">
            <v>0</v>
          </cell>
          <cell r="SR53">
            <v>0</v>
          </cell>
          <cell r="SS53">
            <v>0</v>
          </cell>
          <cell r="ST53">
            <v>0</v>
          </cell>
          <cell r="SU53">
            <v>0</v>
          </cell>
          <cell r="SV53">
            <v>0</v>
          </cell>
          <cell r="SW53">
            <v>0</v>
          </cell>
          <cell r="SX53">
            <v>0</v>
          </cell>
          <cell r="SY53">
            <v>0</v>
          </cell>
          <cell r="SZ53">
            <v>0</v>
          </cell>
        </row>
        <row r="54">
          <cell r="SQ54">
            <v>0</v>
          </cell>
          <cell r="SR54">
            <v>0</v>
          </cell>
          <cell r="SS54">
            <v>0</v>
          </cell>
          <cell r="ST54">
            <v>0</v>
          </cell>
          <cell r="SU54">
            <v>0</v>
          </cell>
          <cell r="SV54">
            <v>0</v>
          </cell>
          <cell r="SW54">
            <v>0</v>
          </cell>
          <cell r="SX54">
            <v>0</v>
          </cell>
          <cell r="SY54">
            <v>0</v>
          </cell>
          <cell r="SZ54">
            <v>0</v>
          </cell>
        </row>
        <row r="55">
          <cell r="SQ55">
            <v>0</v>
          </cell>
          <cell r="SR55">
            <v>0</v>
          </cell>
          <cell r="SS55">
            <v>0</v>
          </cell>
          <cell r="ST55">
            <v>0</v>
          </cell>
          <cell r="SU55">
            <v>0</v>
          </cell>
          <cell r="SV55">
            <v>0</v>
          </cell>
          <cell r="SW55">
            <v>0</v>
          </cell>
          <cell r="SX55">
            <v>0</v>
          </cell>
          <cell r="SY55">
            <v>0</v>
          </cell>
          <cell r="SZ55">
            <v>0</v>
          </cell>
        </row>
        <row r="56">
          <cell r="SQ56">
            <v>0</v>
          </cell>
          <cell r="SR56">
            <v>0</v>
          </cell>
          <cell r="SS56">
            <v>0</v>
          </cell>
          <cell r="ST56">
            <v>0</v>
          </cell>
          <cell r="SU56">
            <v>0</v>
          </cell>
          <cell r="SV56">
            <v>0</v>
          </cell>
          <cell r="SW56">
            <v>0</v>
          </cell>
          <cell r="SX56">
            <v>0</v>
          </cell>
          <cell r="SY56">
            <v>0</v>
          </cell>
          <cell r="SZ56">
            <v>0</v>
          </cell>
        </row>
        <row r="57">
          <cell r="SQ57">
            <v>0</v>
          </cell>
          <cell r="SR57">
            <v>0</v>
          </cell>
          <cell r="SS57">
            <v>0</v>
          </cell>
          <cell r="ST57">
            <v>0</v>
          </cell>
          <cell r="SU57">
            <v>0</v>
          </cell>
          <cell r="SV57">
            <v>0</v>
          </cell>
          <cell r="SW57">
            <v>0</v>
          </cell>
          <cell r="SX57">
            <v>0</v>
          </cell>
          <cell r="SY57">
            <v>0</v>
          </cell>
          <cell r="SZ57">
            <v>0</v>
          </cell>
        </row>
        <row r="58">
          <cell r="SQ58">
            <v>0</v>
          </cell>
          <cell r="SR58">
            <v>0</v>
          </cell>
          <cell r="SS58">
            <v>0</v>
          </cell>
          <cell r="ST58">
            <v>0</v>
          </cell>
          <cell r="SU58">
            <v>0</v>
          </cell>
          <cell r="SV58">
            <v>0</v>
          </cell>
          <cell r="SW58">
            <v>0</v>
          </cell>
          <cell r="SX58">
            <v>0</v>
          </cell>
          <cell r="SY58">
            <v>0</v>
          </cell>
          <cell r="SZ58">
            <v>0</v>
          </cell>
        </row>
        <row r="59">
          <cell r="SQ59">
            <v>0</v>
          </cell>
          <cell r="SR59">
            <v>0</v>
          </cell>
          <cell r="SS59">
            <v>0</v>
          </cell>
          <cell r="ST59">
            <v>0</v>
          </cell>
          <cell r="SU59">
            <v>0</v>
          </cell>
          <cell r="SV59">
            <v>0</v>
          </cell>
          <cell r="SW59">
            <v>0</v>
          </cell>
          <cell r="SX59">
            <v>0</v>
          </cell>
          <cell r="SY59">
            <v>0</v>
          </cell>
          <cell r="SZ59">
            <v>0</v>
          </cell>
        </row>
        <row r="60">
          <cell r="SQ60">
            <v>0</v>
          </cell>
          <cell r="SR60">
            <v>0</v>
          </cell>
          <cell r="SS60">
            <v>0</v>
          </cell>
          <cell r="ST60">
            <v>0</v>
          </cell>
          <cell r="SU60">
            <v>0</v>
          </cell>
          <cell r="SV60">
            <v>0</v>
          </cell>
          <cell r="SW60">
            <v>0</v>
          </cell>
          <cell r="SX60">
            <v>0</v>
          </cell>
          <cell r="SY60">
            <v>0</v>
          </cell>
          <cell r="SZ60">
            <v>0</v>
          </cell>
        </row>
        <row r="61">
          <cell r="SQ61">
            <v>0</v>
          </cell>
          <cell r="SR61">
            <v>0</v>
          </cell>
          <cell r="SS61">
            <v>0</v>
          </cell>
          <cell r="ST61">
            <v>0</v>
          </cell>
          <cell r="SU61">
            <v>0</v>
          </cell>
          <cell r="SV61">
            <v>0</v>
          </cell>
          <cell r="SW61">
            <v>0</v>
          </cell>
          <cell r="SX61">
            <v>0</v>
          </cell>
          <cell r="SY61">
            <v>0</v>
          </cell>
          <cell r="SZ61">
            <v>0</v>
          </cell>
        </row>
        <row r="62">
          <cell r="SQ62">
            <v>0</v>
          </cell>
          <cell r="SR62">
            <v>0</v>
          </cell>
          <cell r="SS62">
            <v>0</v>
          </cell>
          <cell r="ST62">
            <v>0</v>
          </cell>
          <cell r="SU62">
            <v>0</v>
          </cell>
          <cell r="SV62">
            <v>0</v>
          </cell>
          <cell r="SW62">
            <v>0</v>
          </cell>
          <cell r="SX62">
            <v>0</v>
          </cell>
          <cell r="SY62">
            <v>0</v>
          </cell>
          <cell r="SZ62">
            <v>0</v>
          </cell>
        </row>
        <row r="98">
          <cell r="SQ98">
            <v>0</v>
          </cell>
          <cell r="SR98">
            <v>0</v>
          </cell>
          <cell r="SS98">
            <v>0</v>
          </cell>
          <cell r="ST98">
            <v>0</v>
          </cell>
          <cell r="SU98">
            <v>0</v>
          </cell>
          <cell r="SV98">
            <v>0</v>
          </cell>
          <cell r="SW98">
            <v>0</v>
          </cell>
          <cell r="SX98">
            <v>0</v>
          </cell>
          <cell r="SY98">
            <v>0</v>
          </cell>
          <cell r="SZ98">
            <v>0</v>
          </cell>
        </row>
        <row r="99">
          <cell r="SQ99">
            <v>0</v>
          </cell>
          <cell r="SR99">
            <v>0</v>
          </cell>
          <cell r="SS99">
            <v>0</v>
          </cell>
          <cell r="ST99">
            <v>0</v>
          </cell>
          <cell r="SU99">
            <v>0</v>
          </cell>
          <cell r="SV99">
            <v>0</v>
          </cell>
          <cell r="SW99">
            <v>0</v>
          </cell>
          <cell r="SX99">
            <v>0</v>
          </cell>
          <cell r="SY99">
            <v>0</v>
          </cell>
          <cell r="SZ99">
            <v>0</v>
          </cell>
        </row>
        <row r="100">
          <cell r="SQ100">
            <v>0</v>
          </cell>
          <cell r="SR100">
            <v>0</v>
          </cell>
          <cell r="SS100">
            <v>0</v>
          </cell>
          <cell r="ST100">
            <v>0</v>
          </cell>
          <cell r="SU100">
            <v>0</v>
          </cell>
          <cell r="SV100">
            <v>0</v>
          </cell>
          <cell r="SW100">
            <v>0</v>
          </cell>
          <cell r="SX100">
            <v>0</v>
          </cell>
          <cell r="SY100">
            <v>0</v>
          </cell>
          <cell r="SZ100">
            <v>0</v>
          </cell>
        </row>
        <row r="101">
          <cell r="SQ101">
            <v>0</v>
          </cell>
          <cell r="SR101">
            <v>90</v>
          </cell>
          <cell r="SS101">
            <v>36</v>
          </cell>
          <cell r="ST101">
            <v>0</v>
          </cell>
          <cell r="SU101">
            <v>0</v>
          </cell>
          <cell r="SV101">
            <v>0</v>
          </cell>
          <cell r="SW101">
            <v>0</v>
          </cell>
          <cell r="SX101">
            <v>90</v>
          </cell>
          <cell r="SY101">
            <v>90</v>
          </cell>
          <cell r="SZ101">
            <v>0</v>
          </cell>
        </row>
        <row r="102">
          <cell r="SQ102">
            <v>0</v>
          </cell>
          <cell r="SR102">
            <v>180</v>
          </cell>
          <cell r="SS102">
            <v>72</v>
          </cell>
          <cell r="ST102">
            <v>0</v>
          </cell>
          <cell r="SU102">
            <v>0</v>
          </cell>
          <cell r="SV102">
            <v>0</v>
          </cell>
          <cell r="SW102">
            <v>0</v>
          </cell>
          <cell r="SX102">
            <v>180</v>
          </cell>
          <cell r="SY102">
            <v>180</v>
          </cell>
          <cell r="SZ102">
            <v>0</v>
          </cell>
        </row>
        <row r="103">
          <cell r="SQ103">
            <v>0</v>
          </cell>
          <cell r="SR103">
            <v>270</v>
          </cell>
          <cell r="SS103">
            <v>126.00000000000001</v>
          </cell>
          <cell r="ST103">
            <v>0</v>
          </cell>
          <cell r="SU103">
            <v>0</v>
          </cell>
          <cell r="SV103">
            <v>0</v>
          </cell>
          <cell r="SW103">
            <v>0</v>
          </cell>
          <cell r="SX103">
            <v>270</v>
          </cell>
          <cell r="SY103">
            <v>270</v>
          </cell>
          <cell r="SZ103">
            <v>0</v>
          </cell>
        </row>
        <row r="104">
          <cell r="SQ104">
            <v>0</v>
          </cell>
          <cell r="SR104">
            <v>360</v>
          </cell>
          <cell r="SS104">
            <v>180</v>
          </cell>
          <cell r="ST104">
            <v>0</v>
          </cell>
          <cell r="SU104">
            <v>0</v>
          </cell>
          <cell r="SV104">
            <v>0</v>
          </cell>
          <cell r="SW104">
            <v>0</v>
          </cell>
          <cell r="SX104">
            <v>360</v>
          </cell>
          <cell r="SY104">
            <v>360</v>
          </cell>
          <cell r="SZ104">
            <v>0</v>
          </cell>
        </row>
        <row r="105">
          <cell r="SQ105">
            <v>0</v>
          </cell>
          <cell r="SR105">
            <v>450</v>
          </cell>
          <cell r="SS105">
            <v>252.00000000000003</v>
          </cell>
          <cell r="ST105">
            <v>0</v>
          </cell>
          <cell r="SU105">
            <v>0</v>
          </cell>
          <cell r="SV105">
            <v>0</v>
          </cell>
          <cell r="SW105">
            <v>0</v>
          </cell>
          <cell r="SX105">
            <v>450</v>
          </cell>
          <cell r="SY105">
            <v>450</v>
          </cell>
          <cell r="SZ105">
            <v>0</v>
          </cell>
        </row>
        <row r="106">
          <cell r="SQ106">
            <v>0</v>
          </cell>
          <cell r="SR106">
            <v>540</v>
          </cell>
          <cell r="SS106">
            <v>324</v>
          </cell>
          <cell r="ST106">
            <v>0</v>
          </cell>
          <cell r="SU106">
            <v>0</v>
          </cell>
          <cell r="SV106">
            <v>0</v>
          </cell>
          <cell r="SW106">
            <v>0</v>
          </cell>
          <cell r="SX106">
            <v>540</v>
          </cell>
          <cell r="SY106">
            <v>540</v>
          </cell>
          <cell r="SZ106">
            <v>0</v>
          </cell>
        </row>
        <row r="107">
          <cell r="SQ107">
            <v>0</v>
          </cell>
          <cell r="SR107">
            <v>540</v>
          </cell>
          <cell r="SS107">
            <v>414</v>
          </cell>
          <cell r="ST107">
            <v>0</v>
          </cell>
          <cell r="SU107">
            <v>0</v>
          </cell>
          <cell r="SV107">
            <v>0</v>
          </cell>
          <cell r="SW107">
            <v>0</v>
          </cell>
          <cell r="SX107">
            <v>540</v>
          </cell>
          <cell r="SY107">
            <v>540</v>
          </cell>
          <cell r="SZ107">
            <v>0</v>
          </cell>
        </row>
        <row r="108">
          <cell r="SQ108">
            <v>0</v>
          </cell>
          <cell r="SR108">
            <v>540</v>
          </cell>
          <cell r="SS108">
            <v>504.00000000000006</v>
          </cell>
          <cell r="ST108">
            <v>0</v>
          </cell>
          <cell r="SU108">
            <v>0</v>
          </cell>
          <cell r="SV108">
            <v>0</v>
          </cell>
          <cell r="SW108">
            <v>0</v>
          </cell>
          <cell r="SX108">
            <v>540</v>
          </cell>
          <cell r="SY108">
            <v>540</v>
          </cell>
          <cell r="SZ108">
            <v>0</v>
          </cell>
        </row>
        <row r="109">
          <cell r="SQ109">
            <v>0</v>
          </cell>
          <cell r="SR109">
            <v>540</v>
          </cell>
          <cell r="SS109">
            <v>612</v>
          </cell>
          <cell r="ST109">
            <v>0</v>
          </cell>
          <cell r="SU109">
            <v>0</v>
          </cell>
          <cell r="SV109">
            <v>0</v>
          </cell>
          <cell r="SW109">
            <v>0</v>
          </cell>
          <cell r="SX109">
            <v>540</v>
          </cell>
          <cell r="SY109">
            <v>540</v>
          </cell>
          <cell r="SZ109">
            <v>0</v>
          </cell>
        </row>
        <row r="110">
          <cell r="SQ110">
            <v>0</v>
          </cell>
          <cell r="SR110">
            <v>540</v>
          </cell>
          <cell r="SS110">
            <v>720</v>
          </cell>
          <cell r="ST110">
            <v>0</v>
          </cell>
          <cell r="SU110">
            <v>0</v>
          </cell>
          <cell r="SV110">
            <v>0</v>
          </cell>
          <cell r="SW110">
            <v>0</v>
          </cell>
          <cell r="SX110">
            <v>540</v>
          </cell>
          <cell r="SY110">
            <v>540</v>
          </cell>
          <cell r="SZ110">
            <v>0</v>
          </cell>
        </row>
        <row r="111">
          <cell r="SQ111">
            <v>0</v>
          </cell>
          <cell r="SR111">
            <v>540</v>
          </cell>
          <cell r="SS111">
            <v>846</v>
          </cell>
          <cell r="ST111">
            <v>0</v>
          </cell>
          <cell r="SU111">
            <v>0</v>
          </cell>
          <cell r="SV111">
            <v>0</v>
          </cell>
          <cell r="SW111">
            <v>0</v>
          </cell>
          <cell r="SX111">
            <v>540</v>
          </cell>
          <cell r="SY111">
            <v>540</v>
          </cell>
          <cell r="SZ111">
            <v>0</v>
          </cell>
        </row>
        <row r="112">
          <cell r="SQ112">
            <v>0</v>
          </cell>
          <cell r="SR112">
            <v>540</v>
          </cell>
          <cell r="SS112">
            <v>954</v>
          </cell>
          <cell r="ST112">
            <v>0</v>
          </cell>
          <cell r="SU112">
            <v>0</v>
          </cell>
          <cell r="SV112">
            <v>0</v>
          </cell>
          <cell r="SW112">
            <v>0</v>
          </cell>
          <cell r="SX112">
            <v>540</v>
          </cell>
          <cell r="SY112">
            <v>540</v>
          </cell>
          <cell r="SZ112">
            <v>0</v>
          </cell>
        </row>
        <row r="113">
          <cell r="SQ113">
            <v>0</v>
          </cell>
          <cell r="SR113">
            <v>540</v>
          </cell>
          <cell r="SS113">
            <v>1044</v>
          </cell>
          <cell r="ST113">
            <v>0</v>
          </cell>
          <cell r="SU113">
            <v>0</v>
          </cell>
          <cell r="SV113">
            <v>0</v>
          </cell>
          <cell r="SW113">
            <v>0</v>
          </cell>
          <cell r="SX113">
            <v>540</v>
          </cell>
          <cell r="SY113">
            <v>540</v>
          </cell>
          <cell r="SZ113">
            <v>0</v>
          </cell>
        </row>
        <row r="114">
          <cell r="SQ114">
            <v>0</v>
          </cell>
          <cell r="SR114">
            <v>540</v>
          </cell>
          <cell r="SS114">
            <v>1116</v>
          </cell>
          <cell r="ST114">
            <v>0</v>
          </cell>
          <cell r="SU114">
            <v>0</v>
          </cell>
          <cell r="SV114">
            <v>0</v>
          </cell>
          <cell r="SW114">
            <v>0</v>
          </cell>
          <cell r="SX114">
            <v>540</v>
          </cell>
          <cell r="SY114">
            <v>540</v>
          </cell>
          <cell r="SZ114">
            <v>0</v>
          </cell>
        </row>
        <row r="115">
          <cell r="SQ115">
            <v>0</v>
          </cell>
          <cell r="SR115">
            <v>540</v>
          </cell>
          <cell r="SS115">
            <v>1170</v>
          </cell>
          <cell r="ST115">
            <v>0</v>
          </cell>
          <cell r="SU115">
            <v>0</v>
          </cell>
          <cell r="SV115">
            <v>0</v>
          </cell>
          <cell r="SW115">
            <v>0</v>
          </cell>
          <cell r="SX115">
            <v>540</v>
          </cell>
          <cell r="SY115">
            <v>540</v>
          </cell>
          <cell r="SZ115">
            <v>0</v>
          </cell>
        </row>
        <row r="116">
          <cell r="SQ116">
            <v>0</v>
          </cell>
          <cell r="SR116">
            <v>540</v>
          </cell>
          <cell r="SS116">
            <v>1206</v>
          </cell>
          <cell r="ST116">
            <v>0</v>
          </cell>
          <cell r="SU116">
            <v>0</v>
          </cell>
          <cell r="SV116">
            <v>0</v>
          </cell>
          <cell r="SW116">
            <v>0</v>
          </cell>
          <cell r="SX116">
            <v>540</v>
          </cell>
          <cell r="SY116">
            <v>540</v>
          </cell>
          <cell r="SZ116">
            <v>0</v>
          </cell>
        </row>
        <row r="117">
          <cell r="SQ117">
            <v>0</v>
          </cell>
          <cell r="SR117">
            <v>540</v>
          </cell>
          <cell r="SS117">
            <v>1224</v>
          </cell>
          <cell r="ST117">
            <v>0</v>
          </cell>
          <cell r="SU117">
            <v>0</v>
          </cell>
          <cell r="SV117">
            <v>0</v>
          </cell>
          <cell r="SW117">
            <v>0</v>
          </cell>
          <cell r="SX117">
            <v>540</v>
          </cell>
          <cell r="SY117">
            <v>540</v>
          </cell>
          <cell r="SZ117">
            <v>0</v>
          </cell>
        </row>
        <row r="118">
          <cell r="SQ118">
            <v>0</v>
          </cell>
          <cell r="SR118">
            <v>540</v>
          </cell>
          <cell r="SS118">
            <v>1224</v>
          </cell>
          <cell r="ST118">
            <v>0</v>
          </cell>
          <cell r="SU118">
            <v>0</v>
          </cell>
          <cell r="SV118">
            <v>0</v>
          </cell>
          <cell r="SW118">
            <v>0</v>
          </cell>
          <cell r="SX118">
            <v>540</v>
          </cell>
          <cell r="SY118">
            <v>540</v>
          </cell>
          <cell r="SZ118">
            <v>0</v>
          </cell>
        </row>
        <row r="119">
          <cell r="SQ119">
            <v>0</v>
          </cell>
          <cell r="SR119">
            <v>540</v>
          </cell>
          <cell r="SS119">
            <v>1224</v>
          </cell>
          <cell r="ST119">
            <v>0</v>
          </cell>
          <cell r="SU119">
            <v>0</v>
          </cell>
          <cell r="SV119">
            <v>0</v>
          </cell>
          <cell r="SW119">
            <v>0</v>
          </cell>
          <cell r="SX119">
            <v>540</v>
          </cell>
          <cell r="SY119">
            <v>540</v>
          </cell>
          <cell r="SZ119">
            <v>0</v>
          </cell>
        </row>
        <row r="120">
          <cell r="SQ120">
            <v>0</v>
          </cell>
          <cell r="SR120">
            <v>540</v>
          </cell>
          <cell r="SS120">
            <v>1224</v>
          </cell>
          <cell r="ST120">
            <v>0</v>
          </cell>
          <cell r="SU120">
            <v>0</v>
          </cell>
          <cell r="SV120">
            <v>0</v>
          </cell>
          <cell r="SW120">
            <v>0</v>
          </cell>
          <cell r="SX120">
            <v>540</v>
          </cell>
          <cell r="SY120">
            <v>540</v>
          </cell>
          <cell r="SZ120">
            <v>0</v>
          </cell>
        </row>
        <row r="121">
          <cell r="SQ121">
            <v>0</v>
          </cell>
          <cell r="SR121">
            <v>540</v>
          </cell>
          <cell r="SS121">
            <v>1224</v>
          </cell>
          <cell r="ST121">
            <v>0</v>
          </cell>
          <cell r="SU121">
            <v>0</v>
          </cell>
          <cell r="SV121">
            <v>0</v>
          </cell>
          <cell r="SW121">
            <v>0</v>
          </cell>
          <cell r="SX121">
            <v>540</v>
          </cell>
          <cell r="SY121">
            <v>540</v>
          </cell>
          <cell r="SZ121">
            <v>0</v>
          </cell>
        </row>
        <row r="122">
          <cell r="SQ122">
            <v>0</v>
          </cell>
          <cell r="SR122">
            <v>540</v>
          </cell>
          <cell r="SS122">
            <v>1224</v>
          </cell>
          <cell r="ST122">
            <v>0</v>
          </cell>
          <cell r="SU122">
            <v>0</v>
          </cell>
          <cell r="SV122">
            <v>0</v>
          </cell>
          <cell r="SW122">
            <v>0</v>
          </cell>
          <cell r="SX122">
            <v>540</v>
          </cell>
          <cell r="SY122">
            <v>540</v>
          </cell>
          <cell r="SZ122">
            <v>0</v>
          </cell>
        </row>
        <row r="123">
          <cell r="SQ123">
            <v>0</v>
          </cell>
          <cell r="SR123">
            <v>540</v>
          </cell>
          <cell r="SS123">
            <v>1224</v>
          </cell>
          <cell r="ST123">
            <v>0</v>
          </cell>
          <cell r="SU123">
            <v>0</v>
          </cell>
          <cell r="SV123">
            <v>0</v>
          </cell>
          <cell r="SW123">
            <v>0</v>
          </cell>
          <cell r="SX123">
            <v>540</v>
          </cell>
          <cell r="SY123">
            <v>540</v>
          </cell>
          <cell r="SZ123">
            <v>0</v>
          </cell>
        </row>
        <row r="124">
          <cell r="SQ124">
            <v>0</v>
          </cell>
          <cell r="SR124">
            <v>540</v>
          </cell>
          <cell r="SS124">
            <v>1224</v>
          </cell>
          <cell r="ST124">
            <v>0</v>
          </cell>
          <cell r="SU124">
            <v>0</v>
          </cell>
          <cell r="SV124">
            <v>0</v>
          </cell>
          <cell r="SW124">
            <v>0</v>
          </cell>
          <cell r="SX124">
            <v>540</v>
          </cell>
          <cell r="SY124">
            <v>540</v>
          </cell>
          <cell r="SZ124">
            <v>0</v>
          </cell>
        </row>
        <row r="125">
          <cell r="SQ125">
            <v>0</v>
          </cell>
          <cell r="SR125">
            <v>540</v>
          </cell>
          <cell r="SS125">
            <v>1224</v>
          </cell>
          <cell r="ST125">
            <v>0</v>
          </cell>
          <cell r="SU125">
            <v>0</v>
          </cell>
          <cell r="SV125">
            <v>0</v>
          </cell>
          <cell r="SW125">
            <v>0</v>
          </cell>
          <cell r="SX125">
            <v>540</v>
          </cell>
          <cell r="SY125">
            <v>540</v>
          </cell>
          <cell r="SZ125">
            <v>0</v>
          </cell>
        </row>
        <row r="126">
          <cell r="SQ126">
            <v>0</v>
          </cell>
          <cell r="SR126">
            <v>540</v>
          </cell>
          <cell r="SS126">
            <v>1224</v>
          </cell>
          <cell r="ST126">
            <v>0</v>
          </cell>
          <cell r="SU126">
            <v>0</v>
          </cell>
          <cell r="SV126">
            <v>0</v>
          </cell>
          <cell r="SW126">
            <v>0</v>
          </cell>
          <cell r="SX126">
            <v>540</v>
          </cell>
          <cell r="SY126">
            <v>540</v>
          </cell>
          <cell r="SZ126">
            <v>0</v>
          </cell>
        </row>
        <row r="162">
          <cell r="SQ162">
            <v>0</v>
          </cell>
          <cell r="SR162">
            <v>0</v>
          </cell>
          <cell r="SS162">
            <v>0</v>
          </cell>
          <cell r="ST162">
            <v>0</v>
          </cell>
          <cell r="SU162">
            <v>0</v>
          </cell>
          <cell r="SV162">
            <v>0</v>
          </cell>
          <cell r="SW162">
            <v>0</v>
          </cell>
          <cell r="SX162">
            <v>0</v>
          </cell>
          <cell r="SY162">
            <v>0</v>
          </cell>
          <cell r="SZ162">
            <v>0</v>
          </cell>
        </row>
        <row r="163">
          <cell r="SQ163">
            <v>0</v>
          </cell>
          <cell r="SR163">
            <v>0</v>
          </cell>
          <cell r="SS163">
            <v>0</v>
          </cell>
          <cell r="ST163">
            <v>215.49104764732877</v>
          </cell>
          <cell r="SU163">
            <v>0</v>
          </cell>
          <cell r="SV163">
            <v>0</v>
          </cell>
          <cell r="SW163">
            <v>0</v>
          </cell>
          <cell r="SX163">
            <v>0</v>
          </cell>
          <cell r="SY163">
            <v>0</v>
          </cell>
          <cell r="SZ163">
            <v>0</v>
          </cell>
        </row>
        <row r="164">
          <cell r="SQ164">
            <v>0</v>
          </cell>
          <cell r="SR164">
            <v>0</v>
          </cell>
          <cell r="SS164">
            <v>0</v>
          </cell>
          <cell r="ST164">
            <v>532.35758847086856</v>
          </cell>
          <cell r="SU164">
            <v>0</v>
          </cell>
          <cell r="SV164">
            <v>0</v>
          </cell>
          <cell r="SW164">
            <v>0</v>
          </cell>
          <cell r="SX164">
            <v>0</v>
          </cell>
          <cell r="SY164">
            <v>0</v>
          </cell>
          <cell r="SZ164">
            <v>0</v>
          </cell>
        </row>
        <row r="165">
          <cell r="SQ165">
            <v>0</v>
          </cell>
          <cell r="SR165">
            <v>540</v>
          </cell>
          <cell r="SS165">
            <v>180</v>
          </cell>
          <cell r="ST165">
            <v>900</v>
          </cell>
          <cell r="SU165">
            <v>0</v>
          </cell>
          <cell r="SV165">
            <v>0</v>
          </cell>
          <cell r="SW165">
            <v>0</v>
          </cell>
          <cell r="SX165">
            <v>90</v>
          </cell>
          <cell r="SY165">
            <v>90</v>
          </cell>
          <cell r="SZ165">
            <v>180</v>
          </cell>
        </row>
        <row r="166">
          <cell r="SQ166">
            <v>0</v>
          </cell>
          <cell r="SR166">
            <v>540</v>
          </cell>
          <cell r="SS166">
            <v>180</v>
          </cell>
          <cell r="ST166">
            <v>1350</v>
          </cell>
          <cell r="SU166">
            <v>0</v>
          </cell>
          <cell r="SV166">
            <v>0</v>
          </cell>
          <cell r="SW166">
            <v>0</v>
          </cell>
          <cell r="SX166">
            <v>180</v>
          </cell>
          <cell r="SY166">
            <v>180</v>
          </cell>
          <cell r="SZ166">
            <v>270</v>
          </cell>
        </row>
        <row r="167">
          <cell r="SQ167">
            <v>0</v>
          </cell>
          <cell r="SR167">
            <v>540</v>
          </cell>
          <cell r="SS167">
            <v>180</v>
          </cell>
          <cell r="ST167">
            <v>1620</v>
          </cell>
          <cell r="SU167">
            <v>0</v>
          </cell>
          <cell r="SV167">
            <v>0</v>
          </cell>
          <cell r="SW167">
            <v>0</v>
          </cell>
          <cell r="SX167">
            <v>270</v>
          </cell>
          <cell r="SY167">
            <v>270</v>
          </cell>
          <cell r="SZ167">
            <v>360</v>
          </cell>
        </row>
        <row r="168">
          <cell r="SQ168">
            <v>0</v>
          </cell>
          <cell r="SR168">
            <v>540</v>
          </cell>
          <cell r="SS168">
            <v>180</v>
          </cell>
          <cell r="ST168">
            <v>1800</v>
          </cell>
          <cell r="SU168">
            <v>0</v>
          </cell>
          <cell r="SV168">
            <v>0</v>
          </cell>
          <cell r="SW168">
            <v>0</v>
          </cell>
          <cell r="SX168">
            <v>360</v>
          </cell>
          <cell r="SY168">
            <v>360</v>
          </cell>
          <cell r="SZ168">
            <v>450</v>
          </cell>
        </row>
        <row r="169">
          <cell r="SQ169">
            <v>0</v>
          </cell>
          <cell r="SR169">
            <v>540</v>
          </cell>
          <cell r="SS169">
            <v>180</v>
          </cell>
          <cell r="ST169">
            <v>1800</v>
          </cell>
          <cell r="SU169">
            <v>0</v>
          </cell>
          <cell r="SV169">
            <v>0</v>
          </cell>
          <cell r="SW169">
            <v>0</v>
          </cell>
          <cell r="SX169">
            <v>450</v>
          </cell>
          <cell r="SY169">
            <v>450</v>
          </cell>
          <cell r="SZ169">
            <v>540</v>
          </cell>
        </row>
        <row r="170">
          <cell r="SQ170">
            <v>0</v>
          </cell>
          <cell r="SR170">
            <v>540</v>
          </cell>
          <cell r="SS170">
            <v>180</v>
          </cell>
          <cell r="ST170">
            <v>1800</v>
          </cell>
          <cell r="SU170">
            <v>0</v>
          </cell>
          <cell r="SV170">
            <v>0</v>
          </cell>
          <cell r="SW170">
            <v>0</v>
          </cell>
          <cell r="SX170">
            <v>540</v>
          </cell>
          <cell r="SY170">
            <v>540</v>
          </cell>
          <cell r="SZ170">
            <v>540</v>
          </cell>
        </row>
        <row r="171">
          <cell r="SQ171">
            <v>0</v>
          </cell>
          <cell r="SR171">
            <v>540</v>
          </cell>
          <cell r="SS171">
            <v>180</v>
          </cell>
          <cell r="ST171">
            <v>1800</v>
          </cell>
          <cell r="SU171">
            <v>0</v>
          </cell>
          <cell r="SV171">
            <v>0</v>
          </cell>
          <cell r="SW171">
            <v>0</v>
          </cell>
          <cell r="SX171">
            <v>540</v>
          </cell>
          <cell r="SY171">
            <v>540</v>
          </cell>
          <cell r="SZ171">
            <v>540</v>
          </cell>
        </row>
        <row r="172">
          <cell r="SQ172">
            <v>0</v>
          </cell>
          <cell r="SR172">
            <v>540</v>
          </cell>
          <cell r="SS172">
            <v>180</v>
          </cell>
          <cell r="ST172">
            <v>1800</v>
          </cell>
          <cell r="SU172">
            <v>0</v>
          </cell>
          <cell r="SV172">
            <v>0</v>
          </cell>
          <cell r="SW172">
            <v>0</v>
          </cell>
          <cell r="SX172">
            <v>540</v>
          </cell>
          <cell r="SY172">
            <v>540</v>
          </cell>
          <cell r="SZ172">
            <v>540</v>
          </cell>
        </row>
        <row r="173">
          <cell r="SQ173">
            <v>0</v>
          </cell>
          <cell r="SR173">
            <v>540</v>
          </cell>
          <cell r="SS173">
            <v>180</v>
          </cell>
          <cell r="ST173">
            <v>1800</v>
          </cell>
          <cell r="SU173">
            <v>0</v>
          </cell>
          <cell r="SV173">
            <v>0</v>
          </cell>
          <cell r="SW173">
            <v>0</v>
          </cell>
          <cell r="SX173">
            <v>540</v>
          </cell>
          <cell r="SY173">
            <v>540</v>
          </cell>
          <cell r="SZ173">
            <v>540</v>
          </cell>
        </row>
        <row r="174">
          <cell r="SQ174">
            <v>0</v>
          </cell>
          <cell r="SR174">
            <v>540</v>
          </cell>
          <cell r="SS174">
            <v>180</v>
          </cell>
          <cell r="ST174">
            <v>1800</v>
          </cell>
          <cell r="SU174">
            <v>0</v>
          </cell>
          <cell r="SV174">
            <v>0</v>
          </cell>
          <cell r="SW174">
            <v>0</v>
          </cell>
          <cell r="SX174">
            <v>540</v>
          </cell>
          <cell r="SY174">
            <v>540</v>
          </cell>
          <cell r="SZ174">
            <v>540</v>
          </cell>
        </row>
        <row r="175">
          <cell r="SQ175">
            <v>0</v>
          </cell>
          <cell r="SR175">
            <v>540</v>
          </cell>
          <cell r="SS175">
            <v>180</v>
          </cell>
          <cell r="ST175">
            <v>1800</v>
          </cell>
          <cell r="SU175">
            <v>0</v>
          </cell>
          <cell r="SV175">
            <v>0</v>
          </cell>
          <cell r="SW175">
            <v>0</v>
          </cell>
          <cell r="SX175">
            <v>540</v>
          </cell>
          <cell r="SY175">
            <v>540</v>
          </cell>
          <cell r="SZ175">
            <v>540</v>
          </cell>
        </row>
        <row r="176">
          <cell r="SQ176">
            <v>0</v>
          </cell>
          <cell r="SR176">
            <v>540</v>
          </cell>
          <cell r="SS176">
            <v>180</v>
          </cell>
          <cell r="ST176">
            <v>1800</v>
          </cell>
          <cell r="SU176">
            <v>0</v>
          </cell>
          <cell r="SV176">
            <v>0</v>
          </cell>
          <cell r="SW176">
            <v>0</v>
          </cell>
          <cell r="SX176">
            <v>540</v>
          </cell>
          <cell r="SY176">
            <v>540</v>
          </cell>
          <cell r="SZ176">
            <v>540</v>
          </cell>
        </row>
        <row r="177">
          <cell r="SQ177">
            <v>0</v>
          </cell>
          <cell r="SR177">
            <v>540</v>
          </cell>
          <cell r="SS177">
            <v>180</v>
          </cell>
          <cell r="ST177">
            <v>1800</v>
          </cell>
          <cell r="SU177">
            <v>0</v>
          </cell>
          <cell r="SV177">
            <v>0</v>
          </cell>
          <cell r="SW177">
            <v>0</v>
          </cell>
          <cell r="SX177">
            <v>540</v>
          </cell>
          <cell r="SY177">
            <v>540</v>
          </cell>
          <cell r="SZ177">
            <v>540</v>
          </cell>
        </row>
        <row r="178">
          <cell r="SQ178">
            <v>0</v>
          </cell>
          <cell r="SR178">
            <v>540</v>
          </cell>
          <cell r="SS178">
            <v>180</v>
          </cell>
          <cell r="ST178">
            <v>1800</v>
          </cell>
          <cell r="SU178">
            <v>0</v>
          </cell>
          <cell r="SV178">
            <v>0</v>
          </cell>
          <cell r="SW178">
            <v>0</v>
          </cell>
          <cell r="SX178">
            <v>540</v>
          </cell>
          <cell r="SY178">
            <v>540</v>
          </cell>
          <cell r="SZ178">
            <v>540</v>
          </cell>
        </row>
        <row r="179">
          <cell r="SQ179">
            <v>0</v>
          </cell>
          <cell r="SR179">
            <v>540</v>
          </cell>
          <cell r="SS179">
            <v>180</v>
          </cell>
          <cell r="ST179">
            <v>1800</v>
          </cell>
          <cell r="SU179">
            <v>0</v>
          </cell>
          <cell r="SV179">
            <v>0</v>
          </cell>
          <cell r="SW179">
            <v>0</v>
          </cell>
          <cell r="SX179">
            <v>540</v>
          </cell>
          <cell r="SY179">
            <v>540</v>
          </cell>
          <cell r="SZ179">
            <v>540</v>
          </cell>
        </row>
        <row r="180">
          <cell r="SQ180">
            <v>0</v>
          </cell>
          <cell r="SR180">
            <v>540</v>
          </cell>
          <cell r="SS180">
            <v>180</v>
          </cell>
          <cell r="ST180">
            <v>1800</v>
          </cell>
          <cell r="SU180">
            <v>0</v>
          </cell>
          <cell r="SV180">
            <v>0</v>
          </cell>
          <cell r="SW180">
            <v>0</v>
          </cell>
          <cell r="SX180">
            <v>540</v>
          </cell>
          <cell r="SY180">
            <v>540</v>
          </cell>
          <cell r="SZ180">
            <v>540</v>
          </cell>
        </row>
        <row r="181">
          <cell r="SQ181">
            <v>0</v>
          </cell>
          <cell r="SR181">
            <v>540</v>
          </cell>
          <cell r="SS181">
            <v>180</v>
          </cell>
          <cell r="ST181">
            <v>1800</v>
          </cell>
          <cell r="SU181">
            <v>0</v>
          </cell>
          <cell r="SV181">
            <v>0</v>
          </cell>
          <cell r="SW181">
            <v>0</v>
          </cell>
          <cell r="SX181">
            <v>540</v>
          </cell>
          <cell r="SY181">
            <v>540</v>
          </cell>
          <cell r="SZ181">
            <v>540</v>
          </cell>
        </row>
        <row r="182">
          <cell r="SQ182">
            <v>0</v>
          </cell>
          <cell r="SR182">
            <v>540</v>
          </cell>
          <cell r="SS182">
            <v>180</v>
          </cell>
          <cell r="ST182">
            <v>1800</v>
          </cell>
          <cell r="SU182">
            <v>0</v>
          </cell>
          <cell r="SV182">
            <v>0</v>
          </cell>
          <cell r="SW182">
            <v>0</v>
          </cell>
          <cell r="SX182">
            <v>540</v>
          </cell>
          <cell r="SY182">
            <v>540</v>
          </cell>
          <cell r="SZ182">
            <v>540</v>
          </cell>
        </row>
        <row r="183">
          <cell r="SQ183">
            <v>0</v>
          </cell>
          <cell r="SR183">
            <v>540</v>
          </cell>
          <cell r="SS183">
            <v>180</v>
          </cell>
          <cell r="ST183">
            <v>1800</v>
          </cell>
          <cell r="SU183">
            <v>0</v>
          </cell>
          <cell r="SV183">
            <v>0</v>
          </cell>
          <cell r="SW183">
            <v>0</v>
          </cell>
          <cell r="SX183">
            <v>540</v>
          </cell>
          <cell r="SY183">
            <v>540</v>
          </cell>
          <cell r="SZ183">
            <v>540</v>
          </cell>
        </row>
        <row r="184">
          <cell r="SQ184">
            <v>0</v>
          </cell>
          <cell r="SR184">
            <v>540</v>
          </cell>
          <cell r="SS184">
            <v>180</v>
          </cell>
          <cell r="ST184">
            <v>1800</v>
          </cell>
          <cell r="SU184">
            <v>0</v>
          </cell>
          <cell r="SV184">
            <v>0</v>
          </cell>
          <cell r="SW184">
            <v>0</v>
          </cell>
          <cell r="SX184">
            <v>540</v>
          </cell>
          <cell r="SY184">
            <v>540</v>
          </cell>
          <cell r="SZ184">
            <v>540</v>
          </cell>
        </row>
        <row r="185">
          <cell r="SQ185">
            <v>0</v>
          </cell>
          <cell r="SR185">
            <v>540</v>
          </cell>
          <cell r="SS185">
            <v>180</v>
          </cell>
          <cell r="ST185">
            <v>1800</v>
          </cell>
          <cell r="SU185">
            <v>0</v>
          </cell>
          <cell r="SV185">
            <v>0</v>
          </cell>
          <cell r="SW185">
            <v>0</v>
          </cell>
          <cell r="SX185">
            <v>540</v>
          </cell>
          <cell r="SY185">
            <v>540</v>
          </cell>
          <cell r="SZ185">
            <v>540</v>
          </cell>
        </row>
        <row r="186">
          <cell r="SQ186">
            <v>0</v>
          </cell>
          <cell r="SR186">
            <v>540</v>
          </cell>
          <cell r="SS186">
            <v>180</v>
          </cell>
          <cell r="ST186">
            <v>1800</v>
          </cell>
          <cell r="SU186">
            <v>0</v>
          </cell>
          <cell r="SV186">
            <v>0</v>
          </cell>
          <cell r="SW186">
            <v>0</v>
          </cell>
          <cell r="SX186">
            <v>540</v>
          </cell>
          <cell r="SY186">
            <v>540</v>
          </cell>
          <cell r="SZ186">
            <v>540</v>
          </cell>
        </row>
        <row r="187">
          <cell r="SQ187">
            <v>0</v>
          </cell>
          <cell r="SR187">
            <v>540</v>
          </cell>
          <cell r="SS187">
            <v>180</v>
          </cell>
          <cell r="ST187">
            <v>1800</v>
          </cell>
          <cell r="SU187">
            <v>0</v>
          </cell>
          <cell r="SV187">
            <v>0</v>
          </cell>
          <cell r="SW187">
            <v>0</v>
          </cell>
          <cell r="SX187">
            <v>540</v>
          </cell>
          <cell r="SY187">
            <v>540</v>
          </cell>
          <cell r="SZ187">
            <v>540</v>
          </cell>
        </row>
        <row r="188">
          <cell r="SQ188">
            <v>0</v>
          </cell>
          <cell r="SR188">
            <v>540</v>
          </cell>
          <cell r="SS188">
            <v>180</v>
          </cell>
          <cell r="ST188">
            <v>1800</v>
          </cell>
          <cell r="SU188">
            <v>0</v>
          </cell>
          <cell r="SV188">
            <v>0</v>
          </cell>
          <cell r="SW188">
            <v>0</v>
          </cell>
          <cell r="SX188">
            <v>540</v>
          </cell>
          <cell r="SY188">
            <v>540</v>
          </cell>
          <cell r="SZ188">
            <v>540</v>
          </cell>
        </row>
        <row r="189">
          <cell r="SQ189">
            <v>0</v>
          </cell>
          <cell r="SR189">
            <v>540</v>
          </cell>
          <cell r="SS189">
            <v>180</v>
          </cell>
          <cell r="ST189">
            <v>1800</v>
          </cell>
          <cell r="SU189">
            <v>0</v>
          </cell>
          <cell r="SV189">
            <v>0</v>
          </cell>
          <cell r="SW189">
            <v>0</v>
          </cell>
          <cell r="SX189">
            <v>540</v>
          </cell>
          <cell r="SY189">
            <v>540</v>
          </cell>
          <cell r="SZ189">
            <v>540</v>
          </cell>
        </row>
        <row r="190">
          <cell r="SQ190">
            <v>0</v>
          </cell>
          <cell r="SR190">
            <v>540</v>
          </cell>
          <cell r="SS190">
            <v>180</v>
          </cell>
          <cell r="ST190">
            <v>1800</v>
          </cell>
          <cell r="SU190">
            <v>0</v>
          </cell>
          <cell r="SV190">
            <v>0</v>
          </cell>
          <cell r="SW190">
            <v>0</v>
          </cell>
          <cell r="SX190">
            <v>540</v>
          </cell>
          <cell r="SY190">
            <v>540</v>
          </cell>
          <cell r="SZ190">
            <v>540</v>
          </cell>
        </row>
      </sheetData>
      <sheetData sheetId="7">
        <row r="4">
          <cell r="SO4">
            <v>7209.7788240068567</v>
          </cell>
          <cell r="SP4">
            <v>7209.7788240068567</v>
          </cell>
          <cell r="SQ4">
            <v>7209.7788240068567</v>
          </cell>
          <cell r="SR4">
            <v>7209.7788240068567</v>
          </cell>
          <cell r="SS4">
            <v>7209.7788240068567</v>
          </cell>
          <cell r="ST4">
            <v>7209.7788240068567</v>
          </cell>
          <cell r="SU4">
            <v>7209.7788240068567</v>
          </cell>
          <cell r="SV4">
            <v>7209.7788240068567</v>
          </cell>
          <cell r="SW4">
            <v>7209.7788240068567</v>
          </cell>
          <cell r="SX4">
            <v>7209.7788240068567</v>
          </cell>
        </row>
        <row r="5">
          <cell r="SO5">
            <v>7190.8526197367473</v>
          </cell>
          <cell r="SP5">
            <v>7190.8526197367473</v>
          </cell>
          <cell r="SQ5">
            <v>7190.8526197367473</v>
          </cell>
          <cell r="SR5">
            <v>7190.8526197367473</v>
          </cell>
          <cell r="SS5">
            <v>7190.8526197367473</v>
          </cell>
          <cell r="ST5">
            <v>7190.8526197367473</v>
          </cell>
          <cell r="SU5">
            <v>6921.387671046582</v>
          </cell>
          <cell r="SV5">
            <v>7190.8526197367473</v>
          </cell>
          <cell r="SW5">
            <v>7190.8526197367473</v>
          </cell>
          <cell r="SX5">
            <v>7190.8526197367473</v>
          </cell>
        </row>
        <row r="6">
          <cell r="SO6">
            <v>7171.2590309270336</v>
          </cell>
          <cell r="SP6">
            <v>7171.2590309270336</v>
          </cell>
          <cell r="SQ6">
            <v>7171.2590309270336</v>
          </cell>
          <cell r="SR6">
            <v>7171.2590309270336</v>
          </cell>
          <cell r="SS6">
            <v>7171.2590309270336</v>
          </cell>
          <cell r="ST6">
            <v>7171.2590309270336</v>
          </cell>
          <cell r="SU6">
            <v>6632.9965180863073</v>
          </cell>
          <cell r="SV6">
            <v>7171.2590309270336</v>
          </cell>
          <cell r="SW6">
            <v>7171.2590309270336</v>
          </cell>
          <cell r="SX6">
            <v>7171.2590309270336</v>
          </cell>
        </row>
        <row r="7">
          <cell r="SO7">
            <v>7153.9617469433415</v>
          </cell>
          <cell r="SP7">
            <v>7153.9617469433415</v>
          </cell>
          <cell r="SQ7">
            <v>7153.9617469433415</v>
          </cell>
          <cell r="SR7">
            <v>7153.9617469433415</v>
          </cell>
          <cell r="SS7">
            <v>7153.9617469433415</v>
          </cell>
          <cell r="ST7">
            <v>7027.8338503084933</v>
          </cell>
          <cell r="SU7">
            <v>6344.6053651260327</v>
          </cell>
          <cell r="SV7">
            <v>7153.9617469433415</v>
          </cell>
          <cell r="SW7">
            <v>7153.9617469433415</v>
          </cell>
          <cell r="SX7">
            <v>7153.9617469433415</v>
          </cell>
        </row>
        <row r="8">
          <cell r="SO8">
            <v>7138.3822785697703</v>
          </cell>
          <cell r="SP8">
            <v>7138.3822785697703</v>
          </cell>
          <cell r="SQ8">
            <v>7138.3822785697703</v>
          </cell>
          <cell r="SR8">
            <v>7138.3822785697703</v>
          </cell>
          <cell r="SS8">
            <v>7138.3822785697703</v>
          </cell>
          <cell r="ST8">
            <v>6884.4086696899531</v>
          </cell>
          <cell r="SU8">
            <v>6056.214212165758</v>
          </cell>
          <cell r="SV8">
            <v>7138.3822785697703</v>
          </cell>
          <cell r="SW8">
            <v>7138.3822785697703</v>
          </cell>
          <cell r="SX8">
            <v>7138.3822785697703</v>
          </cell>
        </row>
        <row r="9">
          <cell r="SO9">
            <v>7123.3310659541212</v>
          </cell>
          <cell r="SP9">
            <v>7123.3310659541212</v>
          </cell>
          <cell r="SQ9">
            <v>7123.3310659541212</v>
          </cell>
          <cell r="SR9">
            <v>7123.3310659541212</v>
          </cell>
          <cell r="SS9">
            <v>7123.3310659541212</v>
          </cell>
          <cell r="ST9">
            <v>6740.9834890714128</v>
          </cell>
          <cell r="SU9">
            <v>5767.8230592054833</v>
          </cell>
          <cell r="SV9">
            <v>7123.3310659541212</v>
          </cell>
          <cell r="SW9">
            <v>7123.3310659541212</v>
          </cell>
          <cell r="SX9">
            <v>7123.3310659541212</v>
          </cell>
        </row>
        <row r="10">
          <cell r="SO10">
            <v>7108.373049194427</v>
          </cell>
          <cell r="SP10">
            <v>7108.373049194427</v>
          </cell>
          <cell r="SQ10">
            <v>7108.373049194427</v>
          </cell>
          <cell r="SR10">
            <v>7108.373049194427</v>
          </cell>
          <cell r="SS10">
            <v>7108.373049194427</v>
          </cell>
          <cell r="ST10">
            <v>6597.5583084528726</v>
          </cell>
          <cell r="SU10">
            <v>5479.4319062452087</v>
          </cell>
          <cell r="SV10">
            <v>7108.373049194427</v>
          </cell>
          <cell r="SW10">
            <v>7108.373049194427</v>
          </cell>
          <cell r="SX10">
            <v>7108.373049194427</v>
          </cell>
        </row>
        <row r="11">
          <cell r="SO11">
            <v>7093.3401627733256</v>
          </cell>
          <cell r="SP11">
            <v>7093.3401627733256</v>
          </cell>
          <cell r="SQ11">
            <v>7093.3401627733256</v>
          </cell>
          <cell r="SR11">
            <v>7093.3401627733256</v>
          </cell>
          <cell r="SS11">
            <v>7093.3401627733256</v>
          </cell>
          <cell r="ST11">
            <v>6454.1331278343323</v>
          </cell>
          <cell r="SU11">
            <v>5191.040753284934</v>
          </cell>
          <cell r="SV11">
            <v>7093.3401627733256</v>
          </cell>
          <cell r="SW11">
            <v>7093.3401627733256</v>
          </cell>
          <cell r="SX11">
            <v>7093.3401627733256</v>
          </cell>
        </row>
        <row r="12">
          <cell r="SO12">
            <v>7078.327406280212</v>
          </cell>
          <cell r="SP12">
            <v>7078.327406280212</v>
          </cell>
          <cell r="SQ12">
            <v>7078.327406280212</v>
          </cell>
          <cell r="SR12">
            <v>7078.327406280212</v>
          </cell>
          <cell r="SS12">
            <v>7078.327406280212</v>
          </cell>
          <cell r="ST12">
            <v>6310.707947215792</v>
          </cell>
          <cell r="SU12">
            <v>4902.6496003246593</v>
          </cell>
          <cell r="SV12">
            <v>7078.327406280212</v>
          </cell>
          <cell r="SW12">
            <v>7078.327406280212</v>
          </cell>
          <cell r="SX12">
            <v>7078.327406280212</v>
          </cell>
        </row>
        <row r="13">
          <cell r="SO13">
            <v>7063.4425997810022</v>
          </cell>
          <cell r="SP13">
            <v>7063.4425997810022</v>
          </cell>
          <cell r="SQ13">
            <v>7063.4425997810022</v>
          </cell>
          <cell r="SR13">
            <v>7063.4425997810022</v>
          </cell>
          <cell r="SS13">
            <v>7063.4425997810022</v>
          </cell>
          <cell r="ST13">
            <v>6167.2827665972518</v>
          </cell>
          <cell r="SU13">
            <v>4614.2584473643847</v>
          </cell>
          <cell r="SV13">
            <v>7063.4425997810022</v>
          </cell>
          <cell r="SW13">
            <v>7063.4425997810022</v>
          </cell>
          <cell r="SX13">
            <v>7063.4425997810022</v>
          </cell>
        </row>
        <row r="14">
          <cell r="SO14">
            <v>7048.7228114083346</v>
          </cell>
          <cell r="SP14">
            <v>7048.7228114083346</v>
          </cell>
          <cell r="SQ14">
            <v>7048.7228114083346</v>
          </cell>
          <cell r="SR14">
            <v>7048.7228114083346</v>
          </cell>
          <cell r="SS14">
            <v>7048.7228114083346</v>
          </cell>
          <cell r="ST14">
            <v>6023.8575859787115</v>
          </cell>
          <cell r="SU14">
            <v>4325.86729440411</v>
          </cell>
          <cell r="SV14">
            <v>7048.7228114083346</v>
          </cell>
          <cell r="SW14">
            <v>7048.7228114083346</v>
          </cell>
          <cell r="SX14">
            <v>7048.7228114083346</v>
          </cell>
        </row>
        <row r="15">
          <cell r="SO15">
            <v>7034.0751016629529</v>
          </cell>
          <cell r="SP15">
            <v>7034.0751016629529</v>
          </cell>
          <cell r="SQ15">
            <v>7034.0751016629529</v>
          </cell>
          <cell r="SR15">
            <v>7034.0751016629529</v>
          </cell>
          <cell r="SS15">
            <v>7034.0751016629529</v>
          </cell>
          <cell r="ST15">
            <v>5880.4324053601713</v>
          </cell>
          <cell r="SU15">
            <v>4037.4761414438358</v>
          </cell>
          <cell r="SV15">
            <v>7034.0751016629529</v>
          </cell>
          <cell r="SW15">
            <v>7034.0751016629529</v>
          </cell>
          <cell r="SX15">
            <v>7034.0751016629529</v>
          </cell>
        </row>
        <row r="16">
          <cell r="SO16">
            <v>7019.4854736210218</v>
          </cell>
          <cell r="SP16">
            <v>7019.4854736210218</v>
          </cell>
          <cell r="SQ16">
            <v>7019.4854736210218</v>
          </cell>
          <cell r="SR16">
            <v>7019.4854736210218</v>
          </cell>
          <cell r="SS16">
            <v>7019.4854736210218</v>
          </cell>
          <cell r="ST16">
            <v>5737.007224741631</v>
          </cell>
          <cell r="SU16">
            <v>3749.0849884835616</v>
          </cell>
          <cell r="SV16">
            <v>7019.4854736210218</v>
          </cell>
          <cell r="SW16">
            <v>7019.4854736210218</v>
          </cell>
          <cell r="SX16">
            <v>7019.4854736210218</v>
          </cell>
        </row>
        <row r="17">
          <cell r="SO17">
            <v>7004.8825840683385</v>
          </cell>
          <cell r="SP17">
            <v>7004.8825840683385</v>
          </cell>
          <cell r="SQ17">
            <v>7004.8825840683385</v>
          </cell>
          <cell r="SR17">
            <v>7004.8825840683385</v>
          </cell>
          <cell r="SS17">
            <v>7004.8825840683385</v>
          </cell>
          <cell r="ST17">
            <v>5593.5820441230908</v>
          </cell>
          <cell r="SU17">
            <v>3460.6938355232874</v>
          </cell>
          <cell r="SV17">
            <v>7004.8825840683385</v>
          </cell>
          <cell r="SW17">
            <v>7004.8825840683385</v>
          </cell>
          <cell r="SX17">
            <v>7004.8825840683385</v>
          </cell>
        </row>
        <row r="18">
          <cell r="SO18">
            <v>6990.4444054224914</v>
          </cell>
          <cell r="SP18">
            <v>6990.4444054224914</v>
          </cell>
          <cell r="SQ18">
            <v>6990.4444054224914</v>
          </cell>
          <cell r="SR18">
            <v>6990.4444054224914</v>
          </cell>
          <cell r="SS18">
            <v>6990.4444054224914</v>
          </cell>
          <cell r="ST18">
            <v>5450.1568635045505</v>
          </cell>
          <cell r="SU18">
            <v>3172.3026825630131</v>
          </cell>
          <cell r="SV18">
            <v>6990.4444054224914</v>
          </cell>
          <cell r="SW18">
            <v>6990.4444054224914</v>
          </cell>
          <cell r="SX18">
            <v>6990.4444054224914</v>
          </cell>
        </row>
        <row r="19">
          <cell r="SO19">
            <v>6976.3737400976242</v>
          </cell>
          <cell r="SP19">
            <v>6976.3737400976242</v>
          </cell>
          <cell r="SQ19">
            <v>6976.3737400976242</v>
          </cell>
          <cell r="SR19">
            <v>6976.3737400976242</v>
          </cell>
          <cell r="SS19">
            <v>6976.3737400976242</v>
          </cell>
          <cell r="ST19">
            <v>5306.7316828860103</v>
          </cell>
          <cell r="SU19">
            <v>2883.9115296027389</v>
          </cell>
          <cell r="SV19">
            <v>6976.3737400976242</v>
          </cell>
          <cell r="SW19">
            <v>6976.3737400976242</v>
          </cell>
          <cell r="SX19">
            <v>6976.3737400976242</v>
          </cell>
        </row>
        <row r="20">
          <cell r="SO20">
            <v>6962.7090378027597</v>
          </cell>
          <cell r="SP20">
            <v>6962.7090378027597</v>
          </cell>
          <cell r="SQ20">
            <v>6962.7090378027597</v>
          </cell>
          <cell r="SR20">
            <v>6962.7090378027597</v>
          </cell>
          <cell r="SS20">
            <v>6962.7090378027597</v>
          </cell>
          <cell r="ST20">
            <v>5163.30650226747</v>
          </cell>
          <cell r="SU20">
            <v>2595.5203766424647</v>
          </cell>
          <cell r="SV20">
            <v>6962.7090378027597</v>
          </cell>
          <cell r="SW20">
            <v>6962.7090378027597</v>
          </cell>
          <cell r="SX20">
            <v>6962.7090378027597</v>
          </cell>
        </row>
        <row r="21">
          <cell r="SO21">
            <v>6949.2440699532754</v>
          </cell>
          <cell r="SP21">
            <v>6949.2440699532754</v>
          </cell>
          <cell r="SQ21">
            <v>6949.2440699532754</v>
          </cell>
          <cell r="SR21">
            <v>6949.2440699532754</v>
          </cell>
          <cell r="SS21">
            <v>6949.2440699532754</v>
          </cell>
          <cell r="ST21">
            <v>5019.8813216489298</v>
          </cell>
          <cell r="SU21">
            <v>2307.1292236821905</v>
          </cell>
          <cell r="SV21">
            <v>6949.2440699532754</v>
          </cell>
          <cell r="SW21">
            <v>6949.2440699532754</v>
          </cell>
          <cell r="SX21">
            <v>6949.2440699532754</v>
          </cell>
        </row>
        <row r="22">
          <cell r="SO22">
            <v>6935.7438238781451</v>
          </cell>
          <cell r="SP22">
            <v>6935.7438238781451</v>
          </cell>
          <cell r="SQ22">
            <v>6935.7438238781451</v>
          </cell>
          <cell r="SR22">
            <v>6935.7438238781451</v>
          </cell>
          <cell r="SS22">
            <v>6935.7438238781451</v>
          </cell>
          <cell r="ST22">
            <v>4876.4561410303895</v>
          </cell>
          <cell r="SU22">
            <v>2018.7380707219163</v>
          </cell>
          <cell r="SV22">
            <v>6935.7438238781451</v>
          </cell>
          <cell r="SW22">
            <v>6935.7438238781451</v>
          </cell>
          <cell r="SX22">
            <v>6935.7438238781451</v>
          </cell>
        </row>
        <row r="23">
          <cell r="SO23">
            <v>6922.1373773630776</v>
          </cell>
          <cell r="SP23">
            <v>6922.1373773630776</v>
          </cell>
          <cell r="SQ23">
            <v>6922.1373773630776</v>
          </cell>
          <cell r="SR23">
            <v>6922.1373773630776</v>
          </cell>
          <cell r="SS23">
            <v>6922.1373773630776</v>
          </cell>
          <cell r="ST23">
            <v>4733.0309604118493</v>
          </cell>
          <cell r="SU23">
            <v>1730.3469177616421</v>
          </cell>
          <cell r="SV23">
            <v>6922.1373773630776</v>
          </cell>
          <cell r="SW23">
            <v>6922.1373773630776</v>
          </cell>
          <cell r="SX23">
            <v>6922.1373773630776</v>
          </cell>
        </row>
        <row r="24">
          <cell r="SO24">
            <v>6908.4047586107099</v>
          </cell>
          <cell r="SP24">
            <v>6908.4047586107099</v>
          </cell>
          <cell r="SQ24">
            <v>6908.4047586107099</v>
          </cell>
          <cell r="SR24">
            <v>6908.4047586107099</v>
          </cell>
          <cell r="SS24">
            <v>6908.4047586107099</v>
          </cell>
          <cell r="ST24">
            <v>4589.605779793309</v>
          </cell>
          <cell r="SU24">
            <v>1441.9557648013679</v>
          </cell>
          <cell r="SV24">
            <v>6908.4047586107099</v>
          </cell>
          <cell r="SW24">
            <v>6908.4047586107099</v>
          </cell>
          <cell r="SX24">
            <v>6908.4047586107099</v>
          </cell>
        </row>
        <row r="25">
          <cell r="SO25">
            <v>6894.534221980718</v>
          </cell>
          <cell r="SP25">
            <v>6894.534221980718</v>
          </cell>
          <cell r="SQ25">
            <v>6894.534221980718</v>
          </cell>
          <cell r="SR25">
            <v>6894.534221980718</v>
          </cell>
          <cell r="SS25">
            <v>6894.534221980718</v>
          </cell>
          <cell r="ST25">
            <v>4446.1805991747688</v>
          </cell>
          <cell r="SU25">
            <v>1153.5646118410937</v>
          </cell>
          <cell r="SV25">
            <v>6894.534221980718</v>
          </cell>
          <cell r="SW25">
            <v>6894.534221980718</v>
          </cell>
          <cell r="SX25">
            <v>6894.534221980718</v>
          </cell>
        </row>
        <row r="26">
          <cell r="SO26">
            <v>6880.5748247173497</v>
          </cell>
          <cell r="SP26">
            <v>6880.5748247173497</v>
          </cell>
          <cell r="SQ26">
            <v>6880.5748247173497</v>
          </cell>
          <cell r="SR26">
            <v>6880.5748247173497</v>
          </cell>
          <cell r="SS26">
            <v>6880.5748247173497</v>
          </cell>
          <cell r="ST26">
            <v>4302.7554185562285</v>
          </cell>
          <cell r="SU26">
            <v>865.17345888081945</v>
          </cell>
          <cell r="SV26">
            <v>6880.5748247173497</v>
          </cell>
          <cell r="SW26">
            <v>6880.5748247173497</v>
          </cell>
          <cell r="SX26">
            <v>6880.5748247173497</v>
          </cell>
        </row>
        <row r="27">
          <cell r="SO27">
            <v>6866.5435312803938</v>
          </cell>
          <cell r="SP27">
            <v>6866.5435312803938</v>
          </cell>
          <cell r="SQ27">
            <v>6866.5435312803938</v>
          </cell>
          <cell r="SR27">
            <v>6866.5435312803938</v>
          </cell>
          <cell r="SS27">
            <v>6866.5435312803938</v>
          </cell>
          <cell r="ST27">
            <v>4159.3302379376883</v>
          </cell>
          <cell r="SU27">
            <v>576.78230592054524</v>
          </cell>
          <cell r="SV27">
            <v>6866.5435312803938</v>
          </cell>
          <cell r="SW27">
            <v>6866.5435312803938</v>
          </cell>
          <cell r="SX27">
            <v>6866.5435312803938</v>
          </cell>
        </row>
        <row r="28">
          <cell r="SO28">
            <v>6852.4713978185882</v>
          </cell>
          <cell r="SP28">
            <v>6852.4713978185882</v>
          </cell>
          <cell r="SQ28">
            <v>6852.4713978185882</v>
          </cell>
          <cell r="SR28">
            <v>6852.4713978185882</v>
          </cell>
          <cell r="SS28">
            <v>6852.4713978185882</v>
          </cell>
          <cell r="ST28">
            <v>4015.9050573191475</v>
          </cell>
          <cell r="SU28">
            <v>360.48894120034288</v>
          </cell>
          <cell r="SV28">
            <v>6852.4713978185882</v>
          </cell>
          <cell r="SW28">
            <v>6852.4713978185882</v>
          </cell>
          <cell r="SX28">
            <v>6852.4713978185882</v>
          </cell>
        </row>
        <row r="29">
          <cell r="SO29">
            <v>6838.3475729371485</v>
          </cell>
          <cell r="SP29">
            <v>6838.3475729371485</v>
          </cell>
          <cell r="SQ29">
            <v>6838.3475729371485</v>
          </cell>
          <cell r="SR29">
            <v>6838.3475729371485</v>
          </cell>
          <cell r="SS29">
            <v>6838.3475729371485</v>
          </cell>
          <cell r="ST29">
            <v>3872.4798767006068</v>
          </cell>
          <cell r="SU29">
            <v>360.48894120034288</v>
          </cell>
          <cell r="SV29">
            <v>6838.3475729371485</v>
          </cell>
          <cell r="SW29">
            <v>6838.3475729371485</v>
          </cell>
          <cell r="SX29">
            <v>6838.3475729371485</v>
          </cell>
        </row>
        <row r="30">
          <cell r="SO30">
            <v>6824.1823097168481</v>
          </cell>
          <cell r="SP30">
            <v>6824.1823097168481</v>
          </cell>
          <cell r="SQ30">
            <v>6824.1823097168481</v>
          </cell>
          <cell r="SR30">
            <v>6824.1823097168481</v>
          </cell>
          <cell r="SS30">
            <v>6824.1823097168481</v>
          </cell>
          <cell r="ST30">
            <v>3729.0546960820661</v>
          </cell>
          <cell r="SU30">
            <v>360.48894120034288</v>
          </cell>
          <cell r="SV30">
            <v>6824.1823097168481</v>
          </cell>
          <cell r="SW30">
            <v>6824.1823097168481</v>
          </cell>
          <cell r="SX30">
            <v>6824.1823097168481</v>
          </cell>
        </row>
        <row r="31">
          <cell r="SO31">
            <v>6809.9433344208446</v>
          </cell>
          <cell r="SP31">
            <v>6809.9433344208446</v>
          </cell>
          <cell r="SQ31">
            <v>6809.9433344208446</v>
          </cell>
          <cell r="SR31">
            <v>6809.9433344208446</v>
          </cell>
          <cell r="SS31">
            <v>6809.9433344208446</v>
          </cell>
          <cell r="ST31">
            <v>3585.6295154635254</v>
          </cell>
          <cell r="SU31">
            <v>360.48894120034288</v>
          </cell>
          <cell r="SV31">
            <v>6809.9433344208446</v>
          </cell>
          <cell r="SW31">
            <v>6809.9433344208446</v>
          </cell>
          <cell r="SX31">
            <v>6809.9433344208446</v>
          </cell>
        </row>
        <row r="32">
          <cell r="SO32">
            <v>6795.6621566105305</v>
          </cell>
          <cell r="SP32">
            <v>6795.6621566105305</v>
          </cell>
          <cell r="SQ32">
            <v>6795.6621566105305</v>
          </cell>
          <cell r="SR32">
            <v>6795.6621566105305</v>
          </cell>
          <cell r="SS32">
            <v>6795.6621566105305</v>
          </cell>
          <cell r="ST32">
            <v>3442.2043348449847</v>
          </cell>
          <cell r="SU32">
            <v>360.48894120034288</v>
          </cell>
          <cell r="SV32">
            <v>6795.6621566105305</v>
          </cell>
          <cell r="SW32">
            <v>6795.6621566105305</v>
          </cell>
          <cell r="SX32">
            <v>6795.6621566105305</v>
          </cell>
        </row>
        <row r="36">
          <cell r="SO36">
            <v>0</v>
          </cell>
          <cell r="SP36">
            <v>0</v>
          </cell>
          <cell r="SQ36">
            <v>0</v>
          </cell>
          <cell r="SR36">
            <v>0</v>
          </cell>
          <cell r="SS36">
            <v>0</v>
          </cell>
          <cell r="ST36">
            <v>0</v>
          </cell>
          <cell r="SU36">
            <v>0</v>
          </cell>
          <cell r="SV36">
            <v>0</v>
          </cell>
          <cell r="SW36">
            <v>0</v>
          </cell>
          <cell r="SX36">
            <v>0</v>
          </cell>
        </row>
        <row r="37">
          <cell r="SO37">
            <v>0</v>
          </cell>
          <cell r="SP37">
            <v>0</v>
          </cell>
          <cell r="SQ37">
            <v>0</v>
          </cell>
          <cell r="SR37">
            <v>0</v>
          </cell>
          <cell r="SS37">
            <v>0</v>
          </cell>
          <cell r="ST37">
            <v>0</v>
          </cell>
          <cell r="SU37">
            <v>0</v>
          </cell>
          <cell r="SV37">
            <v>0</v>
          </cell>
          <cell r="SW37">
            <v>0</v>
          </cell>
          <cell r="SX37">
            <v>0</v>
          </cell>
        </row>
        <row r="38">
          <cell r="SO38">
            <v>0</v>
          </cell>
          <cell r="SP38">
            <v>0</v>
          </cell>
          <cell r="SQ38">
            <v>0</v>
          </cell>
          <cell r="SR38">
            <v>0</v>
          </cell>
          <cell r="SS38">
            <v>0</v>
          </cell>
          <cell r="ST38">
            <v>0</v>
          </cell>
          <cell r="SU38">
            <v>0</v>
          </cell>
          <cell r="SV38">
            <v>0</v>
          </cell>
          <cell r="SW38">
            <v>0</v>
          </cell>
          <cell r="SX38">
            <v>0</v>
          </cell>
        </row>
        <row r="39">
          <cell r="SO39">
            <v>0</v>
          </cell>
          <cell r="SP39">
            <v>14.307923493886683</v>
          </cell>
          <cell r="SQ39">
            <v>5.7231693975546731</v>
          </cell>
          <cell r="SR39">
            <v>0</v>
          </cell>
          <cell r="SS39">
            <v>14.307923493886683</v>
          </cell>
          <cell r="ST39">
            <v>0</v>
          </cell>
          <cell r="SU39">
            <v>0</v>
          </cell>
          <cell r="SV39">
            <v>14.307923493886683</v>
          </cell>
          <cell r="SW39">
            <v>14.307923493886683</v>
          </cell>
          <cell r="SX39">
            <v>0</v>
          </cell>
        </row>
        <row r="40">
          <cell r="SO40">
            <v>0</v>
          </cell>
          <cell r="SP40">
            <v>28.553529114279083</v>
          </cell>
          <cell r="SQ40">
            <v>11.421411645711633</v>
          </cell>
          <cell r="SR40">
            <v>0</v>
          </cell>
          <cell r="SS40">
            <v>28.553529114279083</v>
          </cell>
          <cell r="ST40">
            <v>0</v>
          </cell>
          <cell r="SU40">
            <v>0</v>
          </cell>
          <cell r="SV40">
            <v>28.553529114279083</v>
          </cell>
          <cell r="SW40">
            <v>28.553529114279083</v>
          </cell>
          <cell r="SX40">
            <v>0</v>
          </cell>
        </row>
        <row r="41">
          <cell r="SO41">
            <v>0</v>
          </cell>
          <cell r="SP41">
            <v>42.739986395724728</v>
          </cell>
          <cell r="SQ41">
            <v>19.945326984671542</v>
          </cell>
          <cell r="SR41">
            <v>0</v>
          </cell>
          <cell r="SS41">
            <v>42.739986395724728</v>
          </cell>
          <cell r="ST41">
            <v>0</v>
          </cell>
          <cell r="SU41">
            <v>0</v>
          </cell>
          <cell r="SV41">
            <v>42.739986395724728</v>
          </cell>
          <cell r="SW41">
            <v>42.739986395724728</v>
          </cell>
          <cell r="SX41">
            <v>0</v>
          </cell>
        </row>
        <row r="42">
          <cell r="SO42">
            <v>0</v>
          </cell>
          <cell r="SP42">
            <v>56.866984393555413</v>
          </cell>
          <cell r="SQ42">
            <v>28.433492196777706</v>
          </cell>
          <cell r="SR42">
            <v>0</v>
          </cell>
          <cell r="SS42">
            <v>56.866984393555413</v>
          </cell>
          <cell r="ST42">
            <v>0</v>
          </cell>
          <cell r="SU42">
            <v>0</v>
          </cell>
          <cell r="SV42">
            <v>56.866984393555413</v>
          </cell>
          <cell r="SW42">
            <v>56.866984393555413</v>
          </cell>
          <cell r="SX42">
            <v>0</v>
          </cell>
        </row>
        <row r="43">
          <cell r="SO43">
            <v>0</v>
          </cell>
          <cell r="SP43">
            <v>70.933401627733261</v>
          </cell>
          <cell r="SQ43">
            <v>39.722704911530627</v>
          </cell>
          <cell r="SR43">
            <v>0</v>
          </cell>
          <cell r="SS43">
            <v>70.933401627733261</v>
          </cell>
          <cell r="ST43">
            <v>0</v>
          </cell>
          <cell r="SU43">
            <v>0</v>
          </cell>
          <cell r="SV43">
            <v>70.933401627733261</v>
          </cell>
          <cell r="SW43">
            <v>70.933401627733261</v>
          </cell>
          <cell r="SX43">
            <v>0</v>
          </cell>
        </row>
        <row r="44">
          <cell r="SO44">
            <v>0</v>
          </cell>
          <cell r="SP44">
            <v>84.93992887536254</v>
          </cell>
          <cell r="SQ44">
            <v>50.963957325217528</v>
          </cell>
          <cell r="SR44">
            <v>0</v>
          </cell>
          <cell r="SS44">
            <v>70.783274062802121</v>
          </cell>
          <cell r="ST44">
            <v>0</v>
          </cell>
          <cell r="SU44">
            <v>0</v>
          </cell>
          <cell r="SV44">
            <v>84.93992887536254</v>
          </cell>
          <cell r="SW44">
            <v>84.93992887536254</v>
          </cell>
          <cell r="SX44">
            <v>0</v>
          </cell>
        </row>
        <row r="45">
          <cell r="SO45">
            <v>0</v>
          </cell>
          <cell r="SP45">
            <v>84.761311197372024</v>
          </cell>
          <cell r="SQ45">
            <v>64.983671917985234</v>
          </cell>
          <cell r="SR45">
            <v>0</v>
          </cell>
          <cell r="SS45">
            <v>70.634425997810027</v>
          </cell>
          <cell r="ST45">
            <v>0</v>
          </cell>
          <cell r="SU45">
            <v>0</v>
          </cell>
          <cell r="SV45">
            <v>84.761311197372024</v>
          </cell>
          <cell r="SW45">
            <v>84.761311197372024</v>
          </cell>
          <cell r="SX45">
            <v>0</v>
          </cell>
        </row>
        <row r="46">
          <cell r="SO46">
            <v>0</v>
          </cell>
          <cell r="SP46">
            <v>84.584673736900015</v>
          </cell>
          <cell r="SQ46">
            <v>78.945695487773364</v>
          </cell>
          <cell r="SR46">
            <v>0</v>
          </cell>
          <cell r="SS46">
            <v>70.487228114083351</v>
          </cell>
          <cell r="ST46">
            <v>0</v>
          </cell>
          <cell r="SU46">
            <v>0</v>
          </cell>
          <cell r="SV46">
            <v>84.584673736900015</v>
          </cell>
          <cell r="SW46">
            <v>84.584673736900015</v>
          </cell>
          <cell r="SX46">
            <v>0</v>
          </cell>
        </row>
        <row r="47">
          <cell r="SO47">
            <v>0</v>
          </cell>
          <cell r="SP47">
            <v>84.408901219955425</v>
          </cell>
          <cell r="SQ47">
            <v>95.663421382616164</v>
          </cell>
          <cell r="SR47">
            <v>0</v>
          </cell>
          <cell r="SS47">
            <v>70.340751016629525</v>
          </cell>
          <cell r="ST47">
            <v>0</v>
          </cell>
          <cell r="SU47">
            <v>0</v>
          </cell>
          <cell r="SV47">
            <v>84.408901219955425</v>
          </cell>
          <cell r="SW47">
            <v>84.408901219955425</v>
          </cell>
          <cell r="SX47">
            <v>0</v>
          </cell>
        </row>
        <row r="48">
          <cell r="SO48">
            <v>0</v>
          </cell>
          <cell r="SP48">
            <v>84.233825683452253</v>
          </cell>
          <cell r="SQ48">
            <v>112.31176757793635</v>
          </cell>
          <cell r="SR48">
            <v>0</v>
          </cell>
          <cell r="SS48">
            <v>70.194854736210218</v>
          </cell>
          <cell r="ST48">
            <v>0</v>
          </cell>
          <cell r="SU48">
            <v>0</v>
          </cell>
          <cell r="SV48">
            <v>84.233825683452253</v>
          </cell>
          <cell r="SW48">
            <v>84.233825683452253</v>
          </cell>
          <cell r="SX48">
            <v>0</v>
          </cell>
        </row>
        <row r="49">
          <cell r="SO49">
            <v>0</v>
          </cell>
          <cell r="SP49">
            <v>84.058591008820045</v>
          </cell>
          <cell r="SQ49">
            <v>131.69179258048473</v>
          </cell>
          <cell r="SR49">
            <v>0</v>
          </cell>
          <cell r="SS49">
            <v>70.048825840683378</v>
          </cell>
          <cell r="ST49">
            <v>0</v>
          </cell>
          <cell r="SU49">
            <v>0</v>
          </cell>
          <cell r="SV49">
            <v>84.058591008820045</v>
          </cell>
          <cell r="SW49">
            <v>84.058591008820045</v>
          </cell>
          <cell r="SX49">
            <v>0</v>
          </cell>
        </row>
        <row r="50">
          <cell r="SO50">
            <v>0</v>
          </cell>
          <cell r="SP50">
            <v>83.885332865069884</v>
          </cell>
          <cell r="SQ50">
            <v>148.19742139495682</v>
          </cell>
          <cell r="SR50">
            <v>0</v>
          </cell>
          <cell r="SS50">
            <v>69.904444054224911</v>
          </cell>
          <cell r="ST50">
            <v>0</v>
          </cell>
          <cell r="SU50">
            <v>0</v>
          </cell>
          <cell r="SV50">
            <v>83.885332865069884</v>
          </cell>
          <cell r="SW50">
            <v>83.885332865069884</v>
          </cell>
          <cell r="SX50">
            <v>0</v>
          </cell>
        </row>
        <row r="51">
          <cell r="SO51">
            <v>0</v>
          </cell>
          <cell r="SP51">
            <v>83.716484881171482</v>
          </cell>
          <cell r="SQ51">
            <v>161.85187077026487</v>
          </cell>
          <cell r="SR51">
            <v>0</v>
          </cell>
          <cell r="SS51">
            <v>69.76373740097624</v>
          </cell>
          <cell r="ST51">
            <v>0</v>
          </cell>
          <cell r="SU51">
            <v>0</v>
          </cell>
          <cell r="SV51">
            <v>83.716484881171482</v>
          </cell>
          <cell r="SW51">
            <v>83.716484881171482</v>
          </cell>
          <cell r="SX51">
            <v>0</v>
          </cell>
        </row>
        <row r="52">
          <cell r="SO52">
            <v>0</v>
          </cell>
          <cell r="SP52">
            <v>83.552508453633124</v>
          </cell>
          <cell r="SQ52">
            <v>172.67518413750847</v>
          </cell>
          <cell r="SR52">
            <v>0</v>
          </cell>
          <cell r="SS52">
            <v>69.627090378027603</v>
          </cell>
          <cell r="ST52">
            <v>0</v>
          </cell>
          <cell r="SU52">
            <v>0</v>
          </cell>
          <cell r="SV52">
            <v>83.552508453633124</v>
          </cell>
          <cell r="SW52">
            <v>83.552508453633124</v>
          </cell>
          <cell r="SX52">
            <v>0</v>
          </cell>
        </row>
        <row r="53">
          <cell r="SO53">
            <v>0</v>
          </cell>
          <cell r="SP53">
            <v>83.390928839439297</v>
          </cell>
          <cell r="SQ53">
            <v>180.68034581878516</v>
          </cell>
          <cell r="SR53">
            <v>0</v>
          </cell>
          <cell r="SS53">
            <v>69.49244069953275</v>
          </cell>
          <cell r="ST53">
            <v>0</v>
          </cell>
          <cell r="SU53">
            <v>0</v>
          </cell>
          <cell r="SV53">
            <v>83.390928839439297</v>
          </cell>
          <cell r="SW53">
            <v>83.390928839439297</v>
          </cell>
          <cell r="SX53">
            <v>0</v>
          </cell>
        </row>
        <row r="54">
          <cell r="SO54">
            <v>0</v>
          </cell>
          <cell r="SP54">
            <v>83.228925886537738</v>
          </cell>
          <cell r="SQ54">
            <v>185.87793447993431</v>
          </cell>
          <cell r="SR54">
            <v>0</v>
          </cell>
          <cell r="SS54">
            <v>69.357438238781455</v>
          </cell>
          <cell r="ST54">
            <v>0</v>
          </cell>
          <cell r="SU54">
            <v>0</v>
          </cell>
          <cell r="SV54">
            <v>83.228925886537738</v>
          </cell>
          <cell r="SW54">
            <v>83.228925886537738</v>
          </cell>
          <cell r="SX54">
            <v>0</v>
          </cell>
        </row>
        <row r="55">
          <cell r="SO55">
            <v>0</v>
          </cell>
          <cell r="SP55">
            <v>83.065648528356931</v>
          </cell>
          <cell r="SQ55">
            <v>188.28213666427573</v>
          </cell>
          <cell r="SR55">
            <v>0</v>
          </cell>
          <cell r="SS55">
            <v>69.221373773630773</v>
          </cell>
          <cell r="ST55">
            <v>0</v>
          </cell>
          <cell r="SU55">
            <v>0</v>
          </cell>
          <cell r="SV55">
            <v>83.065648528356931</v>
          </cell>
          <cell r="SW55">
            <v>83.065648528356931</v>
          </cell>
          <cell r="SX55">
            <v>0</v>
          </cell>
        </row>
        <row r="56">
          <cell r="SO56">
            <v>0</v>
          </cell>
          <cell r="SP56">
            <v>82.900857103328519</v>
          </cell>
          <cell r="SQ56">
            <v>187.90860943421134</v>
          </cell>
          <cell r="SR56">
            <v>0</v>
          </cell>
          <cell r="SS56">
            <v>69.084047586107104</v>
          </cell>
          <cell r="ST56">
            <v>0</v>
          </cell>
          <cell r="SU56">
            <v>0</v>
          </cell>
          <cell r="SV56">
            <v>82.900857103328519</v>
          </cell>
          <cell r="SW56">
            <v>82.900857103328519</v>
          </cell>
          <cell r="SX56">
            <v>0</v>
          </cell>
        </row>
        <row r="57">
          <cell r="SO57">
            <v>0</v>
          </cell>
          <cell r="SP57">
            <v>82.7344106637686</v>
          </cell>
          <cell r="SQ57">
            <v>187.53133083787552</v>
          </cell>
          <cell r="SR57">
            <v>0</v>
          </cell>
          <cell r="SS57">
            <v>68.945342219807173</v>
          </cell>
          <cell r="ST57">
            <v>0</v>
          </cell>
          <cell r="SU57">
            <v>0</v>
          </cell>
          <cell r="SV57">
            <v>82.7344106637686</v>
          </cell>
          <cell r="SW57">
            <v>82.7344106637686</v>
          </cell>
          <cell r="SX57">
            <v>0</v>
          </cell>
        </row>
        <row r="58">
          <cell r="SO58">
            <v>0</v>
          </cell>
          <cell r="SP58">
            <v>82.566897896608197</v>
          </cell>
          <cell r="SQ58">
            <v>187.15163523231192</v>
          </cell>
          <cell r="SR58">
            <v>0</v>
          </cell>
          <cell r="SS58">
            <v>68.805748247173497</v>
          </cell>
          <cell r="ST58">
            <v>0</v>
          </cell>
          <cell r="SU58">
            <v>0</v>
          </cell>
          <cell r="SV58">
            <v>82.566897896608197</v>
          </cell>
          <cell r="SW58">
            <v>82.566897896608197</v>
          </cell>
          <cell r="SX58">
            <v>0</v>
          </cell>
        </row>
        <row r="59">
          <cell r="SO59">
            <v>0</v>
          </cell>
          <cell r="SP59">
            <v>82.39852237536472</v>
          </cell>
          <cell r="SQ59">
            <v>186.76998405082671</v>
          </cell>
          <cell r="SR59">
            <v>0</v>
          </cell>
          <cell r="SS59">
            <v>68.665435312803936</v>
          </cell>
          <cell r="ST59">
            <v>0</v>
          </cell>
          <cell r="SU59">
            <v>0</v>
          </cell>
          <cell r="SV59">
            <v>82.39852237536472</v>
          </cell>
          <cell r="SW59">
            <v>82.39852237536472</v>
          </cell>
          <cell r="SX59">
            <v>0</v>
          </cell>
        </row>
        <row r="60">
          <cell r="SO60">
            <v>0</v>
          </cell>
          <cell r="SP60">
            <v>82.229656773823066</v>
          </cell>
          <cell r="SQ60">
            <v>186.38722202066563</v>
          </cell>
          <cell r="SR60">
            <v>0</v>
          </cell>
          <cell r="SS60">
            <v>68.524713978185886</v>
          </cell>
          <cell r="ST60">
            <v>0</v>
          </cell>
          <cell r="SU60">
            <v>0</v>
          </cell>
          <cell r="SV60">
            <v>82.229656773823066</v>
          </cell>
          <cell r="SW60">
            <v>82.229656773823066</v>
          </cell>
          <cell r="SX60">
            <v>0</v>
          </cell>
        </row>
        <row r="61">
          <cell r="SO61">
            <v>0</v>
          </cell>
          <cell r="SP61">
            <v>82.060170875245774</v>
          </cell>
          <cell r="SQ61">
            <v>186.00305398389045</v>
          </cell>
          <cell r="SR61">
            <v>0</v>
          </cell>
          <cell r="SS61">
            <v>68.383475729371483</v>
          </cell>
          <cell r="ST61">
            <v>0</v>
          </cell>
          <cell r="SU61">
            <v>0</v>
          </cell>
          <cell r="SV61">
            <v>82.060170875245774</v>
          </cell>
          <cell r="SW61">
            <v>82.060170875245774</v>
          </cell>
          <cell r="SX61">
            <v>0</v>
          </cell>
        </row>
        <row r="62">
          <cell r="SO62">
            <v>0</v>
          </cell>
          <cell r="SP62">
            <v>81.890187716602171</v>
          </cell>
          <cell r="SQ62">
            <v>185.61775882429828</v>
          </cell>
          <cell r="SR62">
            <v>0</v>
          </cell>
          <cell r="SS62">
            <v>68.241823097168478</v>
          </cell>
          <cell r="ST62">
            <v>0</v>
          </cell>
          <cell r="SU62">
            <v>0</v>
          </cell>
          <cell r="SV62">
            <v>81.890187716602171</v>
          </cell>
          <cell r="SW62">
            <v>81.890187716602171</v>
          </cell>
          <cell r="SX62">
            <v>0</v>
          </cell>
        </row>
        <row r="63">
          <cell r="SO63">
            <v>0</v>
          </cell>
          <cell r="SP63">
            <v>81.719320013050137</v>
          </cell>
          <cell r="SQ63">
            <v>185.23045869624698</v>
          </cell>
          <cell r="SR63">
            <v>0</v>
          </cell>
          <cell r="SS63">
            <v>68.09943334420845</v>
          </cell>
          <cell r="ST63">
            <v>0</v>
          </cell>
          <cell r="SU63">
            <v>0</v>
          </cell>
          <cell r="SV63">
            <v>81.719320013050137</v>
          </cell>
          <cell r="SW63">
            <v>81.719320013050137</v>
          </cell>
          <cell r="SX63">
            <v>0</v>
          </cell>
        </row>
        <row r="64">
          <cell r="SO64">
            <v>0</v>
          </cell>
          <cell r="SP64">
            <v>67.240022385439659</v>
          </cell>
          <cell r="SQ64">
            <v>179.11884126225175</v>
          </cell>
          <cell r="SR64">
            <v>0</v>
          </cell>
          <cell r="SS64">
            <v>53.648698072218615</v>
          </cell>
          <cell r="ST64">
            <v>0</v>
          </cell>
          <cell r="SU64">
            <v>0</v>
          </cell>
          <cell r="SV64">
            <v>67.240022385439659</v>
          </cell>
          <cell r="SW64">
            <v>67.240022385439659</v>
          </cell>
          <cell r="SX64">
            <v>0</v>
          </cell>
        </row>
        <row r="100">
          <cell r="SO100">
            <v>0</v>
          </cell>
          <cell r="SP100">
            <v>0</v>
          </cell>
          <cell r="SQ100">
            <v>0</v>
          </cell>
          <cell r="SR100">
            <v>0</v>
          </cell>
          <cell r="SS100">
            <v>0</v>
          </cell>
          <cell r="ST100">
            <v>0</v>
          </cell>
          <cell r="SU100">
            <v>0</v>
          </cell>
          <cell r="SV100">
            <v>0</v>
          </cell>
          <cell r="SW100">
            <v>0</v>
          </cell>
          <cell r="SX100">
            <v>0</v>
          </cell>
        </row>
        <row r="101">
          <cell r="SO101">
            <v>0</v>
          </cell>
          <cell r="SP101">
            <v>0</v>
          </cell>
          <cell r="SQ101">
            <v>0</v>
          </cell>
          <cell r="SR101">
            <v>43.145115718420485</v>
          </cell>
          <cell r="SS101">
            <v>0</v>
          </cell>
          <cell r="ST101">
            <v>0</v>
          </cell>
          <cell r="SU101">
            <v>0</v>
          </cell>
          <cell r="SV101">
            <v>0</v>
          </cell>
          <cell r="SW101">
            <v>0</v>
          </cell>
          <cell r="SX101">
            <v>0</v>
          </cell>
        </row>
        <row r="102">
          <cell r="SO102">
            <v>0</v>
          </cell>
          <cell r="SP102">
            <v>0</v>
          </cell>
          <cell r="SQ102">
            <v>0</v>
          </cell>
          <cell r="SR102">
            <v>86.055108371124405</v>
          </cell>
          <cell r="SS102">
            <v>0</v>
          </cell>
          <cell r="ST102">
            <v>0</v>
          </cell>
          <cell r="SU102">
            <v>0</v>
          </cell>
          <cell r="SV102">
            <v>0</v>
          </cell>
          <cell r="SW102">
            <v>0</v>
          </cell>
          <cell r="SX102">
            <v>0</v>
          </cell>
        </row>
        <row r="103">
          <cell r="SO103">
            <v>0</v>
          </cell>
          <cell r="SP103">
            <v>85.847540963320085</v>
          </cell>
          <cell r="SQ103">
            <v>28.615846987773367</v>
          </cell>
          <cell r="SR103">
            <v>143.07923493886682</v>
          </cell>
          <cell r="SS103">
            <v>85.847540963320085</v>
          </cell>
          <cell r="ST103">
            <v>0</v>
          </cell>
          <cell r="SU103">
            <v>0</v>
          </cell>
          <cell r="SV103">
            <v>14.307923493886683</v>
          </cell>
          <cell r="SW103">
            <v>14.307923493886683</v>
          </cell>
          <cell r="SX103">
            <v>28.615846987773367</v>
          </cell>
        </row>
        <row r="104">
          <cell r="SO104">
            <v>0</v>
          </cell>
          <cell r="SP104">
            <v>85.660587342837246</v>
          </cell>
          <cell r="SQ104">
            <v>28.553529114279083</v>
          </cell>
          <cell r="SR104">
            <v>214.15146835709311</v>
          </cell>
          <cell r="SS104">
            <v>85.660587342837246</v>
          </cell>
          <cell r="ST104">
            <v>0</v>
          </cell>
          <cell r="SU104">
            <v>0</v>
          </cell>
          <cell r="SV104">
            <v>28.553529114279083</v>
          </cell>
          <cell r="SW104">
            <v>28.553529114279083</v>
          </cell>
          <cell r="SX104">
            <v>42.830293671418623</v>
          </cell>
        </row>
        <row r="105">
          <cell r="SO105">
            <v>0</v>
          </cell>
          <cell r="SP105">
            <v>85.479972791449455</v>
          </cell>
          <cell r="SQ105">
            <v>28.49332426381649</v>
          </cell>
          <cell r="SR105">
            <v>256.43991837434839</v>
          </cell>
          <cell r="SS105">
            <v>85.479972791449455</v>
          </cell>
          <cell r="ST105">
            <v>0</v>
          </cell>
          <cell r="SU105">
            <v>0</v>
          </cell>
          <cell r="SV105">
            <v>42.739986395724728</v>
          </cell>
          <cell r="SW105">
            <v>42.739986395724728</v>
          </cell>
          <cell r="SX105">
            <v>56.98664852763298</v>
          </cell>
        </row>
        <row r="106">
          <cell r="SO106">
            <v>0</v>
          </cell>
          <cell r="SP106">
            <v>85.300476590333119</v>
          </cell>
          <cell r="SQ106">
            <v>28.433492196777706</v>
          </cell>
          <cell r="SR106">
            <v>284.33492196777706</v>
          </cell>
          <cell r="SS106">
            <v>85.300476590333119</v>
          </cell>
          <cell r="ST106">
            <v>0</v>
          </cell>
          <cell r="SU106">
            <v>0</v>
          </cell>
          <cell r="SV106">
            <v>56.866984393555413</v>
          </cell>
          <cell r="SW106">
            <v>56.866984393555413</v>
          </cell>
          <cell r="SX106">
            <v>71.083730491944266</v>
          </cell>
        </row>
        <row r="107">
          <cell r="SO107">
            <v>0</v>
          </cell>
          <cell r="SP107">
            <v>85.120081953279907</v>
          </cell>
          <cell r="SQ107">
            <v>28.373360651093307</v>
          </cell>
          <cell r="SR107">
            <v>283.73360651093304</v>
          </cell>
          <cell r="SS107">
            <v>85.120081953279907</v>
          </cell>
          <cell r="ST107">
            <v>0</v>
          </cell>
          <cell r="SU107">
            <v>0</v>
          </cell>
          <cell r="SV107">
            <v>70.933401627733261</v>
          </cell>
          <cell r="SW107">
            <v>70.933401627733261</v>
          </cell>
          <cell r="SX107">
            <v>85.120081953279907</v>
          </cell>
        </row>
        <row r="108">
          <cell r="SO108">
            <v>0</v>
          </cell>
          <cell r="SP108">
            <v>84.93992887536254</v>
          </cell>
          <cell r="SQ108">
            <v>28.313309625120851</v>
          </cell>
          <cell r="SR108">
            <v>283.13309625120849</v>
          </cell>
          <cell r="SS108">
            <v>84.93992887536254</v>
          </cell>
          <cell r="ST108">
            <v>0</v>
          </cell>
          <cell r="SU108">
            <v>0</v>
          </cell>
          <cell r="SV108">
            <v>84.93992887536254</v>
          </cell>
          <cell r="SW108">
            <v>84.93992887536254</v>
          </cell>
          <cell r="SX108">
            <v>84.93992887536254</v>
          </cell>
        </row>
        <row r="109">
          <cell r="SO109">
            <v>0</v>
          </cell>
          <cell r="SP109">
            <v>84.761311197372024</v>
          </cell>
          <cell r="SQ109">
            <v>28.253770399124011</v>
          </cell>
          <cell r="SR109">
            <v>282.53770399124011</v>
          </cell>
          <cell r="SS109">
            <v>84.761311197372024</v>
          </cell>
          <cell r="ST109">
            <v>0</v>
          </cell>
          <cell r="SU109">
            <v>0</v>
          </cell>
          <cell r="SV109">
            <v>84.761311197372024</v>
          </cell>
          <cell r="SW109">
            <v>84.761311197372024</v>
          </cell>
          <cell r="SX109">
            <v>84.761311197372024</v>
          </cell>
        </row>
        <row r="110">
          <cell r="SO110">
            <v>0</v>
          </cell>
          <cell r="SP110">
            <v>84.584673736900015</v>
          </cell>
          <cell r="SQ110">
            <v>28.194891245633343</v>
          </cell>
          <cell r="SR110">
            <v>281.9489124563334</v>
          </cell>
          <cell r="SS110">
            <v>84.584673736900015</v>
          </cell>
          <cell r="ST110">
            <v>0</v>
          </cell>
          <cell r="SU110">
            <v>0</v>
          </cell>
          <cell r="SV110">
            <v>84.584673736900015</v>
          </cell>
          <cell r="SW110">
            <v>84.584673736900015</v>
          </cell>
          <cell r="SX110">
            <v>84.584673736900015</v>
          </cell>
        </row>
        <row r="111">
          <cell r="SO111">
            <v>0</v>
          </cell>
          <cell r="SP111">
            <v>84.408901219955425</v>
          </cell>
          <cell r="SQ111">
            <v>28.136300406651813</v>
          </cell>
          <cell r="SR111">
            <v>281.3630040665181</v>
          </cell>
          <cell r="SS111">
            <v>84.408901219955425</v>
          </cell>
          <cell r="ST111">
            <v>0</v>
          </cell>
          <cell r="SU111">
            <v>0</v>
          </cell>
          <cell r="SV111">
            <v>84.408901219955425</v>
          </cell>
          <cell r="SW111">
            <v>84.408901219955425</v>
          </cell>
          <cell r="SX111">
            <v>84.408901219955425</v>
          </cell>
        </row>
        <row r="112">
          <cell r="SO112">
            <v>0</v>
          </cell>
          <cell r="SP112">
            <v>84.233825683452253</v>
          </cell>
          <cell r="SQ112">
            <v>28.077941894484088</v>
          </cell>
          <cell r="SR112">
            <v>280.77941894484087</v>
          </cell>
          <cell r="SS112">
            <v>84.233825683452253</v>
          </cell>
          <cell r="ST112">
            <v>0</v>
          </cell>
          <cell r="SU112">
            <v>0</v>
          </cell>
          <cell r="SV112">
            <v>84.233825683452253</v>
          </cell>
          <cell r="SW112">
            <v>84.233825683452253</v>
          </cell>
          <cell r="SX112">
            <v>84.233825683452253</v>
          </cell>
        </row>
        <row r="113">
          <cell r="SO113">
            <v>0</v>
          </cell>
          <cell r="SP113">
            <v>84.058591008820045</v>
          </cell>
          <cell r="SQ113">
            <v>28.019530336273352</v>
          </cell>
          <cell r="SR113">
            <v>280.19530336273351</v>
          </cell>
          <cell r="SS113">
            <v>84.058591008820045</v>
          </cell>
          <cell r="ST113">
            <v>0</v>
          </cell>
          <cell r="SU113">
            <v>0</v>
          </cell>
          <cell r="SV113">
            <v>84.058591008820045</v>
          </cell>
          <cell r="SW113">
            <v>84.058591008820045</v>
          </cell>
          <cell r="SX113">
            <v>84.058591008820045</v>
          </cell>
        </row>
        <row r="114">
          <cell r="SO114">
            <v>0</v>
          </cell>
          <cell r="SP114">
            <v>83.885332865069884</v>
          </cell>
          <cell r="SQ114">
            <v>27.961777621689965</v>
          </cell>
          <cell r="SR114">
            <v>279.61777621689964</v>
          </cell>
          <cell r="SS114">
            <v>83.885332865069884</v>
          </cell>
          <cell r="ST114">
            <v>0</v>
          </cell>
          <cell r="SU114">
            <v>0</v>
          </cell>
          <cell r="SV114">
            <v>83.885332865069884</v>
          </cell>
          <cell r="SW114">
            <v>83.885332865069884</v>
          </cell>
          <cell r="SX114">
            <v>83.885332865069884</v>
          </cell>
        </row>
        <row r="115">
          <cell r="SO115">
            <v>0</v>
          </cell>
          <cell r="SP115">
            <v>83.716484881171482</v>
          </cell>
          <cell r="SQ115">
            <v>27.905494960390499</v>
          </cell>
          <cell r="SR115">
            <v>279.05494960390496</v>
          </cell>
          <cell r="SS115">
            <v>83.716484881171482</v>
          </cell>
          <cell r="ST115">
            <v>0</v>
          </cell>
          <cell r="SU115">
            <v>0</v>
          </cell>
          <cell r="SV115">
            <v>83.716484881171482</v>
          </cell>
          <cell r="SW115">
            <v>83.716484881171482</v>
          </cell>
          <cell r="SX115">
            <v>83.716484881171482</v>
          </cell>
        </row>
        <row r="116">
          <cell r="SO116">
            <v>0</v>
          </cell>
          <cell r="SP116">
            <v>83.552508453633124</v>
          </cell>
          <cell r="SQ116">
            <v>27.850836151211041</v>
          </cell>
          <cell r="SR116">
            <v>278.50836151211041</v>
          </cell>
          <cell r="SS116">
            <v>83.552508453633124</v>
          </cell>
          <cell r="ST116">
            <v>0</v>
          </cell>
          <cell r="SU116">
            <v>0</v>
          </cell>
          <cell r="SV116">
            <v>83.552508453633124</v>
          </cell>
          <cell r="SW116">
            <v>83.552508453633124</v>
          </cell>
          <cell r="SX116">
            <v>83.552508453633124</v>
          </cell>
        </row>
        <row r="117">
          <cell r="SO117">
            <v>0</v>
          </cell>
          <cell r="SP117">
            <v>83.390928839439297</v>
          </cell>
          <cell r="SQ117">
            <v>27.796976279813101</v>
          </cell>
          <cell r="SR117">
            <v>277.969762798131</v>
          </cell>
          <cell r="SS117">
            <v>83.390928839439297</v>
          </cell>
          <cell r="ST117">
            <v>0</v>
          </cell>
          <cell r="SU117">
            <v>0</v>
          </cell>
          <cell r="SV117">
            <v>83.390928839439297</v>
          </cell>
          <cell r="SW117">
            <v>83.390928839439297</v>
          </cell>
          <cell r="SX117">
            <v>83.390928839439297</v>
          </cell>
        </row>
        <row r="118">
          <cell r="SO118">
            <v>0</v>
          </cell>
          <cell r="SP118">
            <v>83.228925886537738</v>
          </cell>
          <cell r="SQ118">
            <v>27.742975295512583</v>
          </cell>
          <cell r="SR118">
            <v>277.42975295512582</v>
          </cell>
          <cell r="SS118">
            <v>83.228925886537738</v>
          </cell>
          <cell r="ST118">
            <v>0</v>
          </cell>
          <cell r="SU118">
            <v>0</v>
          </cell>
          <cell r="SV118">
            <v>83.228925886537738</v>
          </cell>
          <cell r="SW118">
            <v>83.228925886537738</v>
          </cell>
          <cell r="SX118">
            <v>83.228925886537738</v>
          </cell>
        </row>
        <row r="119">
          <cell r="SO119">
            <v>0</v>
          </cell>
          <cell r="SP119">
            <v>83.065648528356931</v>
          </cell>
          <cell r="SQ119">
            <v>27.688549509452312</v>
          </cell>
          <cell r="SR119">
            <v>276.88549509452309</v>
          </cell>
          <cell r="SS119">
            <v>83.065648528356931</v>
          </cell>
          <cell r="ST119">
            <v>0</v>
          </cell>
          <cell r="SU119">
            <v>0</v>
          </cell>
          <cell r="SV119">
            <v>83.065648528356931</v>
          </cell>
          <cell r="SW119">
            <v>83.065648528356931</v>
          </cell>
          <cell r="SX119">
            <v>83.065648528356931</v>
          </cell>
        </row>
        <row r="120">
          <cell r="SO120">
            <v>0</v>
          </cell>
          <cell r="SP120">
            <v>82.900857103328519</v>
          </cell>
          <cell r="SQ120">
            <v>27.633619034442845</v>
          </cell>
          <cell r="SR120">
            <v>276.33619034442842</v>
          </cell>
          <cell r="SS120">
            <v>82.900857103328519</v>
          </cell>
          <cell r="ST120">
            <v>0</v>
          </cell>
          <cell r="SU120">
            <v>0</v>
          </cell>
          <cell r="SV120">
            <v>82.900857103328519</v>
          </cell>
          <cell r="SW120">
            <v>82.900857103328519</v>
          </cell>
          <cell r="SX120">
            <v>82.900857103328519</v>
          </cell>
        </row>
        <row r="121">
          <cell r="SO121">
            <v>0</v>
          </cell>
          <cell r="SP121">
            <v>82.7344106637686</v>
          </cell>
          <cell r="SQ121">
            <v>27.57813688792287</v>
          </cell>
          <cell r="SR121">
            <v>275.78136887922869</v>
          </cell>
          <cell r="SS121">
            <v>82.7344106637686</v>
          </cell>
          <cell r="ST121">
            <v>0</v>
          </cell>
          <cell r="SU121">
            <v>0</v>
          </cell>
          <cell r="SV121">
            <v>82.7344106637686</v>
          </cell>
          <cell r="SW121">
            <v>82.7344106637686</v>
          </cell>
          <cell r="SX121">
            <v>82.7344106637686</v>
          </cell>
        </row>
        <row r="122">
          <cell r="SO122">
            <v>0</v>
          </cell>
          <cell r="SP122">
            <v>82.566897896608197</v>
          </cell>
          <cell r="SQ122">
            <v>27.522299298869399</v>
          </cell>
          <cell r="SR122">
            <v>275.22299298869399</v>
          </cell>
          <cell r="SS122">
            <v>82.566897896608197</v>
          </cell>
          <cell r="ST122">
            <v>0</v>
          </cell>
          <cell r="SU122">
            <v>0</v>
          </cell>
          <cell r="SV122">
            <v>82.566897896608197</v>
          </cell>
          <cell r="SW122">
            <v>82.566897896608197</v>
          </cell>
          <cell r="SX122">
            <v>82.566897896608197</v>
          </cell>
        </row>
        <row r="123">
          <cell r="SO123">
            <v>0</v>
          </cell>
          <cell r="SP123">
            <v>82.39852237536472</v>
          </cell>
          <cell r="SQ123">
            <v>27.466174125121576</v>
          </cell>
          <cell r="SR123">
            <v>274.66174125121574</v>
          </cell>
          <cell r="SS123">
            <v>82.39852237536472</v>
          </cell>
          <cell r="ST123">
            <v>0</v>
          </cell>
          <cell r="SU123">
            <v>0</v>
          </cell>
          <cell r="SV123">
            <v>82.39852237536472</v>
          </cell>
          <cell r="SW123">
            <v>82.39852237536472</v>
          </cell>
          <cell r="SX123">
            <v>82.39852237536472</v>
          </cell>
        </row>
        <row r="124">
          <cell r="SO124">
            <v>0</v>
          </cell>
          <cell r="SP124">
            <v>82.229656773823066</v>
          </cell>
          <cell r="SQ124">
            <v>27.409885591274357</v>
          </cell>
          <cell r="SR124">
            <v>274.09885591274355</v>
          </cell>
          <cell r="SS124">
            <v>82.229656773823066</v>
          </cell>
          <cell r="ST124">
            <v>0</v>
          </cell>
          <cell r="SU124">
            <v>0</v>
          </cell>
          <cell r="SV124">
            <v>82.229656773823066</v>
          </cell>
          <cell r="SW124">
            <v>82.229656773823066</v>
          </cell>
          <cell r="SX124">
            <v>82.229656773823066</v>
          </cell>
        </row>
        <row r="125">
          <cell r="SO125">
            <v>0</v>
          </cell>
          <cell r="SP125">
            <v>82.060170875245774</v>
          </cell>
          <cell r="SQ125">
            <v>27.353390291748596</v>
          </cell>
          <cell r="SR125">
            <v>273.53390291748593</v>
          </cell>
          <cell r="SS125">
            <v>82.060170875245774</v>
          </cell>
          <cell r="ST125">
            <v>0</v>
          </cell>
          <cell r="SU125">
            <v>0</v>
          </cell>
          <cell r="SV125">
            <v>82.060170875245774</v>
          </cell>
          <cell r="SW125">
            <v>82.060170875245774</v>
          </cell>
          <cell r="SX125">
            <v>82.060170875245774</v>
          </cell>
        </row>
        <row r="126">
          <cell r="SO126">
            <v>0</v>
          </cell>
          <cell r="SP126">
            <v>81.890187716602171</v>
          </cell>
          <cell r="SQ126">
            <v>27.296729238867393</v>
          </cell>
          <cell r="SR126">
            <v>229.82217667025344</v>
          </cell>
          <cell r="SS126">
            <v>81.890187716602171</v>
          </cell>
          <cell r="ST126">
            <v>0</v>
          </cell>
          <cell r="SU126">
            <v>0</v>
          </cell>
          <cell r="SV126">
            <v>81.890187716602171</v>
          </cell>
          <cell r="SW126">
            <v>81.890187716602171</v>
          </cell>
          <cell r="SX126">
            <v>81.890187716602171</v>
          </cell>
        </row>
        <row r="127">
          <cell r="SO127">
            <v>0</v>
          </cell>
          <cell r="SP127">
            <v>81.719320013050137</v>
          </cell>
          <cell r="SQ127">
            <v>27.239773337683381</v>
          </cell>
          <cell r="SR127">
            <v>186.34262500570941</v>
          </cell>
          <cell r="SS127">
            <v>81.719320013050137</v>
          </cell>
          <cell r="ST127">
            <v>0</v>
          </cell>
          <cell r="SU127">
            <v>0</v>
          </cell>
          <cell r="SV127">
            <v>81.719320013050137</v>
          </cell>
          <cell r="SW127">
            <v>81.719320013050137</v>
          </cell>
          <cell r="SX127">
            <v>81.719320013050137</v>
          </cell>
        </row>
        <row r="128">
          <cell r="SO128">
            <v>0</v>
          </cell>
          <cell r="SP128">
            <v>-4.2995950839937365</v>
          </cell>
          <cell r="SQ128">
            <v>-1.4331983613312467</v>
          </cell>
          <cell r="SR128">
            <v>128.74725132555437</v>
          </cell>
          <cell r="SS128">
            <v>-4.2995950839937365</v>
          </cell>
          <cell r="ST128">
            <v>0</v>
          </cell>
          <cell r="SU128">
            <v>0</v>
          </cell>
          <cell r="SV128">
            <v>67.240022385439659</v>
          </cell>
          <cell r="SW128">
            <v>67.240022385439659</v>
          </cell>
          <cell r="SX128">
            <v>52.932098891552982</v>
          </cell>
        </row>
      </sheetData>
      <sheetData sheetId="8">
        <row r="3">
          <cell r="SQ3">
            <v>209.21489895717241</v>
          </cell>
          <cell r="SR3">
            <v>209.21489895717241</v>
          </cell>
          <cell r="SS3">
            <v>209.21489895717241</v>
          </cell>
          <cell r="ST3">
            <v>209.21489895717241</v>
          </cell>
          <cell r="SU3">
            <v>209.21489895717241</v>
          </cell>
          <cell r="SV3">
            <v>209.21489895717241</v>
          </cell>
          <cell r="SW3">
            <v>209.21489895717241</v>
          </cell>
          <cell r="SX3">
            <v>209.21489895717241</v>
          </cell>
          <cell r="SY3">
            <v>209.21489895717241</v>
          </cell>
          <cell r="SZ3">
            <v>209.21489895717241</v>
          </cell>
        </row>
        <row r="4">
          <cell r="SQ4">
            <v>189.13893983141406</v>
          </cell>
          <cell r="SR4">
            <v>189.13893983141406</v>
          </cell>
          <cell r="SS4">
            <v>189.13893983141406</v>
          </cell>
          <cell r="ST4">
            <v>189.13893983141406</v>
          </cell>
          <cell r="SU4">
            <v>189.13893983141406</v>
          </cell>
          <cell r="SV4">
            <v>189.13893983141406</v>
          </cell>
          <cell r="SW4">
            <v>189.13893983141406</v>
          </cell>
          <cell r="SX4">
            <v>189.13893983141406</v>
          </cell>
          <cell r="SY4">
            <v>189.13893983141406</v>
          </cell>
          <cell r="SZ4">
            <v>189.13893983141406</v>
          </cell>
        </row>
        <row r="5">
          <cell r="SQ5">
            <v>203.48312145590626</v>
          </cell>
          <cell r="SR5">
            <v>203.48312145590626</v>
          </cell>
          <cell r="SS5">
            <v>203.48312145590626</v>
          </cell>
          <cell r="ST5">
            <v>203.48312145590626</v>
          </cell>
          <cell r="SU5">
            <v>203.48312145590626</v>
          </cell>
          <cell r="SV5">
            <v>203.48312145590626</v>
          </cell>
          <cell r="SW5">
            <v>203.48312145590626</v>
          </cell>
          <cell r="SX5">
            <v>203.48312145590626</v>
          </cell>
          <cell r="SY5">
            <v>203.48312145590626</v>
          </cell>
          <cell r="SZ5">
            <v>203.48312145590626</v>
          </cell>
        </row>
        <row r="6">
          <cell r="SQ6">
            <v>211.20252100120888</v>
          </cell>
          <cell r="SR6">
            <v>211.20252100120888</v>
          </cell>
          <cell r="SS6">
            <v>211.20252100120888</v>
          </cell>
          <cell r="ST6">
            <v>211.20252100120888</v>
          </cell>
          <cell r="SU6">
            <v>0</v>
          </cell>
          <cell r="SV6">
            <v>0</v>
          </cell>
          <cell r="SW6">
            <v>0</v>
          </cell>
          <cell r="SX6">
            <v>211.20252100120888</v>
          </cell>
          <cell r="SY6">
            <v>211.20252100120888</v>
          </cell>
          <cell r="SZ6">
            <v>211.20252100120888</v>
          </cell>
        </row>
        <row r="7">
          <cell r="SQ7">
            <v>200.33936961464951</v>
          </cell>
          <cell r="SR7">
            <v>200.33936961464951</v>
          </cell>
          <cell r="SS7">
            <v>200.33936961464951</v>
          </cell>
          <cell r="ST7">
            <v>200.33936961464951</v>
          </cell>
          <cell r="SU7">
            <v>0</v>
          </cell>
          <cell r="SV7">
            <v>0</v>
          </cell>
          <cell r="SW7">
            <v>0</v>
          </cell>
          <cell r="SX7">
            <v>200.33936961464951</v>
          </cell>
          <cell r="SY7">
            <v>200.33936961464951</v>
          </cell>
          <cell r="SZ7">
            <v>200.33936961464951</v>
          </cell>
        </row>
        <row r="8">
          <cell r="SQ8">
            <v>193.58008781471926</v>
          </cell>
          <cell r="SR8">
            <v>193.58008781471926</v>
          </cell>
          <cell r="SS8">
            <v>193.58008781471926</v>
          </cell>
          <cell r="ST8">
            <v>193.58008781471926</v>
          </cell>
          <cell r="SU8">
            <v>0</v>
          </cell>
          <cell r="SV8">
            <v>0</v>
          </cell>
          <cell r="SW8">
            <v>0</v>
          </cell>
          <cell r="SX8">
            <v>193.58008781471926</v>
          </cell>
          <cell r="SY8">
            <v>193.58008781471926</v>
          </cell>
          <cell r="SZ8">
            <v>193.58008781471926</v>
          </cell>
        </row>
        <row r="9">
          <cell r="SQ9">
            <v>192.38685987926874</v>
          </cell>
          <cell r="SR9">
            <v>192.38685987926874</v>
          </cell>
          <cell r="SS9">
            <v>192.38685987926874</v>
          </cell>
          <cell r="ST9">
            <v>192.38685987926874</v>
          </cell>
          <cell r="SU9">
            <v>0</v>
          </cell>
          <cell r="SV9">
            <v>0</v>
          </cell>
          <cell r="SW9">
            <v>0</v>
          </cell>
          <cell r="SX9">
            <v>192.38685987926874</v>
          </cell>
          <cell r="SY9">
            <v>192.38685987926874</v>
          </cell>
          <cell r="SZ9">
            <v>192.38685987926874</v>
          </cell>
        </row>
        <row r="10">
          <cell r="SQ10">
            <v>193.34633846711131</v>
          </cell>
          <cell r="SR10">
            <v>193.34633846711131</v>
          </cell>
          <cell r="SS10">
            <v>193.34633846711131</v>
          </cell>
          <cell r="ST10">
            <v>193.34633846711131</v>
          </cell>
          <cell r="SU10">
            <v>0</v>
          </cell>
          <cell r="SV10">
            <v>0</v>
          </cell>
          <cell r="SW10">
            <v>0</v>
          </cell>
          <cell r="SX10">
            <v>193.34633846711131</v>
          </cell>
          <cell r="SY10">
            <v>193.34633846711131</v>
          </cell>
          <cell r="SZ10">
            <v>193.34633846711131</v>
          </cell>
        </row>
        <row r="11">
          <cell r="SQ11">
            <v>193.08802357267632</v>
          </cell>
          <cell r="SR11">
            <v>193.08802357267632</v>
          </cell>
          <cell r="SS11">
            <v>193.08802357267632</v>
          </cell>
          <cell r="ST11">
            <v>193.08802357267632</v>
          </cell>
          <cell r="SU11">
            <v>0</v>
          </cell>
          <cell r="SV11">
            <v>0</v>
          </cell>
          <cell r="SW11">
            <v>0</v>
          </cell>
          <cell r="SX11">
            <v>193.08802357267632</v>
          </cell>
          <cell r="SY11">
            <v>193.08802357267632</v>
          </cell>
          <cell r="SZ11">
            <v>193.08802357267632</v>
          </cell>
        </row>
        <row r="12">
          <cell r="SQ12">
            <v>191.4508429985608</v>
          </cell>
          <cell r="SR12">
            <v>191.4508429985608</v>
          </cell>
          <cell r="SS12">
            <v>191.4508429985608</v>
          </cell>
          <cell r="ST12">
            <v>191.4508429985608</v>
          </cell>
          <cell r="SU12">
            <v>0</v>
          </cell>
          <cell r="SV12">
            <v>0</v>
          </cell>
          <cell r="SW12">
            <v>0</v>
          </cell>
          <cell r="SX12">
            <v>191.4508429985608</v>
          </cell>
          <cell r="SY12">
            <v>191.4508429985608</v>
          </cell>
          <cell r="SZ12">
            <v>191.4508429985608</v>
          </cell>
        </row>
        <row r="13">
          <cell r="SQ13">
            <v>189.33861520532264</v>
          </cell>
          <cell r="SR13">
            <v>189.33861520532264</v>
          </cell>
          <cell r="SS13">
            <v>189.33861520532264</v>
          </cell>
          <cell r="ST13">
            <v>189.33861520532264</v>
          </cell>
          <cell r="SU13">
            <v>0</v>
          </cell>
          <cell r="SV13">
            <v>0</v>
          </cell>
          <cell r="SW13">
            <v>0</v>
          </cell>
          <cell r="SX13">
            <v>189.33861520532264</v>
          </cell>
          <cell r="SY13">
            <v>189.33861520532264</v>
          </cell>
          <cell r="SZ13">
            <v>189.33861520532264</v>
          </cell>
        </row>
        <row r="14">
          <cell r="SQ14">
            <v>188.41782106843584</v>
          </cell>
          <cell r="SR14">
            <v>188.41782106843584</v>
          </cell>
          <cell r="SS14">
            <v>188.41782106843584</v>
          </cell>
          <cell r="ST14">
            <v>188.41782106843584</v>
          </cell>
          <cell r="SU14">
            <v>0</v>
          </cell>
          <cell r="SV14">
            <v>0</v>
          </cell>
          <cell r="SW14">
            <v>0</v>
          </cell>
          <cell r="SX14">
            <v>188.41782106843584</v>
          </cell>
          <cell r="SY14">
            <v>188.41782106843584</v>
          </cell>
          <cell r="SZ14">
            <v>188.41782106843584</v>
          </cell>
        </row>
        <row r="15">
          <cell r="SQ15">
            <v>187.67389529081265</v>
          </cell>
          <cell r="SR15">
            <v>187.67389529081265</v>
          </cell>
          <cell r="SS15">
            <v>187.67389529081265</v>
          </cell>
          <cell r="ST15">
            <v>187.67389529081265</v>
          </cell>
          <cell r="SU15">
            <v>0</v>
          </cell>
          <cell r="SV15">
            <v>0</v>
          </cell>
          <cell r="SW15">
            <v>0</v>
          </cell>
          <cell r="SX15">
            <v>187.67389529081265</v>
          </cell>
          <cell r="SY15">
            <v>187.67389529081265</v>
          </cell>
          <cell r="SZ15">
            <v>187.67389529081265</v>
          </cell>
        </row>
        <row r="16">
          <cell r="SQ16">
            <v>187.84358258131215</v>
          </cell>
          <cell r="SR16">
            <v>187.84358258131215</v>
          </cell>
          <cell r="SS16">
            <v>187.84358258131215</v>
          </cell>
          <cell r="ST16">
            <v>187.84358258131215</v>
          </cell>
          <cell r="SU16">
            <v>0</v>
          </cell>
          <cell r="SV16">
            <v>0</v>
          </cell>
          <cell r="SW16">
            <v>0</v>
          </cell>
          <cell r="SX16">
            <v>187.84358258131215</v>
          </cell>
          <cell r="SY16">
            <v>187.84358258131215</v>
          </cell>
          <cell r="SZ16">
            <v>187.84358258131215</v>
          </cell>
        </row>
        <row r="17">
          <cell r="SQ17">
            <v>185.73528580914717</v>
          </cell>
          <cell r="SR17">
            <v>185.73528580914717</v>
          </cell>
          <cell r="SS17">
            <v>185.73528580914717</v>
          </cell>
          <cell r="ST17">
            <v>185.73528580914717</v>
          </cell>
          <cell r="SU17">
            <v>0</v>
          </cell>
          <cell r="SV17">
            <v>0</v>
          </cell>
          <cell r="SW17">
            <v>0</v>
          </cell>
          <cell r="SX17">
            <v>185.73528580914717</v>
          </cell>
          <cell r="SY17">
            <v>185.73528580914717</v>
          </cell>
          <cell r="SZ17">
            <v>185.73528580914717</v>
          </cell>
        </row>
        <row r="18">
          <cell r="SQ18">
            <v>181.0342652988802</v>
          </cell>
          <cell r="SR18">
            <v>181.0342652988802</v>
          </cell>
          <cell r="SS18">
            <v>181.0342652988802</v>
          </cell>
          <cell r="ST18">
            <v>181.0342652988802</v>
          </cell>
          <cell r="SU18">
            <v>0</v>
          </cell>
          <cell r="SV18">
            <v>0</v>
          </cell>
          <cell r="SW18">
            <v>0</v>
          </cell>
          <cell r="SX18">
            <v>181.0342652988802</v>
          </cell>
          <cell r="SY18">
            <v>181.0342652988802</v>
          </cell>
          <cell r="SZ18">
            <v>181.0342652988802</v>
          </cell>
        </row>
        <row r="19">
          <cell r="SQ19">
            <v>175.83903372147597</v>
          </cell>
          <cell r="SR19">
            <v>175.83903372147597</v>
          </cell>
          <cell r="SS19">
            <v>175.83903372147597</v>
          </cell>
          <cell r="ST19">
            <v>175.83903372147597</v>
          </cell>
          <cell r="SU19">
            <v>0</v>
          </cell>
          <cell r="SV19">
            <v>0</v>
          </cell>
          <cell r="SW19">
            <v>0</v>
          </cell>
          <cell r="SX19">
            <v>175.83903372147597</v>
          </cell>
          <cell r="SY19">
            <v>175.83903372147597</v>
          </cell>
          <cell r="SZ19">
            <v>175.83903372147597</v>
          </cell>
        </row>
        <row r="20">
          <cell r="SQ20">
            <v>173.28333720280716</v>
          </cell>
          <cell r="SR20">
            <v>173.28333720280716</v>
          </cell>
          <cell r="SS20">
            <v>173.28333720280716</v>
          </cell>
          <cell r="ST20">
            <v>173.28333720280716</v>
          </cell>
          <cell r="SU20">
            <v>0</v>
          </cell>
          <cell r="SV20">
            <v>0</v>
          </cell>
          <cell r="SW20">
            <v>0</v>
          </cell>
          <cell r="SX20">
            <v>173.28333720280716</v>
          </cell>
          <cell r="SY20">
            <v>173.28333720280716</v>
          </cell>
          <cell r="SZ20">
            <v>173.28333720280716</v>
          </cell>
        </row>
        <row r="21">
          <cell r="SQ21">
            <v>173.73399579103079</v>
          </cell>
          <cell r="SR21">
            <v>173.73399579103079</v>
          </cell>
          <cell r="SS21">
            <v>173.73399579103079</v>
          </cell>
          <cell r="ST21">
            <v>173.73399579103079</v>
          </cell>
          <cell r="SU21">
            <v>0</v>
          </cell>
          <cell r="SV21">
            <v>0</v>
          </cell>
          <cell r="SW21">
            <v>0</v>
          </cell>
          <cell r="SX21">
            <v>173.73399579103079</v>
          </cell>
          <cell r="SY21">
            <v>173.73399579103079</v>
          </cell>
          <cell r="SZ21">
            <v>173.73399579103079</v>
          </cell>
        </row>
        <row r="22">
          <cell r="SQ22">
            <v>175.09436648074097</v>
          </cell>
          <cell r="SR22">
            <v>175.09436648074097</v>
          </cell>
          <cell r="SS22">
            <v>175.09436648074097</v>
          </cell>
          <cell r="ST22">
            <v>175.09436648074097</v>
          </cell>
          <cell r="SU22">
            <v>0</v>
          </cell>
          <cell r="SV22">
            <v>0</v>
          </cell>
          <cell r="SW22">
            <v>0</v>
          </cell>
          <cell r="SX22">
            <v>175.09436648074097</v>
          </cell>
          <cell r="SY22">
            <v>175.09436648074097</v>
          </cell>
          <cell r="SZ22">
            <v>175.09436648074097</v>
          </cell>
        </row>
        <row r="23">
          <cell r="SQ23">
            <v>176.70805685689902</v>
          </cell>
          <cell r="SR23">
            <v>176.70805685689902</v>
          </cell>
          <cell r="SS23">
            <v>176.70805685689902</v>
          </cell>
          <cell r="ST23">
            <v>176.70805685689902</v>
          </cell>
          <cell r="SU23">
            <v>0</v>
          </cell>
          <cell r="SV23">
            <v>0</v>
          </cell>
          <cell r="SW23">
            <v>0</v>
          </cell>
          <cell r="SX23">
            <v>176.70805685689902</v>
          </cell>
          <cell r="SY23">
            <v>176.70805685689902</v>
          </cell>
          <cell r="SZ23">
            <v>176.70805685689902</v>
          </cell>
        </row>
        <row r="24">
          <cell r="SQ24">
            <v>178.47278120877218</v>
          </cell>
          <cell r="SR24">
            <v>178.47278120877218</v>
          </cell>
          <cell r="SS24">
            <v>178.47278120877218</v>
          </cell>
          <cell r="ST24">
            <v>178.47278120877218</v>
          </cell>
          <cell r="SU24">
            <v>0</v>
          </cell>
          <cell r="SV24">
            <v>0</v>
          </cell>
          <cell r="SW24">
            <v>0</v>
          </cell>
          <cell r="SX24">
            <v>178.47278120877218</v>
          </cell>
          <cell r="SY24">
            <v>178.47278120877218</v>
          </cell>
          <cell r="SZ24">
            <v>178.47278120877218</v>
          </cell>
        </row>
        <row r="25">
          <cell r="SQ25">
            <v>179.60905199917033</v>
          </cell>
          <cell r="SR25">
            <v>179.60905199917033</v>
          </cell>
          <cell r="SS25">
            <v>179.60905199917033</v>
          </cell>
          <cell r="ST25">
            <v>179.60905199917033</v>
          </cell>
          <cell r="SU25">
            <v>0</v>
          </cell>
          <cell r="SV25">
            <v>0</v>
          </cell>
          <cell r="SW25">
            <v>0</v>
          </cell>
          <cell r="SX25">
            <v>179.60905199917033</v>
          </cell>
          <cell r="SY25">
            <v>179.60905199917033</v>
          </cell>
          <cell r="SZ25">
            <v>179.60905199917033</v>
          </cell>
        </row>
        <row r="26">
          <cell r="SQ26">
            <v>180.5304834065264</v>
          </cell>
          <cell r="SR26">
            <v>180.5304834065264</v>
          </cell>
          <cell r="SS26">
            <v>180.5304834065264</v>
          </cell>
          <cell r="ST26">
            <v>180.5304834065264</v>
          </cell>
          <cell r="SU26">
            <v>0</v>
          </cell>
          <cell r="SV26">
            <v>0</v>
          </cell>
          <cell r="SW26">
            <v>0</v>
          </cell>
          <cell r="SX26">
            <v>180.5304834065264</v>
          </cell>
          <cell r="SY26">
            <v>180.5304834065264</v>
          </cell>
          <cell r="SZ26">
            <v>180.5304834065264</v>
          </cell>
        </row>
        <row r="27">
          <cell r="SQ27">
            <v>181.05230784112155</v>
          </cell>
          <cell r="SR27">
            <v>181.05230784112155</v>
          </cell>
          <cell r="SS27">
            <v>181.05230784112155</v>
          </cell>
          <cell r="ST27">
            <v>181.05230784112155</v>
          </cell>
          <cell r="SU27">
            <v>0</v>
          </cell>
          <cell r="SV27">
            <v>0</v>
          </cell>
          <cell r="SW27">
            <v>0</v>
          </cell>
          <cell r="SX27">
            <v>181.05230784112155</v>
          </cell>
          <cell r="SY27">
            <v>181.05230784112155</v>
          </cell>
          <cell r="SZ27">
            <v>181.05230784112155</v>
          </cell>
        </row>
        <row r="28">
          <cell r="SQ28">
            <v>181.71372395755043</v>
          </cell>
          <cell r="SR28">
            <v>181.71372395755043</v>
          </cell>
          <cell r="SS28">
            <v>181.71372395755043</v>
          </cell>
          <cell r="ST28">
            <v>181.71372395755043</v>
          </cell>
          <cell r="SU28">
            <v>0</v>
          </cell>
          <cell r="SV28">
            <v>0</v>
          </cell>
          <cell r="SW28">
            <v>0</v>
          </cell>
          <cell r="SX28">
            <v>181.71372395755043</v>
          </cell>
          <cell r="SY28">
            <v>181.71372395755043</v>
          </cell>
          <cell r="SZ28">
            <v>181.71372395755043</v>
          </cell>
        </row>
        <row r="29">
          <cell r="SQ29">
            <v>182.24320410246219</v>
          </cell>
          <cell r="SR29">
            <v>182.24320410246219</v>
          </cell>
          <cell r="SS29">
            <v>182.24320410246219</v>
          </cell>
          <cell r="ST29">
            <v>182.24320410246219</v>
          </cell>
          <cell r="SU29">
            <v>0</v>
          </cell>
          <cell r="SV29">
            <v>0</v>
          </cell>
          <cell r="SW29">
            <v>0</v>
          </cell>
          <cell r="SX29">
            <v>182.24320410246219</v>
          </cell>
          <cell r="SY29">
            <v>182.24320410246219</v>
          </cell>
          <cell r="SZ29">
            <v>182.24320410246219</v>
          </cell>
        </row>
        <row r="30">
          <cell r="SQ30">
            <v>183.18787083467669</v>
          </cell>
          <cell r="SR30">
            <v>183.18787083467669</v>
          </cell>
          <cell r="SS30">
            <v>183.18787083467669</v>
          </cell>
          <cell r="ST30">
            <v>183.18787083467669</v>
          </cell>
          <cell r="SU30">
            <v>0</v>
          </cell>
          <cell r="SV30">
            <v>0</v>
          </cell>
          <cell r="SW30">
            <v>0</v>
          </cell>
          <cell r="SX30">
            <v>183.18787083467669</v>
          </cell>
          <cell r="SY30">
            <v>183.18787083467669</v>
          </cell>
          <cell r="SZ30">
            <v>183.18787083467669</v>
          </cell>
        </row>
        <row r="31">
          <cell r="SQ31">
            <v>183.72712896527719</v>
          </cell>
          <cell r="SR31">
            <v>183.72712896527719</v>
          </cell>
          <cell r="SS31">
            <v>183.72712896527719</v>
          </cell>
          <cell r="ST31">
            <v>183.72712896527719</v>
          </cell>
          <cell r="SU31">
            <v>0</v>
          </cell>
          <cell r="SV31">
            <v>0</v>
          </cell>
          <cell r="SW31">
            <v>0</v>
          </cell>
          <cell r="SX31">
            <v>183.72712896527719</v>
          </cell>
          <cell r="SY31">
            <v>183.72712896527719</v>
          </cell>
          <cell r="SZ31">
            <v>183.72712896527719</v>
          </cell>
        </row>
        <row r="34">
          <cell r="SQ34">
            <v>0</v>
          </cell>
          <cell r="SR34">
            <v>0</v>
          </cell>
          <cell r="SS34">
            <v>0</v>
          </cell>
          <cell r="ST34">
            <v>0</v>
          </cell>
          <cell r="SU34">
            <v>0</v>
          </cell>
          <cell r="SV34">
            <v>0</v>
          </cell>
          <cell r="SW34">
            <v>0</v>
          </cell>
          <cell r="SX34">
            <v>0</v>
          </cell>
          <cell r="SY34">
            <v>0</v>
          </cell>
          <cell r="SZ34">
            <v>0</v>
          </cell>
        </row>
        <row r="35">
          <cell r="SQ35">
            <v>0</v>
          </cell>
          <cell r="SR35">
            <v>0</v>
          </cell>
          <cell r="SS35">
            <v>0</v>
          </cell>
          <cell r="ST35">
            <v>0</v>
          </cell>
          <cell r="SU35">
            <v>0</v>
          </cell>
          <cell r="SV35">
            <v>0</v>
          </cell>
          <cell r="SW35">
            <v>0</v>
          </cell>
          <cell r="SX35">
            <v>0</v>
          </cell>
          <cell r="SY35">
            <v>0</v>
          </cell>
          <cell r="SZ35">
            <v>0</v>
          </cell>
        </row>
        <row r="36">
          <cell r="SQ36">
            <v>0</v>
          </cell>
          <cell r="SR36">
            <v>0</v>
          </cell>
          <cell r="SS36">
            <v>0</v>
          </cell>
          <cell r="ST36">
            <v>0</v>
          </cell>
          <cell r="SU36">
            <v>0</v>
          </cell>
          <cell r="SV36">
            <v>0</v>
          </cell>
          <cell r="SW36">
            <v>0</v>
          </cell>
          <cell r="SX36">
            <v>0</v>
          </cell>
          <cell r="SY36">
            <v>0</v>
          </cell>
          <cell r="SZ36">
            <v>0</v>
          </cell>
        </row>
        <row r="37">
          <cell r="SQ37">
            <v>0</v>
          </cell>
          <cell r="SR37">
            <v>0</v>
          </cell>
          <cell r="SS37">
            <v>0</v>
          </cell>
          <cell r="ST37">
            <v>0</v>
          </cell>
          <cell r="SU37">
            <v>0</v>
          </cell>
          <cell r="SV37">
            <v>0</v>
          </cell>
          <cell r="SW37">
            <v>0</v>
          </cell>
          <cell r="SX37">
            <v>0</v>
          </cell>
          <cell r="SY37">
            <v>0</v>
          </cell>
          <cell r="SZ37">
            <v>0</v>
          </cell>
        </row>
        <row r="38">
          <cell r="SQ38">
            <v>0</v>
          </cell>
          <cell r="SR38">
            <v>0</v>
          </cell>
          <cell r="SS38">
            <v>0</v>
          </cell>
          <cell r="ST38">
            <v>0</v>
          </cell>
          <cell r="SU38">
            <v>0</v>
          </cell>
          <cell r="SV38">
            <v>0</v>
          </cell>
          <cell r="SW38">
            <v>0</v>
          </cell>
          <cell r="SX38">
            <v>0</v>
          </cell>
          <cell r="SY38">
            <v>0</v>
          </cell>
          <cell r="SZ38">
            <v>0</v>
          </cell>
        </row>
        <row r="39">
          <cell r="SQ39">
            <v>0</v>
          </cell>
          <cell r="SR39">
            <v>0</v>
          </cell>
          <cell r="SS39">
            <v>0</v>
          </cell>
          <cell r="ST39">
            <v>0</v>
          </cell>
          <cell r="SU39">
            <v>0</v>
          </cell>
          <cell r="SV39">
            <v>0</v>
          </cell>
          <cell r="SW39">
            <v>0</v>
          </cell>
          <cell r="SX39">
            <v>0</v>
          </cell>
          <cell r="SY39">
            <v>0</v>
          </cell>
          <cell r="SZ39">
            <v>0</v>
          </cell>
        </row>
        <row r="40">
          <cell r="SQ40">
            <v>0</v>
          </cell>
          <cell r="SR40">
            <v>0</v>
          </cell>
          <cell r="SS40">
            <v>0</v>
          </cell>
          <cell r="ST40">
            <v>0</v>
          </cell>
          <cell r="SU40">
            <v>0</v>
          </cell>
          <cell r="SV40">
            <v>0</v>
          </cell>
          <cell r="SW40">
            <v>0</v>
          </cell>
          <cell r="SX40">
            <v>0</v>
          </cell>
          <cell r="SY40">
            <v>0</v>
          </cell>
          <cell r="SZ40">
            <v>0</v>
          </cell>
        </row>
        <row r="41">
          <cell r="SQ41">
            <v>0</v>
          </cell>
          <cell r="SR41">
            <v>0</v>
          </cell>
          <cell r="SS41">
            <v>0</v>
          </cell>
          <cell r="ST41">
            <v>0</v>
          </cell>
          <cell r="SU41">
            <v>0</v>
          </cell>
          <cell r="SV41">
            <v>0</v>
          </cell>
          <cell r="SW41">
            <v>0</v>
          </cell>
          <cell r="SX41">
            <v>0</v>
          </cell>
          <cell r="SY41">
            <v>0</v>
          </cell>
          <cell r="SZ41">
            <v>0</v>
          </cell>
        </row>
        <row r="42">
          <cell r="SQ42">
            <v>0</v>
          </cell>
          <cell r="SR42">
            <v>0</v>
          </cell>
          <cell r="SS42">
            <v>0</v>
          </cell>
          <cell r="ST42">
            <v>0</v>
          </cell>
          <cell r="SU42">
            <v>0</v>
          </cell>
          <cell r="SV42">
            <v>0</v>
          </cell>
          <cell r="SW42">
            <v>0</v>
          </cell>
          <cell r="SX42">
            <v>0</v>
          </cell>
          <cell r="SY42">
            <v>0</v>
          </cell>
          <cell r="SZ42">
            <v>0</v>
          </cell>
        </row>
        <row r="43">
          <cell r="SQ43">
            <v>0</v>
          </cell>
          <cell r="SR43">
            <v>0</v>
          </cell>
          <cell r="SS43">
            <v>0</v>
          </cell>
          <cell r="ST43">
            <v>0</v>
          </cell>
          <cell r="SU43">
            <v>0</v>
          </cell>
          <cell r="SV43">
            <v>0</v>
          </cell>
          <cell r="SW43">
            <v>0</v>
          </cell>
          <cell r="SX43">
            <v>0</v>
          </cell>
          <cell r="SY43">
            <v>0</v>
          </cell>
          <cell r="SZ43">
            <v>0</v>
          </cell>
        </row>
        <row r="44">
          <cell r="SQ44">
            <v>0</v>
          </cell>
          <cell r="SR44">
            <v>0</v>
          </cell>
          <cell r="SS44">
            <v>0</v>
          </cell>
          <cell r="ST44">
            <v>0</v>
          </cell>
          <cell r="SU44">
            <v>0</v>
          </cell>
          <cell r="SV44">
            <v>0</v>
          </cell>
          <cell r="SW44">
            <v>0</v>
          </cell>
          <cell r="SX44">
            <v>0</v>
          </cell>
          <cell r="SY44">
            <v>0</v>
          </cell>
          <cell r="SZ44">
            <v>0</v>
          </cell>
        </row>
        <row r="45">
          <cell r="SQ45">
            <v>0</v>
          </cell>
          <cell r="SR45">
            <v>0</v>
          </cell>
          <cell r="SS45">
            <v>0</v>
          </cell>
          <cell r="ST45">
            <v>0</v>
          </cell>
          <cell r="SU45">
            <v>0</v>
          </cell>
          <cell r="SV45">
            <v>0</v>
          </cell>
          <cell r="SW45">
            <v>0</v>
          </cell>
          <cell r="SX45">
            <v>0</v>
          </cell>
          <cell r="SY45">
            <v>0</v>
          </cell>
          <cell r="SZ45">
            <v>0</v>
          </cell>
        </row>
        <row r="46">
          <cell r="SQ46">
            <v>0</v>
          </cell>
          <cell r="SR46">
            <v>0</v>
          </cell>
          <cell r="SS46">
            <v>0</v>
          </cell>
          <cell r="ST46">
            <v>0</v>
          </cell>
          <cell r="SU46">
            <v>0</v>
          </cell>
          <cell r="SV46">
            <v>0</v>
          </cell>
          <cell r="SW46">
            <v>0</v>
          </cell>
          <cell r="SX46">
            <v>0</v>
          </cell>
          <cell r="SY46">
            <v>0</v>
          </cell>
          <cell r="SZ46">
            <v>0</v>
          </cell>
        </row>
        <row r="47">
          <cell r="SQ47">
            <v>0</v>
          </cell>
          <cell r="SR47">
            <v>0</v>
          </cell>
          <cell r="SS47">
            <v>0</v>
          </cell>
          <cell r="ST47">
            <v>0</v>
          </cell>
          <cell r="SU47">
            <v>0</v>
          </cell>
          <cell r="SV47">
            <v>0</v>
          </cell>
          <cell r="SW47">
            <v>0</v>
          </cell>
          <cell r="SX47">
            <v>0</v>
          </cell>
          <cell r="SY47">
            <v>0</v>
          </cell>
          <cell r="SZ47">
            <v>0</v>
          </cell>
        </row>
        <row r="48">
          <cell r="SQ48">
            <v>0</v>
          </cell>
          <cell r="SR48">
            <v>0</v>
          </cell>
          <cell r="SS48">
            <v>0</v>
          </cell>
          <cell r="ST48">
            <v>0</v>
          </cell>
          <cell r="SU48">
            <v>0</v>
          </cell>
          <cell r="SV48">
            <v>0</v>
          </cell>
          <cell r="SW48">
            <v>0</v>
          </cell>
          <cell r="SX48">
            <v>0</v>
          </cell>
          <cell r="SY48">
            <v>0</v>
          </cell>
          <cell r="SZ48">
            <v>0</v>
          </cell>
        </row>
        <row r="49">
          <cell r="SQ49">
            <v>0</v>
          </cell>
          <cell r="SR49">
            <v>0</v>
          </cell>
          <cell r="SS49">
            <v>0</v>
          </cell>
          <cell r="ST49">
            <v>0</v>
          </cell>
          <cell r="SU49">
            <v>0</v>
          </cell>
          <cell r="SV49">
            <v>0</v>
          </cell>
          <cell r="SW49">
            <v>0</v>
          </cell>
          <cell r="SX49">
            <v>0</v>
          </cell>
          <cell r="SY49">
            <v>0</v>
          </cell>
          <cell r="SZ49">
            <v>0</v>
          </cell>
        </row>
        <row r="50">
          <cell r="SQ50">
            <v>0</v>
          </cell>
          <cell r="SR50">
            <v>0</v>
          </cell>
          <cell r="SS50">
            <v>0</v>
          </cell>
          <cell r="ST50">
            <v>0</v>
          </cell>
          <cell r="SU50">
            <v>0</v>
          </cell>
          <cell r="SV50">
            <v>0</v>
          </cell>
          <cell r="SW50">
            <v>0</v>
          </cell>
          <cell r="SX50">
            <v>0</v>
          </cell>
          <cell r="SY50">
            <v>0</v>
          </cell>
          <cell r="SZ50">
            <v>0</v>
          </cell>
        </row>
        <row r="51">
          <cell r="SQ51">
            <v>0</v>
          </cell>
          <cell r="SR51">
            <v>0</v>
          </cell>
          <cell r="SS51">
            <v>0</v>
          </cell>
          <cell r="ST51">
            <v>0</v>
          </cell>
          <cell r="SU51">
            <v>0</v>
          </cell>
          <cell r="SV51">
            <v>0</v>
          </cell>
          <cell r="SW51">
            <v>0</v>
          </cell>
          <cell r="SX51">
            <v>0</v>
          </cell>
          <cell r="SY51">
            <v>0</v>
          </cell>
          <cell r="SZ51">
            <v>0</v>
          </cell>
        </row>
        <row r="52">
          <cell r="SQ52">
            <v>0</v>
          </cell>
          <cell r="SR52">
            <v>0</v>
          </cell>
          <cell r="SS52">
            <v>0</v>
          </cell>
          <cell r="ST52">
            <v>0</v>
          </cell>
          <cell r="SU52">
            <v>0</v>
          </cell>
          <cell r="SV52">
            <v>0</v>
          </cell>
          <cell r="SW52">
            <v>0</v>
          </cell>
          <cell r="SX52">
            <v>0</v>
          </cell>
          <cell r="SY52">
            <v>0</v>
          </cell>
          <cell r="SZ52">
            <v>0</v>
          </cell>
        </row>
        <row r="53">
          <cell r="SQ53">
            <v>0</v>
          </cell>
          <cell r="SR53">
            <v>0</v>
          </cell>
          <cell r="SS53">
            <v>0</v>
          </cell>
          <cell r="ST53">
            <v>0</v>
          </cell>
          <cell r="SU53">
            <v>0</v>
          </cell>
          <cell r="SV53">
            <v>0</v>
          </cell>
          <cell r="SW53">
            <v>0</v>
          </cell>
          <cell r="SX53">
            <v>0</v>
          </cell>
          <cell r="SY53">
            <v>0</v>
          </cell>
          <cell r="SZ53">
            <v>0</v>
          </cell>
        </row>
        <row r="54">
          <cell r="SQ54">
            <v>0</v>
          </cell>
          <cell r="SR54">
            <v>0</v>
          </cell>
          <cell r="SS54">
            <v>0</v>
          </cell>
          <cell r="ST54">
            <v>0</v>
          </cell>
          <cell r="SU54">
            <v>0</v>
          </cell>
          <cell r="SV54">
            <v>0</v>
          </cell>
          <cell r="SW54">
            <v>0</v>
          </cell>
          <cell r="SX54">
            <v>0</v>
          </cell>
          <cell r="SY54">
            <v>0</v>
          </cell>
          <cell r="SZ54">
            <v>0</v>
          </cell>
        </row>
        <row r="55">
          <cell r="SQ55">
            <v>0</v>
          </cell>
          <cell r="SR55">
            <v>0</v>
          </cell>
          <cell r="SS55">
            <v>0</v>
          </cell>
          <cell r="ST55">
            <v>0</v>
          </cell>
          <cell r="SU55">
            <v>0</v>
          </cell>
          <cell r="SV55">
            <v>0</v>
          </cell>
          <cell r="SW55">
            <v>0</v>
          </cell>
          <cell r="SX55">
            <v>0</v>
          </cell>
          <cell r="SY55">
            <v>0</v>
          </cell>
          <cell r="SZ55">
            <v>0</v>
          </cell>
        </row>
        <row r="56">
          <cell r="SQ56">
            <v>0</v>
          </cell>
          <cell r="SR56">
            <v>0</v>
          </cell>
          <cell r="SS56">
            <v>0</v>
          </cell>
          <cell r="ST56">
            <v>0</v>
          </cell>
          <cell r="SU56">
            <v>0</v>
          </cell>
          <cell r="SV56">
            <v>0</v>
          </cell>
          <cell r="SW56">
            <v>0</v>
          </cell>
          <cell r="SX56">
            <v>0</v>
          </cell>
          <cell r="SY56">
            <v>0</v>
          </cell>
          <cell r="SZ56">
            <v>0</v>
          </cell>
        </row>
        <row r="57">
          <cell r="SQ57">
            <v>0</v>
          </cell>
          <cell r="SR57">
            <v>0</v>
          </cell>
          <cell r="SS57">
            <v>0</v>
          </cell>
          <cell r="ST57">
            <v>0</v>
          </cell>
          <cell r="SU57">
            <v>0</v>
          </cell>
          <cell r="SV57">
            <v>0</v>
          </cell>
          <cell r="SW57">
            <v>0</v>
          </cell>
          <cell r="SX57">
            <v>0</v>
          </cell>
          <cell r="SY57">
            <v>0</v>
          </cell>
          <cell r="SZ57">
            <v>0</v>
          </cell>
        </row>
        <row r="58">
          <cell r="SQ58">
            <v>0</v>
          </cell>
          <cell r="SR58">
            <v>0</v>
          </cell>
          <cell r="SS58">
            <v>0</v>
          </cell>
          <cell r="ST58">
            <v>0</v>
          </cell>
          <cell r="SU58">
            <v>0</v>
          </cell>
          <cell r="SV58">
            <v>0</v>
          </cell>
          <cell r="SW58">
            <v>0</v>
          </cell>
          <cell r="SX58">
            <v>0</v>
          </cell>
          <cell r="SY58">
            <v>0</v>
          </cell>
          <cell r="SZ58">
            <v>0</v>
          </cell>
        </row>
        <row r="59">
          <cell r="SQ59">
            <v>0</v>
          </cell>
          <cell r="SR59">
            <v>0</v>
          </cell>
          <cell r="SS59">
            <v>0</v>
          </cell>
          <cell r="ST59">
            <v>0</v>
          </cell>
          <cell r="SU59">
            <v>0</v>
          </cell>
          <cell r="SV59">
            <v>0</v>
          </cell>
          <cell r="SW59">
            <v>0</v>
          </cell>
          <cell r="SX59">
            <v>0</v>
          </cell>
          <cell r="SY59">
            <v>0</v>
          </cell>
          <cell r="SZ59">
            <v>0</v>
          </cell>
        </row>
        <row r="60">
          <cell r="SQ60">
            <v>0</v>
          </cell>
          <cell r="SR60">
            <v>0</v>
          </cell>
          <cell r="SS60">
            <v>0</v>
          </cell>
          <cell r="ST60">
            <v>0</v>
          </cell>
          <cell r="SU60">
            <v>0</v>
          </cell>
          <cell r="SV60">
            <v>0</v>
          </cell>
          <cell r="SW60">
            <v>0</v>
          </cell>
          <cell r="SX60">
            <v>0</v>
          </cell>
          <cell r="SY60">
            <v>0</v>
          </cell>
          <cell r="SZ60">
            <v>0</v>
          </cell>
        </row>
        <row r="61">
          <cell r="SQ61">
            <v>0</v>
          </cell>
          <cell r="SR61">
            <v>0</v>
          </cell>
          <cell r="SS61">
            <v>0</v>
          </cell>
          <cell r="ST61">
            <v>0</v>
          </cell>
          <cell r="SU61">
            <v>0</v>
          </cell>
          <cell r="SV61">
            <v>0</v>
          </cell>
          <cell r="SW61">
            <v>0</v>
          </cell>
          <cell r="SX61">
            <v>0</v>
          </cell>
          <cell r="SY61">
            <v>0</v>
          </cell>
          <cell r="SZ61">
            <v>0</v>
          </cell>
        </row>
        <row r="62">
          <cell r="SQ62">
            <v>0</v>
          </cell>
          <cell r="SR62">
            <v>0</v>
          </cell>
          <cell r="SS62">
            <v>0</v>
          </cell>
          <cell r="ST62">
            <v>0</v>
          </cell>
          <cell r="SU62">
            <v>0</v>
          </cell>
          <cell r="SV62">
            <v>0</v>
          </cell>
          <cell r="SW62">
            <v>0</v>
          </cell>
          <cell r="SX62">
            <v>0</v>
          </cell>
          <cell r="SY62">
            <v>0</v>
          </cell>
          <cell r="SZ62">
            <v>0</v>
          </cell>
        </row>
        <row r="98">
          <cell r="SQ98">
            <v>0</v>
          </cell>
          <cell r="SR98">
            <v>0</v>
          </cell>
          <cell r="SS98">
            <v>0</v>
          </cell>
          <cell r="ST98">
            <v>0</v>
          </cell>
          <cell r="SU98">
            <v>0</v>
          </cell>
          <cell r="SV98">
            <v>0</v>
          </cell>
          <cell r="SW98">
            <v>0</v>
          </cell>
          <cell r="SX98">
            <v>0</v>
          </cell>
          <cell r="SY98">
            <v>0</v>
          </cell>
          <cell r="SZ98">
            <v>0</v>
          </cell>
        </row>
        <row r="99">
          <cell r="SQ99">
            <v>0</v>
          </cell>
          <cell r="SR99">
            <v>0</v>
          </cell>
          <cell r="SS99">
            <v>0</v>
          </cell>
          <cell r="ST99">
            <v>0</v>
          </cell>
          <cell r="SU99">
            <v>0</v>
          </cell>
          <cell r="SV99">
            <v>0</v>
          </cell>
          <cell r="SW99">
            <v>0</v>
          </cell>
          <cell r="SX99">
            <v>0</v>
          </cell>
          <cell r="SY99">
            <v>0</v>
          </cell>
          <cell r="SZ99">
            <v>0</v>
          </cell>
        </row>
        <row r="100">
          <cell r="SQ100">
            <v>0</v>
          </cell>
          <cell r="SR100">
            <v>0</v>
          </cell>
          <cell r="SS100">
            <v>0</v>
          </cell>
          <cell r="ST100">
            <v>0</v>
          </cell>
          <cell r="SU100">
            <v>0</v>
          </cell>
          <cell r="SV100">
            <v>0</v>
          </cell>
          <cell r="SW100">
            <v>0</v>
          </cell>
          <cell r="SX100">
            <v>0</v>
          </cell>
          <cell r="SY100">
            <v>0</v>
          </cell>
          <cell r="SZ100">
            <v>0</v>
          </cell>
        </row>
        <row r="101">
          <cell r="SQ101">
            <v>0</v>
          </cell>
          <cell r="SR101">
            <v>10.560126050060445</v>
          </cell>
          <cell r="SS101">
            <v>4.2240504200241773</v>
          </cell>
          <cell r="ST101">
            <v>0</v>
          </cell>
          <cell r="SU101">
            <v>0</v>
          </cell>
          <cell r="SV101">
            <v>0</v>
          </cell>
          <cell r="SW101">
            <v>0</v>
          </cell>
          <cell r="SX101">
            <v>10.560126050060445</v>
          </cell>
          <cell r="SY101">
            <v>10.560126050060445</v>
          </cell>
          <cell r="SZ101">
            <v>0</v>
          </cell>
        </row>
        <row r="102">
          <cell r="SQ102">
            <v>0</v>
          </cell>
          <cell r="SR102">
            <v>20.033936961464953</v>
          </cell>
          <cell r="SS102">
            <v>8.0135747845859804</v>
          </cell>
          <cell r="ST102">
            <v>0</v>
          </cell>
          <cell r="SU102">
            <v>0</v>
          </cell>
          <cell r="SV102">
            <v>0</v>
          </cell>
          <cell r="SW102">
            <v>0</v>
          </cell>
          <cell r="SX102">
            <v>20.033936961464953</v>
          </cell>
          <cell r="SY102">
            <v>20.033936961464953</v>
          </cell>
          <cell r="SZ102">
            <v>0</v>
          </cell>
        </row>
        <row r="103">
          <cell r="SQ103">
            <v>0</v>
          </cell>
          <cell r="SR103">
            <v>29.037013172207889</v>
          </cell>
          <cell r="SS103">
            <v>13.550606147030349</v>
          </cell>
          <cell r="ST103">
            <v>0</v>
          </cell>
          <cell r="SU103">
            <v>0</v>
          </cell>
          <cell r="SV103">
            <v>0</v>
          </cell>
          <cell r="SW103">
            <v>0</v>
          </cell>
          <cell r="SX103">
            <v>29.037013172207889</v>
          </cell>
          <cell r="SY103">
            <v>29.037013172207889</v>
          </cell>
          <cell r="SZ103">
            <v>0</v>
          </cell>
        </row>
        <row r="104">
          <cell r="SQ104">
            <v>0</v>
          </cell>
          <cell r="SR104">
            <v>38.47737197585375</v>
          </cell>
          <cell r="SS104">
            <v>19.238685987926875</v>
          </cell>
          <cell r="ST104">
            <v>0</v>
          </cell>
          <cell r="SU104">
            <v>0</v>
          </cell>
          <cell r="SV104">
            <v>0</v>
          </cell>
          <cell r="SW104">
            <v>0</v>
          </cell>
          <cell r="SX104">
            <v>38.47737197585375</v>
          </cell>
          <cell r="SY104">
            <v>38.47737197585375</v>
          </cell>
          <cell r="SZ104">
            <v>0</v>
          </cell>
        </row>
        <row r="105">
          <cell r="SQ105">
            <v>0</v>
          </cell>
          <cell r="SR105">
            <v>48.336584616777827</v>
          </cell>
          <cell r="SS105">
            <v>27.068487385395585</v>
          </cell>
          <cell r="ST105">
            <v>0</v>
          </cell>
          <cell r="SU105">
            <v>0</v>
          </cell>
          <cell r="SV105">
            <v>0</v>
          </cell>
          <cell r="SW105">
            <v>0</v>
          </cell>
          <cell r="SX105">
            <v>48.336584616777827</v>
          </cell>
          <cell r="SY105">
            <v>48.336584616777827</v>
          </cell>
          <cell r="SZ105">
            <v>0</v>
          </cell>
        </row>
        <row r="106">
          <cell r="SQ106">
            <v>0</v>
          </cell>
          <cell r="SR106">
            <v>57.926407071802892</v>
          </cell>
          <cell r="SS106">
            <v>34.755844243081739</v>
          </cell>
          <cell r="ST106">
            <v>0</v>
          </cell>
          <cell r="SU106">
            <v>0</v>
          </cell>
          <cell r="SV106">
            <v>0</v>
          </cell>
          <cell r="SW106">
            <v>0</v>
          </cell>
          <cell r="SX106">
            <v>57.926407071802892</v>
          </cell>
          <cell r="SY106">
            <v>57.926407071802892</v>
          </cell>
          <cell r="SZ106">
            <v>0</v>
          </cell>
        </row>
        <row r="107">
          <cell r="SQ107">
            <v>0</v>
          </cell>
          <cell r="SR107">
            <v>57.435252899568241</v>
          </cell>
          <cell r="SS107">
            <v>44.033693889668989</v>
          </cell>
          <cell r="ST107">
            <v>0</v>
          </cell>
          <cell r="SU107">
            <v>0</v>
          </cell>
          <cell r="SV107">
            <v>0</v>
          </cell>
          <cell r="SW107">
            <v>0</v>
          </cell>
          <cell r="SX107">
            <v>57.435252899568241</v>
          </cell>
          <cell r="SY107">
            <v>57.435252899568241</v>
          </cell>
          <cell r="SZ107">
            <v>0</v>
          </cell>
        </row>
        <row r="108">
          <cell r="SQ108">
            <v>0</v>
          </cell>
          <cell r="SR108">
            <v>56.80158456159679</v>
          </cell>
          <cell r="SS108">
            <v>53.014812257490341</v>
          </cell>
          <cell r="ST108">
            <v>0</v>
          </cell>
          <cell r="SU108">
            <v>0</v>
          </cell>
          <cell r="SV108">
            <v>0</v>
          </cell>
          <cell r="SW108">
            <v>0</v>
          </cell>
          <cell r="SX108">
            <v>56.80158456159679</v>
          </cell>
          <cell r="SY108">
            <v>56.80158456159679</v>
          </cell>
          <cell r="SZ108">
            <v>0</v>
          </cell>
        </row>
        <row r="109">
          <cell r="SQ109">
            <v>0</v>
          </cell>
          <cell r="SR109">
            <v>56.525346320530751</v>
          </cell>
          <cell r="SS109">
            <v>64.062059163268188</v>
          </cell>
          <cell r="ST109">
            <v>0</v>
          </cell>
          <cell r="SU109">
            <v>0</v>
          </cell>
          <cell r="SV109">
            <v>0</v>
          </cell>
          <cell r="SW109">
            <v>0</v>
          </cell>
          <cell r="SX109">
            <v>56.525346320530751</v>
          </cell>
          <cell r="SY109">
            <v>56.525346320530751</v>
          </cell>
          <cell r="SZ109">
            <v>0</v>
          </cell>
        </row>
        <row r="110">
          <cell r="SQ110">
            <v>0</v>
          </cell>
          <cell r="SR110">
            <v>56.302168587243791</v>
          </cell>
          <cell r="SS110">
            <v>75.069558116325069</v>
          </cell>
          <cell r="ST110">
            <v>0</v>
          </cell>
          <cell r="SU110">
            <v>0</v>
          </cell>
          <cell r="SV110">
            <v>0</v>
          </cell>
          <cell r="SW110">
            <v>0</v>
          </cell>
          <cell r="SX110">
            <v>56.302168587243791</v>
          </cell>
          <cell r="SY110">
            <v>56.302168587243791</v>
          </cell>
          <cell r="SZ110">
            <v>0</v>
          </cell>
        </row>
        <row r="111">
          <cell r="SQ111">
            <v>0</v>
          </cell>
          <cell r="SR111">
            <v>56.35307477439364</v>
          </cell>
          <cell r="SS111">
            <v>88.286483813216705</v>
          </cell>
          <cell r="ST111">
            <v>0</v>
          </cell>
          <cell r="SU111">
            <v>0</v>
          </cell>
          <cell r="SV111">
            <v>0</v>
          </cell>
          <cell r="SW111">
            <v>0</v>
          </cell>
          <cell r="SX111">
            <v>56.35307477439364</v>
          </cell>
          <cell r="SY111">
            <v>56.35307477439364</v>
          </cell>
          <cell r="SZ111">
            <v>0</v>
          </cell>
        </row>
        <row r="112">
          <cell r="SQ112">
            <v>0</v>
          </cell>
          <cell r="SR112">
            <v>55.720585742744149</v>
          </cell>
          <cell r="SS112">
            <v>98.439701478848008</v>
          </cell>
          <cell r="ST112">
            <v>0</v>
          </cell>
          <cell r="SU112">
            <v>0</v>
          </cell>
          <cell r="SV112">
            <v>0</v>
          </cell>
          <cell r="SW112">
            <v>0</v>
          </cell>
          <cell r="SX112">
            <v>55.720585742744149</v>
          </cell>
          <cell r="SY112">
            <v>55.720585742744149</v>
          </cell>
          <cell r="SZ112">
            <v>0</v>
          </cell>
        </row>
        <row r="113">
          <cell r="SQ113">
            <v>0</v>
          </cell>
          <cell r="SR113">
            <v>54.310279589664056</v>
          </cell>
          <cell r="SS113">
            <v>104.99987387335051</v>
          </cell>
          <cell r="ST113">
            <v>0</v>
          </cell>
          <cell r="SU113">
            <v>0</v>
          </cell>
          <cell r="SV113">
            <v>0</v>
          </cell>
          <cell r="SW113">
            <v>0</v>
          </cell>
          <cell r="SX113">
            <v>54.310279589664056</v>
          </cell>
          <cell r="SY113">
            <v>54.310279589664056</v>
          </cell>
          <cell r="SZ113">
            <v>0</v>
          </cell>
        </row>
        <row r="114">
          <cell r="SQ114">
            <v>0</v>
          </cell>
          <cell r="SR114">
            <v>52.751710116442787</v>
          </cell>
          <cell r="SS114">
            <v>109.0202009073151</v>
          </cell>
          <cell r="ST114">
            <v>0</v>
          </cell>
          <cell r="SU114">
            <v>0</v>
          </cell>
          <cell r="SV114">
            <v>0</v>
          </cell>
          <cell r="SW114">
            <v>0</v>
          </cell>
          <cell r="SX114">
            <v>52.751710116442787</v>
          </cell>
          <cell r="SY114">
            <v>52.751710116442787</v>
          </cell>
          <cell r="SZ114">
            <v>0</v>
          </cell>
        </row>
        <row r="115">
          <cell r="SQ115">
            <v>0</v>
          </cell>
          <cell r="SR115">
            <v>51.985001160842145</v>
          </cell>
          <cell r="SS115">
            <v>112.63416918182466</v>
          </cell>
          <cell r="ST115">
            <v>0</v>
          </cell>
          <cell r="SU115">
            <v>0</v>
          </cell>
          <cell r="SV115">
            <v>0</v>
          </cell>
          <cell r="SW115">
            <v>0</v>
          </cell>
          <cell r="SX115">
            <v>51.985001160842145</v>
          </cell>
          <cell r="SY115">
            <v>51.985001160842145</v>
          </cell>
          <cell r="SZ115">
            <v>0</v>
          </cell>
        </row>
        <row r="116">
          <cell r="SQ116">
            <v>0</v>
          </cell>
          <cell r="SR116">
            <v>52.120198737309238</v>
          </cell>
          <cell r="SS116">
            <v>116.40177717999063</v>
          </cell>
          <cell r="ST116">
            <v>0</v>
          </cell>
          <cell r="SU116">
            <v>0</v>
          </cell>
          <cell r="SV116">
            <v>0</v>
          </cell>
          <cell r="SW116">
            <v>0</v>
          </cell>
          <cell r="SX116">
            <v>52.120198737309238</v>
          </cell>
          <cell r="SY116">
            <v>52.120198737309238</v>
          </cell>
          <cell r="SZ116">
            <v>0</v>
          </cell>
        </row>
        <row r="117">
          <cell r="SQ117">
            <v>0</v>
          </cell>
          <cell r="SR117">
            <v>52.528309944222293</v>
          </cell>
          <cell r="SS117">
            <v>119.06416920690387</v>
          </cell>
          <cell r="ST117">
            <v>0</v>
          </cell>
          <cell r="SU117">
            <v>0</v>
          </cell>
          <cell r="SV117">
            <v>0</v>
          </cell>
          <cell r="SW117">
            <v>0</v>
          </cell>
          <cell r="SX117">
            <v>52.528309944222293</v>
          </cell>
          <cell r="SY117">
            <v>52.528309944222293</v>
          </cell>
          <cell r="SZ117">
            <v>0</v>
          </cell>
        </row>
        <row r="118">
          <cell r="SQ118">
            <v>0</v>
          </cell>
          <cell r="SR118">
            <v>53.012417057069705</v>
          </cell>
          <cell r="SS118">
            <v>120.16147866269134</v>
          </cell>
          <cell r="ST118">
            <v>0</v>
          </cell>
          <cell r="SU118">
            <v>0</v>
          </cell>
          <cell r="SV118">
            <v>0</v>
          </cell>
          <cell r="SW118">
            <v>0</v>
          </cell>
          <cell r="SX118">
            <v>53.012417057069705</v>
          </cell>
          <cell r="SY118">
            <v>53.012417057069705</v>
          </cell>
          <cell r="SZ118">
            <v>0</v>
          </cell>
        </row>
        <row r="119">
          <cell r="SQ119">
            <v>0</v>
          </cell>
          <cell r="SR119">
            <v>53.541834362631654</v>
          </cell>
          <cell r="SS119">
            <v>121.36149122196508</v>
          </cell>
          <cell r="ST119">
            <v>0</v>
          </cell>
          <cell r="SU119">
            <v>0</v>
          </cell>
          <cell r="SV119">
            <v>0</v>
          </cell>
          <cell r="SW119">
            <v>0</v>
          </cell>
          <cell r="SX119">
            <v>53.541834362631654</v>
          </cell>
          <cell r="SY119">
            <v>53.541834362631654</v>
          </cell>
          <cell r="SZ119">
            <v>0</v>
          </cell>
        </row>
        <row r="120">
          <cell r="SQ120">
            <v>0</v>
          </cell>
          <cell r="SR120">
            <v>53.882715599751101</v>
          </cell>
          <cell r="SS120">
            <v>122.13415535943584</v>
          </cell>
          <cell r="ST120">
            <v>0</v>
          </cell>
          <cell r="SU120">
            <v>0</v>
          </cell>
          <cell r="SV120">
            <v>0</v>
          </cell>
          <cell r="SW120">
            <v>0</v>
          </cell>
          <cell r="SX120">
            <v>53.882715599751101</v>
          </cell>
          <cell r="SY120">
            <v>53.882715599751101</v>
          </cell>
          <cell r="SZ120">
            <v>0</v>
          </cell>
        </row>
        <row r="121">
          <cell r="SQ121">
            <v>0</v>
          </cell>
          <cell r="SR121">
            <v>54.159145021957919</v>
          </cell>
          <cell r="SS121">
            <v>122.76072871643797</v>
          </cell>
          <cell r="ST121">
            <v>0</v>
          </cell>
          <cell r="SU121">
            <v>0</v>
          </cell>
          <cell r="SV121">
            <v>0</v>
          </cell>
          <cell r="SW121">
            <v>0</v>
          </cell>
          <cell r="SX121">
            <v>54.159145021957919</v>
          </cell>
          <cell r="SY121">
            <v>54.159145021957919</v>
          </cell>
          <cell r="SZ121">
            <v>0</v>
          </cell>
        </row>
        <row r="122">
          <cell r="SQ122">
            <v>0</v>
          </cell>
          <cell r="SR122">
            <v>54.315692352336463</v>
          </cell>
          <cell r="SS122">
            <v>123.11556933196266</v>
          </cell>
          <cell r="ST122">
            <v>0</v>
          </cell>
          <cell r="SU122">
            <v>0</v>
          </cell>
          <cell r="SV122">
            <v>0</v>
          </cell>
          <cell r="SW122">
            <v>0</v>
          </cell>
          <cell r="SX122">
            <v>54.315692352336463</v>
          </cell>
          <cell r="SY122">
            <v>54.315692352336463</v>
          </cell>
          <cell r="SZ122">
            <v>0</v>
          </cell>
        </row>
        <row r="123">
          <cell r="SQ123">
            <v>0</v>
          </cell>
          <cell r="SR123">
            <v>54.514117187265128</v>
          </cell>
          <cell r="SS123">
            <v>123.5653322911343</v>
          </cell>
          <cell r="ST123">
            <v>0</v>
          </cell>
          <cell r="SU123">
            <v>0</v>
          </cell>
          <cell r="SV123">
            <v>0</v>
          </cell>
          <cell r="SW123">
            <v>0</v>
          </cell>
          <cell r="SX123">
            <v>54.514117187265128</v>
          </cell>
          <cell r="SY123">
            <v>54.514117187265128</v>
          </cell>
          <cell r="SZ123">
            <v>0</v>
          </cell>
        </row>
        <row r="124">
          <cell r="SQ124">
            <v>0</v>
          </cell>
          <cell r="SR124">
            <v>54.672961230738657</v>
          </cell>
          <cell r="SS124">
            <v>123.9253787896743</v>
          </cell>
          <cell r="ST124">
            <v>0</v>
          </cell>
          <cell r="SU124">
            <v>0</v>
          </cell>
          <cell r="SV124">
            <v>0</v>
          </cell>
          <cell r="SW124">
            <v>0</v>
          </cell>
          <cell r="SX124">
            <v>54.672961230738657</v>
          </cell>
          <cell r="SY124">
            <v>54.672961230738657</v>
          </cell>
          <cell r="SZ124">
            <v>0</v>
          </cell>
        </row>
        <row r="125">
          <cell r="SQ125">
            <v>0</v>
          </cell>
          <cell r="SR125">
            <v>54.956361250403006</v>
          </cell>
          <cell r="SS125">
            <v>124.56775216758015</v>
          </cell>
          <cell r="ST125">
            <v>0</v>
          </cell>
          <cell r="SU125">
            <v>0</v>
          </cell>
          <cell r="SV125">
            <v>0</v>
          </cell>
          <cell r="SW125">
            <v>0</v>
          </cell>
          <cell r="SX125">
            <v>54.956361250403006</v>
          </cell>
          <cell r="SY125">
            <v>54.956361250403006</v>
          </cell>
          <cell r="SZ125">
            <v>0</v>
          </cell>
        </row>
        <row r="126">
          <cell r="SQ126">
            <v>0</v>
          </cell>
          <cell r="SR126">
            <v>55.118138689583155</v>
          </cell>
          <cell r="SS126">
            <v>124.9344476963885</v>
          </cell>
          <cell r="ST126">
            <v>0</v>
          </cell>
          <cell r="SU126">
            <v>0</v>
          </cell>
          <cell r="SV126">
            <v>0</v>
          </cell>
          <cell r="SW126">
            <v>0</v>
          </cell>
          <cell r="SX126">
            <v>55.118138689583155</v>
          </cell>
          <cell r="SY126">
            <v>55.118138689583155</v>
          </cell>
          <cell r="SZ126">
            <v>0</v>
          </cell>
        </row>
      </sheetData>
      <sheetData sheetId="9"/>
      <sheetData sheetId="10"/>
      <sheetData sheetId="11"/>
      <sheetData sheetId="12">
        <row r="2">
          <cell r="BF2">
            <v>0</v>
          </cell>
        </row>
      </sheetData>
      <sheetData sheetId="13"/>
      <sheetData sheetId="14">
        <row r="2">
          <cell r="BF2">
            <v>237574.11364311917</v>
          </cell>
        </row>
      </sheetData>
      <sheetData sheetId="15"/>
      <sheetData sheetId="16">
        <row r="2">
          <cell r="ST2">
            <v>0</v>
          </cell>
          <cell r="SU2">
            <v>0</v>
          </cell>
          <cell r="SV2">
            <v>192468.87483012001</v>
          </cell>
          <cell r="SW2">
            <v>0</v>
          </cell>
          <cell r="SX2">
            <v>0</v>
          </cell>
          <cell r="TA2">
            <v>0</v>
          </cell>
          <cell r="TB2">
            <v>0</v>
          </cell>
          <cell r="TC2">
            <v>0</v>
          </cell>
        </row>
        <row r="3">
          <cell r="ST3">
            <v>42344.657077877862</v>
          </cell>
          <cell r="SU3">
            <v>42344.657077877862</v>
          </cell>
          <cell r="SV3">
            <v>297649.29440980055</v>
          </cell>
          <cell r="SW3">
            <v>42344.657077877862</v>
          </cell>
          <cell r="SX3">
            <v>42344.657077877862</v>
          </cell>
          <cell r="TA3">
            <v>42344.657077877862</v>
          </cell>
          <cell r="TB3">
            <v>42344.657077877862</v>
          </cell>
          <cell r="TC3">
            <v>42344.657077877862</v>
          </cell>
        </row>
        <row r="4">
          <cell r="ST4">
            <v>84062.852705930069</v>
          </cell>
          <cell r="SU4">
            <v>84062.852705930069</v>
          </cell>
          <cell r="SV4">
            <v>398828.26149465051</v>
          </cell>
          <cell r="SW4">
            <v>84062.852705930069</v>
          </cell>
          <cell r="SX4">
            <v>84062.852705930069</v>
          </cell>
          <cell r="TA4">
            <v>84062.852705930069</v>
          </cell>
          <cell r="TB4">
            <v>84062.852705930069</v>
          </cell>
          <cell r="TC4">
            <v>84062.852705930069</v>
          </cell>
        </row>
        <row r="5">
          <cell r="ST5">
            <v>120738.78321023461</v>
          </cell>
          <cell r="SU5">
            <v>120738.78321023461</v>
          </cell>
          <cell r="SV5">
            <v>435404.5358697935</v>
          </cell>
          <cell r="SW5">
            <v>120738.78321023461</v>
          </cell>
          <cell r="SX5">
            <v>60911.85829957157</v>
          </cell>
          <cell r="TA5">
            <v>120738.78321023461</v>
          </cell>
          <cell r="TB5">
            <v>120738.78321023461</v>
          </cell>
          <cell r="TC5">
            <v>120738.78321023461</v>
          </cell>
        </row>
        <row r="6">
          <cell r="ST6">
            <v>163347.45196414329</v>
          </cell>
          <cell r="SU6">
            <v>163347.45196414329</v>
          </cell>
          <cell r="SV6">
            <v>498471.88175627775</v>
          </cell>
          <cell r="SW6">
            <v>163347.45196414329</v>
          </cell>
          <cell r="SX6">
            <v>61329.932798502268</v>
          </cell>
          <cell r="TA6">
            <v>163347.45196414329</v>
          </cell>
          <cell r="TB6">
            <v>163347.45196414329</v>
          </cell>
          <cell r="TC6">
            <v>163347.45196414329</v>
          </cell>
        </row>
        <row r="7">
          <cell r="ST7">
            <v>221984.97747016372</v>
          </cell>
          <cell r="SU7">
            <v>221984.97747016372</v>
          </cell>
          <cell r="SV7">
            <v>576712.21142501151</v>
          </cell>
          <cell r="SW7">
            <v>221984.97747016372</v>
          </cell>
          <cell r="SX7">
            <v>71190.027755307121</v>
          </cell>
          <cell r="TA7">
            <v>221984.97747016372</v>
          </cell>
          <cell r="TB7">
            <v>221984.97747016372</v>
          </cell>
          <cell r="TC7">
            <v>221984.97747016372</v>
          </cell>
        </row>
        <row r="8">
          <cell r="ST8">
            <v>299796.6765256885</v>
          </cell>
          <cell r="SU8">
            <v>299796.6765256885</v>
          </cell>
          <cell r="SV8">
            <v>690957.93657230679</v>
          </cell>
          <cell r="SW8">
            <v>299796.6765256885</v>
          </cell>
          <cell r="SX8">
            <v>85255.089580883796</v>
          </cell>
          <cell r="TA8">
            <v>299796.6765256885</v>
          </cell>
          <cell r="TB8">
            <v>299796.6765256885</v>
          </cell>
          <cell r="TC8">
            <v>299796.6765256885</v>
          </cell>
        </row>
        <row r="9">
          <cell r="ST9">
            <v>395350.15213336027</v>
          </cell>
          <cell r="SU9">
            <v>395350.15213336027</v>
          </cell>
          <cell r="SV9">
            <v>785686.76889959909</v>
          </cell>
          <cell r="SW9">
            <v>395350.15213336027</v>
          </cell>
          <cell r="SX9">
            <v>101091.69547693018</v>
          </cell>
          <cell r="TA9">
            <v>395350.15213336027</v>
          </cell>
          <cell r="TB9">
            <v>395350.15213336027</v>
          </cell>
          <cell r="TC9">
            <v>395350.15213336027</v>
          </cell>
        </row>
        <row r="10">
          <cell r="ST10">
            <v>579878.2608369079</v>
          </cell>
          <cell r="SU10">
            <v>579878.2608369079</v>
          </cell>
          <cell r="SV10">
            <v>1016607.3236925583</v>
          </cell>
          <cell r="SW10">
            <v>579878.2608369079</v>
          </cell>
          <cell r="SX10">
            <v>142584.53428534477</v>
          </cell>
          <cell r="TA10">
            <v>579878.2608369079</v>
          </cell>
          <cell r="TB10">
            <v>579878.2608369079</v>
          </cell>
          <cell r="TC10">
            <v>579878.2608369079</v>
          </cell>
        </row>
        <row r="11">
          <cell r="ST11">
            <v>687394.88535517221</v>
          </cell>
          <cell r="SU11">
            <v>687394.88535517221</v>
          </cell>
          <cell r="SV11">
            <v>1136547.6127809789</v>
          </cell>
          <cell r="SW11">
            <v>687394.88535517221</v>
          </cell>
          <cell r="SX11">
            <v>148974.91124126618</v>
          </cell>
          <cell r="TA11">
            <v>687394.88535517221</v>
          </cell>
          <cell r="TB11">
            <v>687394.88535517221</v>
          </cell>
          <cell r="TC11">
            <v>687394.88535517221</v>
          </cell>
        </row>
        <row r="12">
          <cell r="ST12">
            <v>1224578.4303429066</v>
          </cell>
          <cell r="SU12">
            <v>1224578.4303429066</v>
          </cell>
          <cell r="SV12">
            <v>1785476.0577786956</v>
          </cell>
          <cell r="SW12">
            <v>1224578.4303429066</v>
          </cell>
          <cell r="SX12">
            <v>277365.60297068779</v>
          </cell>
          <cell r="TA12">
            <v>1224578.4303429066</v>
          </cell>
          <cell r="TB12">
            <v>1224578.4303429066</v>
          </cell>
          <cell r="TC12">
            <v>1224578.4303429066</v>
          </cell>
        </row>
        <row r="13">
          <cell r="ST13">
            <v>1429661.5446624509</v>
          </cell>
          <cell r="SU13">
            <v>1429661.5446624509</v>
          </cell>
          <cell r="SV13">
            <v>1994109.1523436829</v>
          </cell>
          <cell r="SW13">
            <v>1429661.5446624509</v>
          </cell>
          <cell r="SX13">
            <v>297634.64875616203</v>
          </cell>
          <cell r="TA13">
            <v>1429661.5446624509</v>
          </cell>
          <cell r="TB13">
            <v>1429661.5446624509</v>
          </cell>
          <cell r="TC13">
            <v>1429661.5446624509</v>
          </cell>
        </row>
        <row r="14">
          <cell r="ST14">
            <v>1130556.3178345021</v>
          </cell>
          <cell r="SU14">
            <v>1130556.3178345021</v>
          </cell>
          <cell r="SV14">
            <v>1645069.6052388698</v>
          </cell>
          <cell r="SW14">
            <v>1130556.3178345021</v>
          </cell>
          <cell r="SX14">
            <v>193031.06990560819</v>
          </cell>
          <cell r="TA14">
            <v>1130556.3178345021</v>
          </cell>
          <cell r="TB14">
            <v>1130556.3178345021</v>
          </cell>
          <cell r="TC14">
            <v>1130556.3178345021</v>
          </cell>
        </row>
        <row r="15">
          <cell r="ST15">
            <v>1268675.2593663586</v>
          </cell>
          <cell r="SU15">
            <v>1268675.2593663586</v>
          </cell>
          <cell r="SV15">
            <v>1806948.0848599691</v>
          </cell>
          <cell r="SW15">
            <v>1268675.2593663586</v>
          </cell>
          <cell r="SX15">
            <v>204098.57656740723</v>
          </cell>
          <cell r="TA15">
            <v>1268675.2593663586</v>
          </cell>
          <cell r="TB15">
            <v>1268675.2593663586</v>
          </cell>
          <cell r="TC15">
            <v>1268675.2593663586</v>
          </cell>
        </row>
        <row r="16">
          <cell r="ST16">
            <v>1798396.2359300489</v>
          </cell>
          <cell r="SU16">
            <v>1798396.2359300489</v>
          </cell>
          <cell r="SV16">
            <v>2456785.7125421502</v>
          </cell>
          <cell r="SW16">
            <v>1798396.2359300489</v>
          </cell>
          <cell r="SX16">
            <v>301168.49232293852</v>
          </cell>
          <cell r="TA16">
            <v>1798396.2359300489</v>
          </cell>
          <cell r="TB16">
            <v>1798396.2359300489</v>
          </cell>
          <cell r="TC16">
            <v>1798396.2359300489</v>
          </cell>
        </row>
        <row r="17">
          <cell r="ST17">
            <v>1820794.0345759038</v>
          </cell>
          <cell r="SU17">
            <v>1820794.0345759038</v>
          </cell>
          <cell r="SV17">
            <v>2441127.3746466041</v>
          </cell>
          <cell r="SW17">
            <v>1820794.0345759038</v>
          </cell>
          <cell r="SX17">
            <v>282811.86289723287</v>
          </cell>
          <cell r="TA17">
            <v>1820794.0345759038</v>
          </cell>
          <cell r="TB17">
            <v>1820794.0345759038</v>
          </cell>
          <cell r="TC17">
            <v>1820794.0345759038</v>
          </cell>
        </row>
        <row r="18">
          <cell r="ST18">
            <v>1611719.5022973754</v>
          </cell>
          <cell r="SU18">
            <v>1611719.5022973754</v>
          </cell>
          <cell r="SV18">
            <v>2207984.810201399</v>
          </cell>
          <cell r="SW18">
            <v>1611719.5022973754</v>
          </cell>
          <cell r="SX18">
            <v>221469.48315256182</v>
          </cell>
          <cell r="TA18">
            <v>1611719.5022973754</v>
          </cell>
          <cell r="TB18">
            <v>1611719.5022973754</v>
          </cell>
          <cell r="TC18">
            <v>1611719.5022973754</v>
          </cell>
        </row>
        <row r="19">
          <cell r="ST19">
            <v>1669862.7552638855</v>
          </cell>
          <cell r="SU19">
            <v>1669862.7552638855</v>
          </cell>
          <cell r="SV19">
            <v>2283447.2862915657</v>
          </cell>
          <cell r="SW19">
            <v>1669862.7552638855</v>
          </cell>
          <cell r="SX19">
            <v>216558.63815453416</v>
          </cell>
          <cell r="TA19">
            <v>1669862.7552638855</v>
          </cell>
          <cell r="TB19">
            <v>1669862.7552638855</v>
          </cell>
          <cell r="TC19">
            <v>1669862.7552638855</v>
          </cell>
        </row>
        <row r="20">
          <cell r="ST20">
            <v>1812973.4760969765</v>
          </cell>
          <cell r="SU20">
            <v>1812973.4760969765</v>
          </cell>
          <cell r="SV20">
            <v>2480741.2205593884</v>
          </cell>
          <cell r="SW20">
            <v>1812973.4760969765</v>
          </cell>
          <cell r="SX20">
            <v>228386.7319078506</v>
          </cell>
          <cell r="TA20">
            <v>1812973.4760969765</v>
          </cell>
          <cell r="TB20">
            <v>1812973.4760969765</v>
          </cell>
          <cell r="TC20">
            <v>1812973.4760969765</v>
          </cell>
        </row>
        <row r="21">
          <cell r="ST21">
            <v>1461289.7322159708</v>
          </cell>
          <cell r="SU21">
            <v>1461289.7322159708</v>
          </cell>
          <cell r="SV21">
            <v>2016709.1228603646</v>
          </cell>
          <cell r="SW21">
            <v>1461289.7322159708</v>
          </cell>
          <cell r="SX21">
            <v>150948.71195362881</v>
          </cell>
          <cell r="TA21">
            <v>1461289.7322159708</v>
          </cell>
          <cell r="TB21">
            <v>1461289.7322159708</v>
          </cell>
          <cell r="TC21">
            <v>1461289.7322159708</v>
          </cell>
        </row>
        <row r="22">
          <cell r="ST22">
            <v>640771.24370573834</v>
          </cell>
          <cell r="SU22">
            <v>640771.24370573834</v>
          </cell>
          <cell r="SV22">
            <v>1043923.9291352145</v>
          </cell>
          <cell r="SW22">
            <v>640771.24370573834</v>
          </cell>
          <cell r="SX22">
            <v>522.29474540194497</v>
          </cell>
          <cell r="TA22">
            <v>640771.24370573834</v>
          </cell>
          <cell r="TB22">
            <v>640771.24370573834</v>
          </cell>
          <cell r="TC22">
            <v>640771.24370573834</v>
          </cell>
        </row>
        <row r="23">
          <cell r="ST23">
            <v>1021154.5943557099</v>
          </cell>
          <cell r="SU23">
            <v>1021154.5943557099</v>
          </cell>
          <cell r="SV23">
            <v>1495241.6037855633</v>
          </cell>
          <cell r="SW23">
            <v>1021154.5943557099</v>
          </cell>
          <cell r="SX23">
            <v>64959.359600275289</v>
          </cell>
          <cell r="TA23">
            <v>1021154.5943557099</v>
          </cell>
          <cell r="TB23">
            <v>1021154.5943557099</v>
          </cell>
          <cell r="TC23">
            <v>1021154.5943557099</v>
          </cell>
        </row>
        <row r="24">
          <cell r="ST24">
            <v>1186929.7749184109</v>
          </cell>
          <cell r="SU24">
            <v>1186929.7749184109</v>
          </cell>
          <cell r="SV24">
            <v>1717129.5814845413</v>
          </cell>
          <cell r="SW24">
            <v>1186929.7749184109</v>
          </cell>
          <cell r="SX24">
            <v>89556.498366063926</v>
          </cell>
          <cell r="TA24">
            <v>1186929.7749184109</v>
          </cell>
          <cell r="TB24">
            <v>1186929.7749184109</v>
          </cell>
          <cell r="TC24">
            <v>1186929.7749184109</v>
          </cell>
        </row>
        <row r="25">
          <cell r="ST25">
            <v>1195420.151108183</v>
          </cell>
          <cell r="SU25">
            <v>1195420.151108183</v>
          </cell>
          <cell r="SV25">
            <v>1680214.1762065627</v>
          </cell>
          <cell r="SW25">
            <v>1195420.151108183</v>
          </cell>
          <cell r="SX25">
            <v>87493.517508684192</v>
          </cell>
          <cell r="TA25">
            <v>1195420.151108183</v>
          </cell>
          <cell r="TB25">
            <v>1195420.151108183</v>
          </cell>
          <cell r="TC25">
            <v>1195420.151108183</v>
          </cell>
        </row>
        <row r="26">
          <cell r="ST26">
            <v>1349850.0956401899</v>
          </cell>
          <cell r="SU26">
            <v>1349850.0956401899</v>
          </cell>
          <cell r="SV26">
            <v>1887396.6119640134</v>
          </cell>
          <cell r="SW26">
            <v>1349850.0956401899</v>
          </cell>
          <cell r="SX26">
            <v>107920.00758749619</v>
          </cell>
          <cell r="TA26">
            <v>1349850.0956401899</v>
          </cell>
          <cell r="TB26">
            <v>1349850.0956401899</v>
          </cell>
          <cell r="TC26">
            <v>1349850.0956401899</v>
          </cell>
        </row>
        <row r="27">
          <cell r="ST27">
            <v>1383260.4980656616</v>
          </cell>
          <cell r="SU27">
            <v>1383260.4980656616</v>
          </cell>
          <cell r="SV27">
            <v>1929756.2847268209</v>
          </cell>
          <cell r="SW27">
            <v>1383260.4980656616</v>
          </cell>
          <cell r="SX27">
            <v>108969.98319058027</v>
          </cell>
          <cell r="TA27">
            <v>1383260.4980656616</v>
          </cell>
          <cell r="TB27">
            <v>1383260.4980656616</v>
          </cell>
          <cell r="TC27">
            <v>1383260.4980656616</v>
          </cell>
        </row>
        <row r="28">
          <cell r="ST28">
            <v>1602674.2765908018</v>
          </cell>
          <cell r="SU28">
            <v>1602674.2765908018</v>
          </cell>
          <cell r="SV28">
            <v>2192650.4542156607</v>
          </cell>
          <cell r="SW28">
            <v>1602674.2765908018</v>
          </cell>
          <cell r="SX28">
            <v>136866.59918591799</v>
          </cell>
          <cell r="TA28">
            <v>1602674.2765908018</v>
          </cell>
          <cell r="TB28">
            <v>1602674.2765908018</v>
          </cell>
          <cell r="TC28">
            <v>1602674.2765908018</v>
          </cell>
        </row>
        <row r="29">
          <cell r="ST29">
            <v>1595377.8101476207</v>
          </cell>
          <cell r="SU29">
            <v>1595377.8101476207</v>
          </cell>
          <cell r="SV29">
            <v>2134021.6406397447</v>
          </cell>
          <cell r="SW29">
            <v>1595377.8101476207</v>
          </cell>
          <cell r="SX29">
            <v>131062.96337072784</v>
          </cell>
          <cell r="TA29">
            <v>1595377.8101476207</v>
          </cell>
          <cell r="TB29">
            <v>1595377.8101476207</v>
          </cell>
          <cell r="TC29">
            <v>1595377.8101476207</v>
          </cell>
        </row>
        <row r="30">
          <cell r="ST30">
            <v>1800915.2751703784</v>
          </cell>
          <cell r="SU30">
            <v>1800915.2751703784</v>
          </cell>
          <cell r="SV30">
            <v>2409695.4540708959</v>
          </cell>
          <cell r="SW30">
            <v>1800915.2751703784</v>
          </cell>
          <cell r="SX30">
            <v>155050.29772992013</v>
          </cell>
          <cell r="TA30">
            <v>1800915.2751703784</v>
          </cell>
          <cell r="TB30">
            <v>1800915.2751703784</v>
          </cell>
          <cell r="TC30">
            <v>1800915.2751703784</v>
          </cell>
        </row>
      </sheetData>
      <sheetData sheetId="17"/>
      <sheetData sheetId="18"/>
      <sheetData sheetId="19"/>
      <sheetData sheetId="20"/>
      <sheetData sheetId="21">
        <row r="2">
          <cell r="SI2">
            <v>0</v>
          </cell>
          <cell r="SJ2">
            <v>0</v>
          </cell>
          <cell r="SK2">
            <v>264572.08717767661</v>
          </cell>
          <cell r="SL2">
            <v>0</v>
          </cell>
          <cell r="SM2">
            <v>0</v>
          </cell>
          <cell r="SP2">
            <v>0</v>
          </cell>
          <cell r="SQ2">
            <v>0</v>
          </cell>
          <cell r="SR2">
            <v>0</v>
          </cell>
        </row>
        <row r="3">
          <cell r="SI3">
            <v>0</v>
          </cell>
          <cell r="SJ3">
            <v>0</v>
          </cell>
          <cell r="SK3">
            <v>615829.29547656432</v>
          </cell>
          <cell r="SL3">
            <v>0</v>
          </cell>
          <cell r="SM3">
            <v>0</v>
          </cell>
          <cell r="SP3">
            <v>0</v>
          </cell>
          <cell r="SQ3">
            <v>0</v>
          </cell>
          <cell r="SR3">
            <v>0</v>
          </cell>
        </row>
        <row r="4">
          <cell r="SI4">
            <v>0</v>
          </cell>
          <cell r="SJ4">
            <v>0</v>
          </cell>
          <cell r="SK4">
            <v>986163.07968860259</v>
          </cell>
          <cell r="SL4">
            <v>0</v>
          </cell>
          <cell r="SM4">
            <v>0</v>
          </cell>
          <cell r="SP4">
            <v>0</v>
          </cell>
          <cell r="SQ4">
            <v>0</v>
          </cell>
          <cell r="SR4">
            <v>0</v>
          </cell>
        </row>
        <row r="5">
          <cell r="SI5">
            <v>0</v>
          </cell>
          <cell r="SJ5">
            <v>0</v>
          </cell>
          <cell r="SK5">
            <v>1349140.8848843195</v>
          </cell>
          <cell r="SL5">
            <v>0</v>
          </cell>
          <cell r="SM5">
            <v>0</v>
          </cell>
          <cell r="SP5">
            <v>0</v>
          </cell>
          <cell r="SQ5">
            <v>0</v>
          </cell>
          <cell r="SR5">
            <v>0</v>
          </cell>
        </row>
        <row r="6">
          <cell r="SI6">
            <v>0</v>
          </cell>
          <cell r="SJ6">
            <v>0</v>
          </cell>
          <cell r="SK6">
            <v>1705460.0758133202</v>
          </cell>
          <cell r="SL6">
            <v>0</v>
          </cell>
          <cell r="SM6">
            <v>0</v>
          </cell>
          <cell r="SP6">
            <v>0</v>
          </cell>
          <cell r="SQ6">
            <v>0</v>
          </cell>
          <cell r="SR6">
            <v>0</v>
          </cell>
        </row>
        <row r="7">
          <cell r="SI7">
            <v>0</v>
          </cell>
          <cell r="SJ7">
            <v>0</v>
          </cell>
          <cell r="SK7">
            <v>2048444.9521422314</v>
          </cell>
          <cell r="SL7">
            <v>0</v>
          </cell>
          <cell r="SM7">
            <v>0</v>
          </cell>
          <cell r="SP7">
            <v>0</v>
          </cell>
          <cell r="SQ7">
            <v>0</v>
          </cell>
          <cell r="SR7">
            <v>0</v>
          </cell>
        </row>
        <row r="8">
          <cell r="SI8">
            <v>0</v>
          </cell>
          <cell r="SJ8">
            <v>0</v>
          </cell>
          <cell r="SK8">
            <v>2388052.2689175727</v>
          </cell>
          <cell r="SL8">
            <v>0</v>
          </cell>
          <cell r="SM8">
            <v>0</v>
          </cell>
          <cell r="SP8">
            <v>0</v>
          </cell>
          <cell r="SQ8">
            <v>0</v>
          </cell>
          <cell r="SR8">
            <v>0</v>
          </cell>
        </row>
        <row r="9">
          <cell r="SI9">
            <v>0</v>
          </cell>
          <cell r="SJ9">
            <v>0</v>
          </cell>
          <cell r="SK9">
            <v>2695639.5279263249</v>
          </cell>
          <cell r="SL9">
            <v>0</v>
          </cell>
          <cell r="SM9">
            <v>0</v>
          </cell>
          <cell r="SP9">
            <v>0</v>
          </cell>
          <cell r="SQ9">
            <v>0</v>
          </cell>
          <cell r="SR9">
            <v>0</v>
          </cell>
        </row>
        <row r="10">
          <cell r="SI10">
            <v>0</v>
          </cell>
          <cell r="SJ10">
            <v>0</v>
          </cell>
          <cell r="SK10">
            <v>3004014.9412909797</v>
          </cell>
          <cell r="SL10">
            <v>0</v>
          </cell>
          <cell r="SM10">
            <v>0</v>
          </cell>
          <cell r="SP10">
            <v>0</v>
          </cell>
          <cell r="SQ10">
            <v>0</v>
          </cell>
          <cell r="SR10">
            <v>0</v>
          </cell>
        </row>
        <row r="11">
          <cell r="SI11">
            <v>0</v>
          </cell>
          <cell r="SJ11">
            <v>0</v>
          </cell>
          <cell r="SK11">
            <v>3302954.4812034769</v>
          </cell>
          <cell r="SL11">
            <v>0</v>
          </cell>
          <cell r="SM11">
            <v>0</v>
          </cell>
          <cell r="SP11">
            <v>0</v>
          </cell>
          <cell r="SQ11">
            <v>0</v>
          </cell>
          <cell r="SR11">
            <v>0</v>
          </cell>
        </row>
        <row r="12">
          <cell r="SI12">
            <v>0</v>
          </cell>
          <cell r="SJ12">
            <v>0</v>
          </cell>
          <cell r="SK12">
            <v>3596012.6392934024</v>
          </cell>
          <cell r="SL12">
            <v>0</v>
          </cell>
          <cell r="SM12">
            <v>0</v>
          </cell>
          <cell r="SP12">
            <v>0</v>
          </cell>
          <cell r="SQ12">
            <v>0</v>
          </cell>
          <cell r="SR12">
            <v>0</v>
          </cell>
        </row>
        <row r="13">
          <cell r="SI13">
            <v>0</v>
          </cell>
          <cell r="SJ13">
            <v>0</v>
          </cell>
          <cell r="SK13">
            <v>3833722.4373869151</v>
          </cell>
          <cell r="SL13">
            <v>0</v>
          </cell>
          <cell r="SM13">
            <v>0</v>
          </cell>
          <cell r="SP13">
            <v>0</v>
          </cell>
          <cell r="SQ13">
            <v>0</v>
          </cell>
          <cell r="SR13">
            <v>0</v>
          </cell>
        </row>
        <row r="14">
          <cell r="SI14">
            <v>0</v>
          </cell>
          <cell r="SJ14">
            <v>0</v>
          </cell>
          <cell r="SK14">
            <v>4033783.0719598057</v>
          </cell>
          <cell r="SL14">
            <v>0</v>
          </cell>
          <cell r="SM14">
            <v>0</v>
          </cell>
          <cell r="SP14">
            <v>0</v>
          </cell>
          <cell r="SQ14">
            <v>0</v>
          </cell>
          <cell r="SR14">
            <v>0</v>
          </cell>
        </row>
        <row r="15">
          <cell r="SI15">
            <v>0</v>
          </cell>
          <cell r="SJ15">
            <v>0</v>
          </cell>
          <cell r="SK15">
            <v>4194882.4798850883</v>
          </cell>
          <cell r="SL15">
            <v>0</v>
          </cell>
          <cell r="SM15">
            <v>0</v>
          </cell>
          <cell r="SP15">
            <v>0</v>
          </cell>
          <cell r="SQ15">
            <v>0</v>
          </cell>
          <cell r="SR15">
            <v>0</v>
          </cell>
        </row>
        <row r="16">
          <cell r="SI16">
            <v>0</v>
          </cell>
          <cell r="SJ16">
            <v>0</v>
          </cell>
          <cell r="SK16">
            <v>4400645.5631074971</v>
          </cell>
          <cell r="SL16">
            <v>0</v>
          </cell>
          <cell r="SM16">
            <v>0</v>
          </cell>
          <cell r="SP16">
            <v>0</v>
          </cell>
          <cell r="SQ16">
            <v>0</v>
          </cell>
          <cell r="SR16">
            <v>0</v>
          </cell>
        </row>
        <row r="17">
          <cell r="SI17">
            <v>0</v>
          </cell>
          <cell r="SJ17">
            <v>0</v>
          </cell>
          <cell r="SK17">
            <v>4583646.3039721912</v>
          </cell>
          <cell r="SL17">
            <v>0</v>
          </cell>
          <cell r="SM17">
            <v>0</v>
          </cell>
          <cell r="SP17">
            <v>0</v>
          </cell>
          <cell r="SQ17">
            <v>0</v>
          </cell>
          <cell r="SR17">
            <v>0</v>
          </cell>
        </row>
        <row r="18">
          <cell r="SI18">
            <v>0</v>
          </cell>
          <cell r="SJ18">
            <v>0</v>
          </cell>
          <cell r="SK18">
            <v>4788304.3677968858</v>
          </cell>
          <cell r="SL18">
            <v>0</v>
          </cell>
          <cell r="SM18">
            <v>0</v>
          </cell>
          <cell r="SP18">
            <v>0</v>
          </cell>
          <cell r="SQ18">
            <v>0</v>
          </cell>
          <cell r="SR18">
            <v>0</v>
          </cell>
        </row>
        <row r="19">
          <cell r="SI19">
            <v>0</v>
          </cell>
          <cell r="SJ19">
            <v>0</v>
          </cell>
          <cell r="SK19">
            <v>4926431.0565108526</v>
          </cell>
          <cell r="SL19">
            <v>0</v>
          </cell>
          <cell r="SM19">
            <v>0</v>
          </cell>
          <cell r="SP19">
            <v>0</v>
          </cell>
          <cell r="SQ19">
            <v>0</v>
          </cell>
          <cell r="SR19">
            <v>0</v>
          </cell>
        </row>
        <row r="20">
          <cell r="SI20">
            <v>0</v>
          </cell>
          <cell r="SJ20">
            <v>0</v>
          </cell>
          <cell r="SK20">
            <v>5080723.3340534819</v>
          </cell>
          <cell r="SL20">
            <v>0</v>
          </cell>
          <cell r="SM20">
            <v>0</v>
          </cell>
          <cell r="SP20">
            <v>0</v>
          </cell>
          <cell r="SQ20">
            <v>0</v>
          </cell>
          <cell r="SR20">
            <v>0</v>
          </cell>
        </row>
        <row r="21">
          <cell r="SI21">
            <v>0</v>
          </cell>
          <cell r="SJ21">
            <v>0</v>
          </cell>
          <cell r="SK21">
            <v>5158551.1108631883</v>
          </cell>
          <cell r="SL21">
            <v>0</v>
          </cell>
          <cell r="SM21">
            <v>0</v>
          </cell>
          <cell r="SP21">
            <v>0</v>
          </cell>
          <cell r="SQ21">
            <v>0</v>
          </cell>
          <cell r="SR21">
            <v>0</v>
          </cell>
        </row>
        <row r="22">
          <cell r="SI22">
            <v>0</v>
          </cell>
          <cell r="SJ22">
            <v>0</v>
          </cell>
          <cell r="SK22">
            <v>5226565.2150405282</v>
          </cell>
          <cell r="SL22">
            <v>0</v>
          </cell>
          <cell r="SM22">
            <v>0</v>
          </cell>
          <cell r="SP22">
            <v>0</v>
          </cell>
          <cell r="SQ22">
            <v>0</v>
          </cell>
          <cell r="SR22">
            <v>0</v>
          </cell>
        </row>
        <row r="23">
          <cell r="SI23">
            <v>0</v>
          </cell>
          <cell r="SJ23">
            <v>0</v>
          </cell>
          <cell r="SK23">
            <v>5275152.1877282895</v>
          </cell>
          <cell r="SL23">
            <v>0</v>
          </cell>
          <cell r="SM23">
            <v>0</v>
          </cell>
          <cell r="SP23">
            <v>0</v>
          </cell>
          <cell r="SQ23">
            <v>0</v>
          </cell>
          <cell r="SR23">
            <v>0</v>
          </cell>
        </row>
        <row r="24">
          <cell r="SI24">
            <v>0</v>
          </cell>
          <cell r="SJ24">
            <v>0</v>
          </cell>
          <cell r="SK24">
            <v>5376454.5244119726</v>
          </cell>
          <cell r="SL24">
            <v>0</v>
          </cell>
          <cell r="SM24">
            <v>0</v>
          </cell>
          <cell r="SP24">
            <v>0</v>
          </cell>
          <cell r="SQ24">
            <v>0</v>
          </cell>
          <cell r="SR24">
            <v>0</v>
          </cell>
        </row>
        <row r="25">
          <cell r="SI25">
            <v>0</v>
          </cell>
          <cell r="SJ25">
            <v>0</v>
          </cell>
          <cell r="SK25">
            <v>5412082.2609142913</v>
          </cell>
          <cell r="SL25">
            <v>0</v>
          </cell>
          <cell r="SM25">
            <v>0</v>
          </cell>
          <cell r="SP25">
            <v>0</v>
          </cell>
          <cell r="SQ25">
            <v>0</v>
          </cell>
          <cell r="SR25">
            <v>0</v>
          </cell>
        </row>
        <row r="26">
          <cell r="SI26">
            <v>0</v>
          </cell>
          <cell r="SJ26">
            <v>0</v>
          </cell>
          <cell r="SK26">
            <v>5476483.4521207735</v>
          </cell>
          <cell r="SL26">
            <v>0</v>
          </cell>
          <cell r="SM26">
            <v>0</v>
          </cell>
          <cell r="SP26">
            <v>0</v>
          </cell>
          <cell r="SQ26">
            <v>0</v>
          </cell>
          <cell r="SR26">
            <v>0</v>
          </cell>
        </row>
        <row r="27">
          <cell r="SI27">
            <v>0</v>
          </cell>
          <cell r="SJ27">
            <v>0</v>
          </cell>
          <cell r="SK27">
            <v>5539226.1563778799</v>
          </cell>
          <cell r="SL27">
            <v>0</v>
          </cell>
          <cell r="SM27">
            <v>0</v>
          </cell>
          <cell r="SP27">
            <v>0</v>
          </cell>
          <cell r="SQ27">
            <v>0</v>
          </cell>
          <cell r="SR27">
            <v>0</v>
          </cell>
        </row>
        <row r="28">
          <cell r="SI28">
            <v>0</v>
          </cell>
          <cell r="SJ28">
            <v>0</v>
          </cell>
          <cell r="SK28">
            <v>5623948.9212524472</v>
          </cell>
          <cell r="SL28">
            <v>0</v>
          </cell>
          <cell r="SM28">
            <v>0</v>
          </cell>
          <cell r="SP28">
            <v>0</v>
          </cell>
          <cell r="SQ28">
            <v>0</v>
          </cell>
          <cell r="SR28">
            <v>0</v>
          </cell>
        </row>
        <row r="29">
          <cell r="SI29">
            <v>0</v>
          </cell>
          <cell r="SJ29">
            <v>0</v>
          </cell>
          <cell r="SK29">
            <v>5652061.3488903092</v>
          </cell>
          <cell r="SL29">
            <v>0</v>
          </cell>
          <cell r="SM29">
            <v>0</v>
          </cell>
          <cell r="SP29">
            <v>0</v>
          </cell>
          <cell r="SQ29">
            <v>0</v>
          </cell>
          <cell r="SR29">
            <v>0</v>
          </cell>
        </row>
        <row r="30">
          <cell r="SI30">
            <v>0</v>
          </cell>
          <cell r="SJ30">
            <v>0</v>
          </cell>
          <cell r="SK30">
            <v>5708871.8377965009</v>
          </cell>
          <cell r="SL30">
            <v>0</v>
          </cell>
          <cell r="SM30">
            <v>0</v>
          </cell>
          <cell r="SP30">
            <v>0</v>
          </cell>
          <cell r="SQ30">
            <v>0</v>
          </cell>
          <cell r="SR30">
            <v>0</v>
          </cell>
        </row>
      </sheetData>
      <sheetData sheetId="22"/>
      <sheetData sheetId="23"/>
      <sheetData sheetId="24"/>
      <sheetData sheetId="25">
        <row r="2">
          <cell r="ST2">
            <v>46978.864694063886</v>
          </cell>
          <cell r="SU2">
            <v>46978.864694063886</v>
          </cell>
          <cell r="SV2">
            <v>77927.482660313399</v>
          </cell>
          <cell r="SW2">
            <v>46978.864694063886</v>
          </cell>
          <cell r="SX2">
            <v>46978.864694063886</v>
          </cell>
          <cell r="TA2">
            <v>46978.864694063886</v>
          </cell>
          <cell r="TB2">
            <v>46978.864694063886</v>
          </cell>
          <cell r="TC2">
            <v>46978.864694063886</v>
          </cell>
        </row>
        <row r="3">
          <cell r="ST3">
            <v>24771.351269875799</v>
          </cell>
          <cell r="SU3">
            <v>24771.351269875799</v>
          </cell>
          <cell r="SV3">
            <v>59690.350928313244</v>
          </cell>
          <cell r="SW3">
            <v>24771.351269875799</v>
          </cell>
          <cell r="SX3">
            <v>24771.351269875799</v>
          </cell>
          <cell r="TA3">
            <v>24771.351269875799</v>
          </cell>
          <cell r="TB3">
            <v>24771.351269875799</v>
          </cell>
          <cell r="TC3">
            <v>24771.351269875799</v>
          </cell>
        </row>
        <row r="4">
          <cell r="ST4">
            <v>34740.242008112997</v>
          </cell>
          <cell r="SU4">
            <v>34740.242008112997</v>
          </cell>
          <cell r="SV4">
            <v>78241.895154790021</v>
          </cell>
          <cell r="SW4">
            <v>34740.242008112997</v>
          </cell>
          <cell r="SX4">
            <v>34740.242008112997</v>
          </cell>
          <cell r="TA4">
            <v>34740.242008112997</v>
          </cell>
          <cell r="TB4">
            <v>34740.242008112997</v>
          </cell>
          <cell r="TC4">
            <v>34740.242008112997</v>
          </cell>
        </row>
        <row r="5">
          <cell r="ST5">
            <v>38855.052455740108</v>
          </cell>
          <cell r="SU5">
            <v>38855.052455740108</v>
          </cell>
          <cell r="SV5">
            <v>82471.925563102239</v>
          </cell>
          <cell r="SW5">
            <v>38855.052455740108</v>
          </cell>
          <cell r="SX5">
            <v>10529.135192874077</v>
          </cell>
          <cell r="TA5">
            <v>38855.052455740108</v>
          </cell>
          <cell r="TB5">
            <v>38855.052455740108</v>
          </cell>
          <cell r="TC5">
            <v>38855.052455740108</v>
          </cell>
        </row>
        <row r="6">
          <cell r="ST6">
            <v>44986.247716672166</v>
          </cell>
          <cell r="SU6">
            <v>44986.247716672166</v>
          </cell>
          <cell r="SV6">
            <v>91337.511582418752</v>
          </cell>
          <cell r="SW6">
            <v>44986.247716672166</v>
          </cell>
          <cell r="SX6">
            <v>11225.710052722177</v>
          </cell>
          <cell r="TA6">
            <v>44986.247716672166</v>
          </cell>
          <cell r="TB6">
            <v>44986.247716672166</v>
          </cell>
          <cell r="TC6">
            <v>44986.247716672166</v>
          </cell>
        </row>
        <row r="7">
          <cell r="ST7">
            <v>53638.667777993163</v>
          </cell>
          <cell r="SU7">
            <v>53638.667777993163</v>
          </cell>
          <cell r="SV7">
            <v>102932.17912663065</v>
          </cell>
          <cell r="SW7">
            <v>53638.667777993163</v>
          </cell>
          <cell r="SX7">
            <v>13089.821718218562</v>
          </cell>
          <cell r="TA7">
            <v>53638.667777993163</v>
          </cell>
          <cell r="TB7">
            <v>53638.667777993163</v>
          </cell>
          <cell r="TC7">
            <v>53638.667777993163</v>
          </cell>
        </row>
        <row r="8">
          <cell r="ST8">
            <v>66457.960359785648</v>
          </cell>
          <cell r="SU8">
            <v>66457.960359785648</v>
          </cell>
          <cell r="SV8">
            <v>121235.88918761525</v>
          </cell>
          <cell r="SW8">
            <v>66457.960359785648</v>
          </cell>
          <cell r="SX8">
            <v>16383.218925831112</v>
          </cell>
          <cell r="TA8">
            <v>66457.960359785648</v>
          </cell>
          <cell r="TB8">
            <v>66457.960359785648</v>
          </cell>
          <cell r="TC8">
            <v>66457.960359785648</v>
          </cell>
        </row>
        <row r="9">
          <cell r="ST9">
            <v>78268.893025582249</v>
          </cell>
          <cell r="SU9">
            <v>78268.893025582249</v>
          </cell>
          <cell r="SV9">
            <v>132965.27810245566</v>
          </cell>
          <cell r="SW9">
            <v>78268.893025582249</v>
          </cell>
          <cell r="SX9">
            <v>18138.380603818339</v>
          </cell>
          <cell r="TA9">
            <v>78268.893025582249</v>
          </cell>
          <cell r="TB9">
            <v>78268.893025582249</v>
          </cell>
          <cell r="TC9">
            <v>78268.893025582249</v>
          </cell>
        </row>
        <row r="10">
          <cell r="ST10">
            <v>107787.93458799412</v>
          </cell>
          <cell r="SU10">
            <v>107787.93458799412</v>
          </cell>
          <cell r="SV10">
            <v>169719.02368840203</v>
          </cell>
          <cell r="SW10">
            <v>107787.93458799412</v>
          </cell>
          <cell r="SX10">
            <v>26594.632471207442</v>
          </cell>
          <cell r="TA10">
            <v>107787.93458799412</v>
          </cell>
          <cell r="TB10">
            <v>107787.93458799412</v>
          </cell>
          <cell r="TC10">
            <v>107787.93458799412</v>
          </cell>
        </row>
        <row r="11">
          <cell r="ST11">
            <v>123939.74656426144</v>
          </cell>
          <cell r="SU11">
            <v>123939.74656426144</v>
          </cell>
          <cell r="SV11">
            <v>187992.14258931531</v>
          </cell>
          <cell r="SW11">
            <v>123939.74656426144</v>
          </cell>
          <cell r="SX11">
            <v>27810.752087941743</v>
          </cell>
          <cell r="TA11">
            <v>123939.74656426144</v>
          </cell>
          <cell r="TB11">
            <v>123939.74656426144</v>
          </cell>
          <cell r="TC11">
            <v>123939.74656426144</v>
          </cell>
        </row>
        <row r="12">
          <cell r="ST12">
            <v>210176.85042747762</v>
          </cell>
          <cell r="SU12">
            <v>210176.85042747762</v>
          </cell>
          <cell r="SV12">
            <v>292098.62760405988</v>
          </cell>
          <cell r="SW12">
            <v>210176.85042747762</v>
          </cell>
          <cell r="SX12">
            <v>52593.153901013837</v>
          </cell>
          <cell r="TA12">
            <v>210176.85042747762</v>
          </cell>
          <cell r="TB12">
            <v>210176.85042747762</v>
          </cell>
          <cell r="TC12">
            <v>210176.85042747762</v>
          </cell>
        </row>
        <row r="13">
          <cell r="ST13">
            <v>244182.82068144006</v>
          </cell>
          <cell r="SU13">
            <v>244182.82068144006</v>
          </cell>
          <cell r="SV13">
            <v>328133.36560346768</v>
          </cell>
          <cell r="SW13">
            <v>244182.82068144006</v>
          </cell>
          <cell r="SX13">
            <v>55281.306865187362</v>
          </cell>
          <cell r="TA13">
            <v>244182.82068144006</v>
          </cell>
          <cell r="TB13">
            <v>244182.82068144006</v>
          </cell>
          <cell r="TC13">
            <v>244182.82068144006</v>
          </cell>
        </row>
        <row r="14">
          <cell r="ST14">
            <v>205602.00174107379</v>
          </cell>
          <cell r="SU14">
            <v>205602.00174107379</v>
          </cell>
          <cell r="SV14">
            <v>283442.94007511274</v>
          </cell>
          <cell r="SW14">
            <v>205602.00174107379</v>
          </cell>
          <cell r="SX14">
            <v>36178.37201401114</v>
          </cell>
          <cell r="TA14">
            <v>205602.00174107379</v>
          </cell>
          <cell r="TB14">
            <v>205602.00174107379</v>
          </cell>
          <cell r="TC14">
            <v>205602.00174107379</v>
          </cell>
        </row>
        <row r="15">
          <cell r="ST15">
            <v>230391.73419316695</v>
          </cell>
          <cell r="SU15">
            <v>230391.73419316695</v>
          </cell>
          <cell r="SV15">
            <v>312554.78259068262</v>
          </cell>
          <cell r="SW15">
            <v>230391.73419316695</v>
          </cell>
          <cell r="SX15">
            <v>38164.615503914945</v>
          </cell>
          <cell r="TA15">
            <v>230391.73419316695</v>
          </cell>
          <cell r="TB15">
            <v>230391.73419316695</v>
          </cell>
          <cell r="TC15">
            <v>230391.73419316695</v>
          </cell>
        </row>
        <row r="16">
          <cell r="ST16">
            <v>323124.54847718263</v>
          </cell>
          <cell r="SU16">
            <v>323124.54847718263</v>
          </cell>
          <cell r="SV16">
            <v>426054.4415550353</v>
          </cell>
          <cell r="SW16">
            <v>323124.54847718263</v>
          </cell>
          <cell r="SX16">
            <v>57181.640654377115</v>
          </cell>
          <cell r="TA16">
            <v>323124.54847718263</v>
          </cell>
          <cell r="TB16">
            <v>323124.54847718263</v>
          </cell>
          <cell r="TC16">
            <v>323124.54847718263</v>
          </cell>
        </row>
        <row r="17">
          <cell r="ST17">
            <v>331425.45477731829</v>
          </cell>
          <cell r="SU17">
            <v>331425.45477731829</v>
          </cell>
          <cell r="SV17">
            <v>429694.43854547152</v>
          </cell>
          <cell r="SW17">
            <v>331425.45477731829</v>
          </cell>
          <cell r="SX17">
            <v>52507.667026118841</v>
          </cell>
          <cell r="TA17">
            <v>331425.45477731829</v>
          </cell>
          <cell r="TB17">
            <v>331425.45477731829</v>
          </cell>
          <cell r="TC17">
            <v>331425.45477731829</v>
          </cell>
        </row>
        <row r="18">
          <cell r="ST18">
            <v>308419.78598331846</v>
          </cell>
          <cell r="SU18">
            <v>308419.78598331846</v>
          </cell>
          <cell r="SV18">
            <v>404836.57122972794</v>
          </cell>
          <cell r="SW18">
            <v>308419.78598331846</v>
          </cell>
          <cell r="SX18">
            <v>41473.859633218904</v>
          </cell>
          <cell r="TA18">
            <v>308419.78598331846</v>
          </cell>
          <cell r="TB18">
            <v>308419.78598331846</v>
          </cell>
          <cell r="TC18">
            <v>308419.78598331846</v>
          </cell>
        </row>
        <row r="19">
          <cell r="ST19">
            <v>324160.4409395773</v>
          </cell>
          <cell r="SU19">
            <v>324160.4409395773</v>
          </cell>
          <cell r="SV19">
            <v>424423.15172322467</v>
          </cell>
          <cell r="SW19">
            <v>324160.4409395773</v>
          </cell>
          <cell r="SX19">
            <v>40537.160296552116</v>
          </cell>
          <cell r="TA19">
            <v>324160.4409395773</v>
          </cell>
          <cell r="TB19">
            <v>324160.4409395773</v>
          </cell>
          <cell r="TC19">
            <v>324160.4409395773</v>
          </cell>
        </row>
        <row r="20">
          <cell r="ST20">
            <v>356841.80082282797</v>
          </cell>
          <cell r="SU20">
            <v>356841.80082282797</v>
          </cell>
          <cell r="SV20">
            <v>467563.49364049174</v>
          </cell>
          <cell r="SW20">
            <v>356841.80082282797</v>
          </cell>
          <cell r="SX20">
            <v>43216.506352055236</v>
          </cell>
          <cell r="TA20">
            <v>356841.80082282797</v>
          </cell>
          <cell r="TB20">
            <v>356841.80082282797</v>
          </cell>
          <cell r="TC20">
            <v>356841.80082282797</v>
          </cell>
        </row>
        <row r="21">
          <cell r="ST21">
            <v>296845.90484988131</v>
          </cell>
          <cell r="SU21">
            <v>296845.90484988131</v>
          </cell>
          <cell r="SV21">
            <v>388707.01084183622</v>
          </cell>
          <cell r="SW21">
            <v>296845.90484988131</v>
          </cell>
          <cell r="SX21">
            <v>27396.894696607837</v>
          </cell>
          <cell r="TA21">
            <v>296845.90484988131</v>
          </cell>
          <cell r="TB21">
            <v>296845.90484988131</v>
          </cell>
          <cell r="TC21">
            <v>296845.90484988131</v>
          </cell>
        </row>
        <row r="22">
          <cell r="ST22">
            <v>161785.79349044245</v>
          </cell>
          <cell r="SU22">
            <v>161785.79349044245</v>
          </cell>
          <cell r="SV22">
            <v>229236.9294941863</v>
          </cell>
          <cell r="SW22">
            <v>161785.79349044245</v>
          </cell>
          <cell r="SX22">
            <v>-290.37340692570433</v>
          </cell>
          <cell r="TA22">
            <v>161785.79349044245</v>
          </cell>
          <cell r="TB22">
            <v>161785.79349044245</v>
          </cell>
          <cell r="TC22">
            <v>161785.79349044245</v>
          </cell>
        </row>
        <row r="23">
          <cell r="ST23">
            <v>230777.12869810546</v>
          </cell>
          <cell r="SU23">
            <v>230777.12869810546</v>
          </cell>
          <cell r="SV23">
            <v>311315.64355608635</v>
          </cell>
          <cell r="SW23">
            <v>230777.12869810546</v>
          </cell>
          <cell r="SX23">
            <v>12056.45159453107</v>
          </cell>
          <cell r="TA23">
            <v>230777.12869810546</v>
          </cell>
          <cell r="TB23">
            <v>230777.12869810546</v>
          </cell>
          <cell r="TC23">
            <v>230777.12869810546</v>
          </cell>
        </row>
        <row r="24">
          <cell r="ST24">
            <v>266403.85178000946</v>
          </cell>
          <cell r="SU24">
            <v>266403.85178000946</v>
          </cell>
          <cell r="SV24">
            <v>357850.92662485503</v>
          </cell>
          <cell r="SW24">
            <v>266403.85178000946</v>
          </cell>
          <cell r="SX24">
            <v>17156.39461772237</v>
          </cell>
          <cell r="TA24">
            <v>266403.85178000946</v>
          </cell>
          <cell r="TB24">
            <v>266403.85178000946</v>
          </cell>
          <cell r="TC24">
            <v>266403.85178000946</v>
          </cell>
        </row>
        <row r="25">
          <cell r="ST25">
            <v>264602.17077560676</v>
          </cell>
          <cell r="SU25">
            <v>264602.17077560676</v>
          </cell>
          <cell r="SV25">
            <v>347546.39278285764</v>
          </cell>
          <cell r="SW25">
            <v>264602.17077560676</v>
          </cell>
          <cell r="SX25">
            <v>15494.878588156076</v>
          </cell>
          <cell r="TA25">
            <v>264602.17077560676</v>
          </cell>
          <cell r="TB25">
            <v>264602.17077560676</v>
          </cell>
          <cell r="TC25">
            <v>264602.17077560676</v>
          </cell>
        </row>
        <row r="26">
          <cell r="ST26">
            <v>300888.63875457551</v>
          </cell>
          <cell r="SU26">
            <v>300888.63875457551</v>
          </cell>
          <cell r="SV26">
            <v>394829.99737906829</v>
          </cell>
          <cell r="SW26">
            <v>300888.63875457551</v>
          </cell>
          <cell r="SX26">
            <v>20045.622931870981</v>
          </cell>
          <cell r="TA26">
            <v>300888.63875457551</v>
          </cell>
          <cell r="TB26">
            <v>300888.63875457551</v>
          </cell>
          <cell r="TC26">
            <v>300888.63875457551</v>
          </cell>
        </row>
        <row r="27">
          <cell r="ST27">
            <v>310973.39904453233</v>
          </cell>
          <cell r="SU27">
            <v>310973.39904453233</v>
          </cell>
          <cell r="SV27">
            <v>407164.64685735479</v>
          </cell>
          <cell r="SW27">
            <v>310973.39904453233</v>
          </cell>
          <cell r="SX27">
            <v>20103.517954134964</v>
          </cell>
          <cell r="TA27">
            <v>310973.39904453233</v>
          </cell>
          <cell r="TB27">
            <v>310973.39904453233</v>
          </cell>
          <cell r="TC27">
            <v>310973.39904453233</v>
          </cell>
        </row>
        <row r="28">
          <cell r="ST28">
            <v>360497.83499538712</v>
          </cell>
          <cell r="SU28">
            <v>360497.83499538712</v>
          </cell>
          <cell r="SV28">
            <v>467467.87999491021</v>
          </cell>
          <cell r="SW28">
            <v>360497.83499538712</v>
          </cell>
          <cell r="SX28">
            <v>25947.123672630754</v>
          </cell>
          <cell r="TA28">
            <v>360497.83499538712</v>
          </cell>
          <cell r="TB28">
            <v>360497.83499538712</v>
          </cell>
          <cell r="TC28">
            <v>360497.83499538712</v>
          </cell>
        </row>
        <row r="29">
          <cell r="ST29">
            <v>356563.19965404365</v>
          </cell>
          <cell r="SU29">
            <v>356563.19965404365</v>
          </cell>
          <cell r="SV29">
            <v>453506.31564173754</v>
          </cell>
          <cell r="SW29">
            <v>356563.19965404365</v>
          </cell>
          <cell r="SX29">
            <v>23607.742243104498</v>
          </cell>
          <cell r="TA29">
            <v>356563.19965404365</v>
          </cell>
          <cell r="TB29">
            <v>356563.19965404365</v>
          </cell>
          <cell r="TC29">
            <v>356563.19965404365</v>
          </cell>
        </row>
        <row r="30">
          <cell r="ST30">
            <v>406481.10634866264</v>
          </cell>
          <cell r="SU30">
            <v>406481.10634866264</v>
          </cell>
          <cell r="SV30">
            <v>518430.08531490061</v>
          </cell>
          <cell r="SW30">
            <v>406481.10634866264</v>
          </cell>
          <cell r="SX30">
            <v>28884.81996196229</v>
          </cell>
          <cell r="TA30">
            <v>406481.10634866264</v>
          </cell>
          <cell r="TB30">
            <v>406481.10634866264</v>
          </cell>
          <cell r="TC30">
            <v>406481.10634866264</v>
          </cell>
        </row>
      </sheetData>
      <sheetData sheetId="26">
        <row r="2">
          <cell r="SI2">
            <v>0</v>
          </cell>
          <cell r="SJ2">
            <v>0</v>
          </cell>
          <cell r="SK2">
            <v>33540.991434068914</v>
          </cell>
          <cell r="SL2">
            <v>0</v>
          </cell>
          <cell r="SM2">
            <v>0</v>
          </cell>
          <cell r="SP2">
            <v>0</v>
          </cell>
          <cell r="SQ2">
            <v>0</v>
          </cell>
          <cell r="SR2">
            <v>0</v>
          </cell>
        </row>
        <row r="3">
          <cell r="SI3">
            <v>0</v>
          </cell>
          <cell r="SJ3">
            <v>0</v>
          </cell>
          <cell r="SK3">
            <v>78168.551279136402</v>
          </cell>
          <cell r="SL3">
            <v>0</v>
          </cell>
          <cell r="SM3">
            <v>0</v>
          </cell>
          <cell r="SP3">
            <v>0</v>
          </cell>
          <cell r="SQ3">
            <v>0</v>
          </cell>
          <cell r="SR3">
            <v>0</v>
          </cell>
        </row>
        <row r="4">
          <cell r="SI4">
            <v>0</v>
          </cell>
          <cell r="SJ4">
            <v>0</v>
          </cell>
          <cell r="SK4">
            <v>125321.7815230071</v>
          </cell>
          <cell r="SL4">
            <v>0</v>
          </cell>
          <cell r="SM4">
            <v>0</v>
          </cell>
          <cell r="SP4">
            <v>0</v>
          </cell>
          <cell r="SQ4">
            <v>0</v>
          </cell>
          <cell r="SR4">
            <v>0</v>
          </cell>
        </row>
        <row r="5">
          <cell r="SI5">
            <v>0</v>
          </cell>
          <cell r="SJ5">
            <v>0</v>
          </cell>
          <cell r="SK5">
            <v>171728.52005080998</v>
          </cell>
          <cell r="SL5">
            <v>0</v>
          </cell>
          <cell r="SM5">
            <v>0</v>
          </cell>
          <cell r="SP5">
            <v>0</v>
          </cell>
          <cell r="SQ5">
            <v>0</v>
          </cell>
          <cell r="SR5">
            <v>0</v>
          </cell>
        </row>
        <row r="6">
          <cell r="SI6">
            <v>0</v>
          </cell>
          <cell r="SJ6">
            <v>0</v>
          </cell>
          <cell r="SK6">
            <v>217409.24859217441</v>
          </cell>
          <cell r="SL6">
            <v>0</v>
          </cell>
          <cell r="SM6">
            <v>0</v>
          </cell>
          <cell r="SP6">
            <v>0</v>
          </cell>
          <cell r="SQ6">
            <v>0</v>
          </cell>
          <cell r="SR6">
            <v>0</v>
          </cell>
        </row>
        <row r="7">
          <cell r="SI7">
            <v>0</v>
          </cell>
          <cell r="SJ7">
            <v>0</v>
          </cell>
          <cell r="SK7">
            <v>261482.79427389344</v>
          </cell>
          <cell r="SL7">
            <v>0</v>
          </cell>
          <cell r="SM7">
            <v>0</v>
          </cell>
          <cell r="SP7">
            <v>0</v>
          </cell>
          <cell r="SQ7">
            <v>0</v>
          </cell>
          <cell r="SR7">
            <v>0</v>
          </cell>
        </row>
        <row r="8">
          <cell r="SI8">
            <v>0</v>
          </cell>
          <cell r="SJ8">
            <v>0</v>
          </cell>
          <cell r="SK8">
            <v>305175.69202011282</v>
          </cell>
          <cell r="SL8">
            <v>0</v>
          </cell>
          <cell r="SM8">
            <v>0</v>
          </cell>
          <cell r="SP8">
            <v>0</v>
          </cell>
          <cell r="SQ8">
            <v>0</v>
          </cell>
          <cell r="SR8">
            <v>0</v>
          </cell>
        </row>
        <row r="9">
          <cell r="SI9">
            <v>0</v>
          </cell>
          <cell r="SJ9">
            <v>0</v>
          </cell>
          <cell r="SK9">
            <v>344929.98691726965</v>
          </cell>
          <cell r="SL9">
            <v>0</v>
          </cell>
          <cell r="SM9">
            <v>0</v>
          </cell>
          <cell r="SP9">
            <v>0</v>
          </cell>
          <cell r="SQ9">
            <v>0</v>
          </cell>
          <cell r="SR9">
            <v>0</v>
          </cell>
        </row>
        <row r="10">
          <cell r="SI10">
            <v>0</v>
          </cell>
          <cell r="SJ10">
            <v>0</v>
          </cell>
          <cell r="SK10">
            <v>384210.7839625444</v>
          </cell>
          <cell r="SL10">
            <v>0</v>
          </cell>
          <cell r="SM10">
            <v>0</v>
          </cell>
          <cell r="SP10">
            <v>0</v>
          </cell>
          <cell r="SQ10">
            <v>0</v>
          </cell>
          <cell r="SR10">
            <v>0</v>
          </cell>
        </row>
        <row r="11">
          <cell r="SI11">
            <v>0</v>
          </cell>
          <cell r="SJ11">
            <v>0</v>
          </cell>
          <cell r="SK11">
            <v>421536.24987038143</v>
          </cell>
          <cell r="SL11">
            <v>0</v>
          </cell>
          <cell r="SM11">
            <v>0</v>
          </cell>
          <cell r="SP11">
            <v>0</v>
          </cell>
          <cell r="SQ11">
            <v>0</v>
          </cell>
          <cell r="SR11">
            <v>0</v>
          </cell>
        </row>
        <row r="12">
          <cell r="SI12">
            <v>0</v>
          </cell>
          <cell r="SJ12">
            <v>0</v>
          </cell>
          <cell r="SK12">
            <v>457605.45138846658</v>
          </cell>
          <cell r="SL12">
            <v>0</v>
          </cell>
          <cell r="SM12">
            <v>0</v>
          </cell>
          <cell r="SP12">
            <v>0</v>
          </cell>
          <cell r="SQ12">
            <v>0</v>
          </cell>
          <cell r="SR12">
            <v>0</v>
          </cell>
        </row>
        <row r="13">
          <cell r="SI13">
            <v>0</v>
          </cell>
          <cell r="SJ13">
            <v>0</v>
          </cell>
          <cell r="SK13">
            <v>486702.082678498</v>
          </cell>
          <cell r="SL13">
            <v>0</v>
          </cell>
          <cell r="SM13">
            <v>0</v>
          </cell>
          <cell r="SP13">
            <v>0</v>
          </cell>
          <cell r="SQ13">
            <v>0</v>
          </cell>
          <cell r="SR13">
            <v>0</v>
          </cell>
        </row>
        <row r="14">
          <cell r="SI14">
            <v>0</v>
          </cell>
          <cell r="SJ14">
            <v>0</v>
          </cell>
          <cell r="SK14">
            <v>511874.40891647112</v>
          </cell>
          <cell r="SL14">
            <v>0</v>
          </cell>
          <cell r="SM14">
            <v>0</v>
          </cell>
          <cell r="SP14">
            <v>0</v>
          </cell>
          <cell r="SQ14">
            <v>0</v>
          </cell>
          <cell r="SR14">
            <v>0</v>
          </cell>
        </row>
        <row r="15">
          <cell r="SI15">
            <v>0</v>
          </cell>
          <cell r="SJ15">
            <v>0</v>
          </cell>
          <cell r="SK15">
            <v>531893.62186067726</v>
          </cell>
          <cell r="SL15">
            <v>0</v>
          </cell>
          <cell r="SM15">
            <v>0</v>
          </cell>
          <cell r="SP15">
            <v>0</v>
          </cell>
          <cell r="SQ15">
            <v>0</v>
          </cell>
          <cell r="SR15">
            <v>0</v>
          </cell>
        </row>
        <row r="16">
          <cell r="SI16">
            <v>0</v>
          </cell>
          <cell r="SJ16">
            <v>0</v>
          </cell>
          <cell r="SK16">
            <v>555860.13773593563</v>
          </cell>
          <cell r="SL16">
            <v>0</v>
          </cell>
          <cell r="SM16">
            <v>0</v>
          </cell>
          <cell r="SP16">
            <v>0</v>
          </cell>
          <cell r="SQ16">
            <v>0</v>
          </cell>
          <cell r="SR16">
            <v>0</v>
          </cell>
        </row>
        <row r="17">
          <cell r="SI17">
            <v>0</v>
          </cell>
          <cell r="SJ17">
            <v>0</v>
          </cell>
          <cell r="SK17">
            <v>576581.81935169047</v>
          </cell>
          <cell r="SL17">
            <v>0</v>
          </cell>
          <cell r="SM17">
            <v>0</v>
          </cell>
          <cell r="SP17">
            <v>0</v>
          </cell>
          <cell r="SQ17">
            <v>0</v>
          </cell>
          <cell r="SR17">
            <v>0</v>
          </cell>
        </row>
        <row r="18">
          <cell r="SI18">
            <v>0</v>
          </cell>
          <cell r="SJ18">
            <v>0</v>
          </cell>
          <cell r="SK18">
            <v>599891.21150664845</v>
          </cell>
          <cell r="SL18">
            <v>0</v>
          </cell>
          <cell r="SM18">
            <v>0</v>
          </cell>
          <cell r="SP18">
            <v>0</v>
          </cell>
          <cell r="SQ18">
            <v>0</v>
          </cell>
          <cell r="SR18">
            <v>0</v>
          </cell>
        </row>
        <row r="19">
          <cell r="SI19">
            <v>0</v>
          </cell>
          <cell r="SJ19">
            <v>0</v>
          </cell>
          <cell r="SK19">
            <v>616877.47105225187</v>
          </cell>
          <cell r="SL19">
            <v>0</v>
          </cell>
          <cell r="SM19">
            <v>0</v>
          </cell>
          <cell r="SP19">
            <v>0</v>
          </cell>
          <cell r="SQ19">
            <v>0</v>
          </cell>
          <cell r="SR19">
            <v>0</v>
          </cell>
        </row>
        <row r="20">
          <cell r="SI20">
            <v>0</v>
          </cell>
          <cell r="SJ20">
            <v>0</v>
          </cell>
          <cell r="SK20">
            <v>635481.75852561137</v>
          </cell>
          <cell r="SL20">
            <v>0</v>
          </cell>
          <cell r="SM20">
            <v>0</v>
          </cell>
          <cell r="SP20">
            <v>0</v>
          </cell>
          <cell r="SQ20">
            <v>0</v>
          </cell>
          <cell r="SR20">
            <v>0</v>
          </cell>
        </row>
        <row r="21">
          <cell r="SI21">
            <v>0</v>
          </cell>
          <cell r="SJ21">
            <v>0</v>
          </cell>
          <cell r="SK21">
            <v>645509.02881198004</v>
          </cell>
          <cell r="SL21">
            <v>0</v>
          </cell>
          <cell r="SM21">
            <v>0</v>
          </cell>
          <cell r="SP21">
            <v>0</v>
          </cell>
          <cell r="SQ21">
            <v>0</v>
          </cell>
          <cell r="SR21">
            <v>0</v>
          </cell>
        </row>
        <row r="22">
          <cell r="SI22">
            <v>0</v>
          </cell>
          <cell r="SJ22">
            <v>0</v>
          </cell>
          <cell r="SK22">
            <v>654315.11074162286</v>
          </cell>
          <cell r="SL22">
            <v>0</v>
          </cell>
          <cell r="SM22">
            <v>0</v>
          </cell>
          <cell r="SP22">
            <v>0</v>
          </cell>
          <cell r="SQ22">
            <v>0</v>
          </cell>
          <cell r="SR22">
            <v>0</v>
          </cell>
        </row>
        <row r="23">
          <cell r="SI23">
            <v>0</v>
          </cell>
          <cell r="SJ23">
            <v>0</v>
          </cell>
          <cell r="SK23">
            <v>661110.71905360417</v>
          </cell>
          <cell r="SL23">
            <v>0</v>
          </cell>
          <cell r="SM23">
            <v>0</v>
          </cell>
          <cell r="SP23">
            <v>0</v>
          </cell>
          <cell r="SQ23">
            <v>0</v>
          </cell>
          <cell r="SR23">
            <v>0</v>
          </cell>
        </row>
        <row r="24">
          <cell r="SI24">
            <v>0</v>
          </cell>
          <cell r="SJ24">
            <v>0</v>
          </cell>
          <cell r="SK24">
            <v>673308.95623152552</v>
          </cell>
          <cell r="SL24">
            <v>0</v>
          </cell>
          <cell r="SM24">
            <v>0</v>
          </cell>
          <cell r="SP24">
            <v>0</v>
          </cell>
          <cell r="SQ24">
            <v>0</v>
          </cell>
          <cell r="SR24">
            <v>0</v>
          </cell>
        </row>
        <row r="25">
          <cell r="SI25">
            <v>0</v>
          </cell>
          <cell r="SJ25">
            <v>0</v>
          </cell>
          <cell r="SK25">
            <v>678073.15485000401</v>
          </cell>
          <cell r="SL25">
            <v>0</v>
          </cell>
          <cell r="SM25">
            <v>0</v>
          </cell>
          <cell r="SP25">
            <v>0</v>
          </cell>
          <cell r="SQ25">
            <v>0</v>
          </cell>
          <cell r="SR25">
            <v>0</v>
          </cell>
        </row>
        <row r="26">
          <cell r="SI26">
            <v>0</v>
          </cell>
          <cell r="SJ26">
            <v>0</v>
          </cell>
          <cell r="SK26">
            <v>686137.18162631989</v>
          </cell>
          <cell r="SL26">
            <v>0</v>
          </cell>
          <cell r="SM26">
            <v>0</v>
          </cell>
          <cell r="SP26">
            <v>0</v>
          </cell>
          <cell r="SQ26">
            <v>0</v>
          </cell>
          <cell r="SR26">
            <v>0</v>
          </cell>
        </row>
        <row r="27">
          <cell r="SI27">
            <v>0</v>
          </cell>
          <cell r="SJ27">
            <v>0</v>
          </cell>
          <cell r="SK27">
            <v>693702.01038033038</v>
          </cell>
          <cell r="SL27">
            <v>0</v>
          </cell>
          <cell r="SM27">
            <v>0</v>
          </cell>
          <cell r="SP27">
            <v>0</v>
          </cell>
          <cell r="SQ27">
            <v>0</v>
          </cell>
          <cell r="SR27">
            <v>0</v>
          </cell>
        </row>
        <row r="28">
          <cell r="SI28">
            <v>0</v>
          </cell>
          <cell r="SJ28">
            <v>0</v>
          </cell>
          <cell r="SK28">
            <v>703814.41174697306</v>
          </cell>
          <cell r="SL28">
            <v>0</v>
          </cell>
          <cell r="SM28">
            <v>0</v>
          </cell>
          <cell r="SP28">
            <v>0</v>
          </cell>
          <cell r="SQ28">
            <v>0</v>
          </cell>
          <cell r="SR28">
            <v>0</v>
          </cell>
        </row>
        <row r="29">
          <cell r="SI29">
            <v>0</v>
          </cell>
          <cell r="SJ29">
            <v>0</v>
          </cell>
          <cell r="SK29">
            <v>707735.34801506216</v>
          </cell>
          <cell r="SL29">
            <v>0</v>
          </cell>
          <cell r="SM29">
            <v>0</v>
          </cell>
          <cell r="SP29">
            <v>0</v>
          </cell>
          <cell r="SQ29">
            <v>0</v>
          </cell>
          <cell r="SR29">
            <v>0</v>
          </cell>
        </row>
        <row r="30">
          <cell r="SI30">
            <v>0</v>
          </cell>
          <cell r="SJ30">
            <v>0</v>
          </cell>
          <cell r="SK30">
            <v>714891.22405098111</v>
          </cell>
          <cell r="SL30">
            <v>0</v>
          </cell>
          <cell r="SM30">
            <v>0</v>
          </cell>
          <cell r="SP30">
            <v>0</v>
          </cell>
          <cell r="SQ30">
            <v>0</v>
          </cell>
          <cell r="SR3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FromStata"/>
      <sheetName val="Scenario Ind-Com"/>
      <sheetName val="Reference Baseline"/>
      <sheetName val="ORRes"/>
      <sheetName val="ORCom"/>
      <sheetName val="ORSales"/>
      <sheetName val="WARes"/>
      <sheetName val="WACom"/>
      <sheetName val="WASales"/>
      <sheetName val="System"/>
    </sheetNames>
    <sheetDataSet>
      <sheetData sheetId="0"/>
      <sheetData sheetId="1"/>
      <sheetData sheetId="2"/>
      <sheetData sheetId="3">
        <row r="2">
          <cell r="SI2">
            <v>5881967.9919121442</v>
          </cell>
          <cell r="SJ2">
            <v>5874812.8719992545</v>
          </cell>
          <cell r="SK2">
            <v>5868170.0674745562</v>
          </cell>
          <cell r="SL2">
            <v>5874812.8719992545</v>
          </cell>
          <cell r="SM2">
            <v>5874812.8719992545</v>
          </cell>
          <cell r="SN2">
            <v>5925911.3683430767</v>
          </cell>
          <cell r="SO2">
            <v>5704839.2708139354</v>
          </cell>
          <cell r="SP2">
            <v>5874812.8719992545</v>
          </cell>
          <cell r="SQ2">
            <v>5874812.8719992545</v>
          </cell>
          <cell r="SR2">
            <v>5874812.8719992545</v>
          </cell>
        </row>
        <row r="3">
          <cell r="SI3">
            <v>5916859.842117006</v>
          </cell>
          <cell r="SJ3">
            <v>5904876.5339208394</v>
          </cell>
          <cell r="SK3">
            <v>5893598.0977866519</v>
          </cell>
          <cell r="SL3">
            <v>5904876.5339208394</v>
          </cell>
          <cell r="SM3">
            <v>5904876.5339208394</v>
          </cell>
          <cell r="SN3">
            <v>5991633.7349530607</v>
          </cell>
          <cell r="SO3">
            <v>5550718.1450629011</v>
          </cell>
          <cell r="SP3">
            <v>5904876.5339208394</v>
          </cell>
          <cell r="SQ3">
            <v>5904876.5339208394</v>
          </cell>
          <cell r="SR3">
            <v>5904876.5339208394</v>
          </cell>
        </row>
        <row r="4">
          <cell r="SI4">
            <v>5947798.1879925057</v>
          </cell>
          <cell r="SJ4">
            <v>5926037.3289768044</v>
          </cell>
          <cell r="SK4">
            <v>5912523.8045706721</v>
          </cell>
          <cell r="SL4">
            <v>5930236.226572454</v>
          </cell>
          <cell r="SM4">
            <v>5850832.0776036289</v>
          </cell>
          <cell r="SN4">
            <v>5868122.5753766783</v>
          </cell>
          <cell r="SO4">
            <v>5312451.9181469074</v>
          </cell>
          <cell r="SP4">
            <v>5926037.3289768044</v>
          </cell>
          <cell r="SQ4">
            <v>5926037.3289768044</v>
          </cell>
          <cell r="SR4">
            <v>5930236.226572454</v>
          </cell>
        </row>
        <row r="5">
          <cell r="SI5">
            <v>5983051.0117803961</v>
          </cell>
          <cell r="SJ5">
            <v>5946308.6713433629</v>
          </cell>
          <cell r="SK5">
            <v>5932809.7657837793</v>
          </cell>
          <cell r="SL5">
            <v>5958881.5371116921</v>
          </cell>
          <cell r="SM5">
            <v>5795008.6528878342</v>
          </cell>
          <cell r="SN5">
            <v>5747347.4567353418</v>
          </cell>
          <cell r="SO5">
            <v>5076985.8958933279</v>
          </cell>
          <cell r="SP5">
            <v>5946308.6713433629</v>
          </cell>
          <cell r="SQ5">
            <v>5946308.6713433629</v>
          </cell>
          <cell r="SR5">
            <v>5958881.5371116921</v>
          </cell>
        </row>
        <row r="6">
          <cell r="SI6">
            <v>6029364.1105920952</v>
          </cell>
          <cell r="SJ6">
            <v>5972275.1045289952</v>
          </cell>
          <cell r="SK6">
            <v>5960037.8714774884</v>
          </cell>
          <cell r="SL6">
            <v>5997270.5318869287</v>
          </cell>
          <cell r="SM6">
            <v>5747737.8864019373</v>
          </cell>
          <cell r="SN6">
            <v>5639551.139859979</v>
          </cell>
          <cell r="SO6">
            <v>4852960.0452605253</v>
          </cell>
          <cell r="SP6">
            <v>5972275.1045289952</v>
          </cell>
          <cell r="SQ6">
            <v>5972275.1045289952</v>
          </cell>
          <cell r="SR6">
            <v>5997270.5318869287</v>
          </cell>
        </row>
        <row r="7">
          <cell r="SI7">
            <v>6057584.8751395959</v>
          </cell>
          <cell r="SJ7">
            <v>5974829.8543873494</v>
          </cell>
          <cell r="SK7">
            <v>5965032.5645729043</v>
          </cell>
          <cell r="SL7">
            <v>6016085.796601112</v>
          </cell>
          <cell r="SM7">
            <v>5680413.8589063166</v>
          </cell>
          <cell r="SN7">
            <v>5516992.9558558883</v>
          </cell>
          <cell r="SO7">
            <v>4616276.8729832182</v>
          </cell>
          <cell r="SP7">
            <v>5974829.8543873494</v>
          </cell>
          <cell r="SQ7">
            <v>5974829.8543873494</v>
          </cell>
          <cell r="SR7">
            <v>6016085.796601112</v>
          </cell>
        </row>
        <row r="8">
          <cell r="SI8">
            <v>6097982.4713795157</v>
          </cell>
          <cell r="SJ8">
            <v>5983182.8530592453</v>
          </cell>
          <cell r="SK8">
            <v>5976162.9571286235</v>
          </cell>
          <cell r="SL8">
            <v>6044554.7086063614</v>
          </cell>
          <cell r="SM8">
            <v>5621734.3746035099</v>
          </cell>
          <cell r="SN8">
            <v>5406517.8290245179</v>
          </cell>
          <cell r="SO8">
            <v>4389785.3318394963</v>
          </cell>
          <cell r="SP8">
            <v>5983182.8530592453</v>
          </cell>
          <cell r="SQ8">
            <v>5983182.8530592453</v>
          </cell>
          <cell r="SR8">
            <v>6044554.7086063614</v>
          </cell>
        </row>
        <row r="9">
          <cell r="SI9">
            <v>6119417.6183600929</v>
          </cell>
          <cell r="SJ9">
            <v>5965443.4906970104</v>
          </cell>
          <cell r="SK9">
            <v>5961318.6394414119</v>
          </cell>
          <cell r="SL9">
            <v>6050286.4232350579</v>
          </cell>
          <cell r="SM9">
            <v>5545815.7480010213</v>
          </cell>
          <cell r="SN9">
            <v>5280462.161929654</v>
          </cell>
          <cell r="SO9">
            <v>4150860.5435055336</v>
          </cell>
          <cell r="SP9">
            <v>5965443.4906970104</v>
          </cell>
          <cell r="SQ9">
            <v>5965443.4906970104</v>
          </cell>
          <cell r="SR9">
            <v>6050286.4232350579</v>
          </cell>
        </row>
        <row r="10">
          <cell r="SI10">
            <v>6149223.5999947339</v>
          </cell>
          <cell r="SJ10">
            <v>5954025.5075100642</v>
          </cell>
          <cell r="SK10">
            <v>5948458.5225239825</v>
          </cell>
          <cell r="SL10">
            <v>6061878.8363827141</v>
          </cell>
          <cell r="SM10">
            <v>5479015.0213181358</v>
          </cell>
          <cell r="SN10">
            <v>5162466.9403524715</v>
          </cell>
          <cell r="SO10">
            <v>3918667.1403003228</v>
          </cell>
          <cell r="SP10">
            <v>5954025.5075100642</v>
          </cell>
          <cell r="SQ10">
            <v>5954025.5075100642</v>
          </cell>
          <cell r="SR10">
            <v>6061878.8363827141</v>
          </cell>
        </row>
        <row r="11">
          <cell r="SI11">
            <v>6182055.3666488007</v>
          </cell>
          <cell r="SJ11">
            <v>5935212.521613582</v>
          </cell>
          <cell r="SK11">
            <v>5922774.8832090236</v>
          </cell>
          <cell r="SL11">
            <v>6065153.5100956745</v>
          </cell>
          <cell r="SM11">
            <v>5415504.5907616606</v>
          </cell>
          <cell r="SN11">
            <v>5048890.1813112125</v>
          </cell>
          <cell r="SO11">
            <v>3689904.7095345808</v>
          </cell>
          <cell r="SP11">
            <v>5935212.521613582</v>
          </cell>
          <cell r="SQ11">
            <v>5935212.521613582</v>
          </cell>
          <cell r="SR11">
            <v>6065153.5100956745</v>
          </cell>
        </row>
        <row r="12">
          <cell r="SI12">
            <v>6211068.1034279596</v>
          </cell>
          <cell r="SJ12">
            <v>5907727.082056175</v>
          </cell>
          <cell r="SK12">
            <v>5883207.3277480733</v>
          </cell>
          <cell r="SL12">
            <v>6058691.9034750527</v>
          </cell>
          <cell r="SM12">
            <v>5354419.3143319432</v>
          </cell>
          <cell r="SN12">
            <v>4936921.6725950846</v>
          </cell>
          <cell r="SO12">
            <v>3462228.2466856032</v>
          </cell>
          <cell r="SP12">
            <v>5907727.082056175</v>
          </cell>
          <cell r="SQ12">
            <v>5907727.082056175</v>
          </cell>
          <cell r="SR12">
            <v>6058691.9034750527</v>
          </cell>
        </row>
        <row r="13">
          <cell r="SI13">
            <v>6229017.1420408431</v>
          </cell>
          <cell r="SJ13">
            <v>5877103.3900655983</v>
          </cell>
          <cell r="SK13">
            <v>5837400.8220858639</v>
          </cell>
          <cell r="SL13">
            <v>6048522.7227055002</v>
          </cell>
          <cell r="SM13">
            <v>5290926.3114910517</v>
          </cell>
          <cell r="SN13">
            <v>4819556.9711290868</v>
          </cell>
          <cell r="SO13">
            <v>3230806.015535878</v>
          </cell>
          <cell r="SP13">
            <v>5877103.3900655983</v>
          </cell>
          <cell r="SQ13">
            <v>5877103.3900655983</v>
          </cell>
          <cell r="SR13">
            <v>6048522.7227055002</v>
          </cell>
        </row>
        <row r="14">
          <cell r="SI14">
            <v>6244472.9224947253</v>
          </cell>
          <cell r="SJ14">
            <v>5841426.4166875845</v>
          </cell>
          <cell r="SK14">
            <v>5781433.8764183037</v>
          </cell>
          <cell r="SL14">
            <v>6032687.827103734</v>
          </cell>
          <cell r="SM14">
            <v>5226150.1359479818</v>
          </cell>
          <cell r="SN14">
            <v>4700897.9770027287</v>
          </cell>
          <cell r="SO14">
            <v>2998763.1599114984</v>
          </cell>
          <cell r="SP14">
            <v>5841426.4166875845</v>
          </cell>
          <cell r="SQ14">
            <v>5841426.4166875845</v>
          </cell>
          <cell r="SR14">
            <v>6032687.827103734</v>
          </cell>
        </row>
        <row r="15">
          <cell r="SI15">
            <v>6267740.2080732677</v>
          </cell>
          <cell r="SJ15">
            <v>5803323.0131616239</v>
          </cell>
          <cell r="SK15">
            <v>5717780.4071717262</v>
          </cell>
          <cell r="SL15">
            <v>6013759.7614318784</v>
          </cell>
          <cell r="SM15">
            <v>5167896.2519773478</v>
          </cell>
          <cell r="SN15">
            <v>4589485.8910946259</v>
          </cell>
          <cell r="SO15">
            <v>2771379.6774481544</v>
          </cell>
          <cell r="SP15">
            <v>5803323.0131616239</v>
          </cell>
          <cell r="SQ15">
            <v>5803323.0131616239</v>
          </cell>
          <cell r="SR15">
            <v>6013759.7614318784</v>
          </cell>
        </row>
        <row r="16">
          <cell r="SI16">
            <v>6284820.370326316</v>
          </cell>
          <cell r="SJ16">
            <v>5756230.9728984945</v>
          </cell>
          <cell r="SK16">
            <v>5641794.9049678268</v>
          </cell>
          <cell r="SL16">
            <v>5984718.8908868032</v>
          </cell>
          <cell r="SM16">
            <v>5107675.4112947332</v>
          </cell>
          <cell r="SN16">
            <v>4475311.5871664388</v>
          </cell>
          <cell r="SO16">
            <v>2542241.7378459116</v>
          </cell>
          <cell r="SP16">
            <v>5756230.9728984945</v>
          </cell>
          <cell r="SQ16">
            <v>5756230.9728984945</v>
          </cell>
          <cell r="SR16">
            <v>5984718.8908868032</v>
          </cell>
        </row>
        <row r="17">
          <cell r="SI17">
            <v>6292907.2843819745</v>
          </cell>
          <cell r="SJ17">
            <v>5707300.4080560487</v>
          </cell>
          <cell r="SK17">
            <v>5562655.3478996716</v>
          </cell>
          <cell r="SL17">
            <v>5953132.5229988657</v>
          </cell>
          <cell r="SM17">
            <v>5044570.9283417743</v>
          </cell>
          <cell r="SN17">
            <v>4356760.0904817749</v>
          </cell>
          <cell r="SO17">
            <v>2310799.0192100173</v>
          </cell>
          <cell r="SP17">
            <v>5707300.4080560487</v>
          </cell>
          <cell r="SQ17">
            <v>5707300.4080560487</v>
          </cell>
          <cell r="SR17">
            <v>5953132.5229988657</v>
          </cell>
        </row>
        <row r="18">
          <cell r="SI18">
            <v>6313829.4784656316</v>
          </cell>
          <cell r="SJ18">
            <v>5668866.5514470646</v>
          </cell>
          <cell r="SK18">
            <v>5491866.3210494872</v>
          </cell>
          <cell r="SL18">
            <v>5931889.5623769164</v>
          </cell>
          <cell r="SM18">
            <v>4993172.142107727</v>
          </cell>
          <cell r="SN18">
            <v>4248515.9568503872</v>
          </cell>
          <cell r="SO18">
            <v>2084721.2423329286</v>
          </cell>
          <cell r="SP18">
            <v>5668866.5514470646</v>
          </cell>
          <cell r="SQ18">
            <v>5668866.5514470646</v>
          </cell>
          <cell r="SR18">
            <v>5931889.5623769164</v>
          </cell>
        </row>
        <row r="19">
          <cell r="SI19">
            <v>6321990.0636752825</v>
          </cell>
          <cell r="SJ19">
            <v>5618639.3924387703</v>
          </cell>
          <cell r="SK19">
            <v>5408586.5844594892</v>
          </cell>
          <cell r="SL19">
            <v>5897706.3155933935</v>
          </cell>
          <cell r="SM19">
            <v>4932820.9166455166</v>
          </cell>
          <cell r="SN19">
            <v>4132709.9287233073</v>
          </cell>
          <cell r="SO19">
            <v>1854792.9523345167</v>
          </cell>
          <cell r="SP19">
            <v>5618639.3924387703</v>
          </cell>
          <cell r="SQ19">
            <v>5618639.3924387703</v>
          </cell>
          <cell r="SR19">
            <v>5897706.3155933935</v>
          </cell>
        </row>
        <row r="20">
          <cell r="SI20">
            <v>6329075.3385837907</v>
          </cell>
          <cell r="SJ20">
            <v>5570127.9521712977</v>
          </cell>
          <cell r="SK20">
            <v>5327127.5504747378</v>
          </cell>
          <cell r="SL20">
            <v>5864586.0902309325</v>
          </cell>
          <cell r="SM20">
            <v>4873399.6084407708</v>
          </cell>
          <cell r="SN20">
            <v>4016633.232827629</v>
          </cell>
          <cell r="SO20">
            <v>1624899.0255279846</v>
          </cell>
          <cell r="SP20">
            <v>5570127.9521712977</v>
          </cell>
          <cell r="SQ20">
            <v>5570127.9521712977</v>
          </cell>
          <cell r="SR20">
            <v>5864586.0902309325</v>
          </cell>
        </row>
        <row r="21">
          <cell r="SI21">
            <v>6339950.6767331231</v>
          </cell>
          <cell r="SJ21">
            <v>5545719.3516763272</v>
          </cell>
          <cell r="SK21">
            <v>5272578.9992778096</v>
          </cell>
          <cell r="SL21">
            <v>5856533.8224963518</v>
          </cell>
          <cell r="SM21">
            <v>4821614.0080793845</v>
          </cell>
          <cell r="SN21">
            <v>3903046.5719786356</v>
          </cell>
          <cell r="SO21">
            <v>1396061.8085583898</v>
          </cell>
          <cell r="SP21">
            <v>5545719.3516763272</v>
          </cell>
          <cell r="SQ21">
            <v>5545719.3516763272</v>
          </cell>
          <cell r="SR21">
            <v>5856533.8224963518</v>
          </cell>
        </row>
        <row r="22">
          <cell r="SI22">
            <v>6355098.1003790386</v>
          </cell>
          <cell r="SJ22">
            <v>5516560.6554272566</v>
          </cell>
          <cell r="SK22">
            <v>5212849.4108507354</v>
          </cell>
          <cell r="SL22">
            <v>5843191.8873779234</v>
          </cell>
          <cell r="SM22">
            <v>4772303.7796685342</v>
          </cell>
          <cell r="SN22">
            <v>3792229.9250626853</v>
          </cell>
          <cell r="SO22">
            <v>1168006.2400503643</v>
          </cell>
          <cell r="SP22">
            <v>5516560.6554272566</v>
          </cell>
          <cell r="SQ22">
            <v>5516560.6554272566</v>
          </cell>
          <cell r="SR22">
            <v>5843191.8873779234</v>
          </cell>
        </row>
        <row r="23">
          <cell r="SI23">
            <v>6361963.914452509</v>
          </cell>
          <cell r="SJ23">
            <v>5480145.6882428173</v>
          </cell>
          <cell r="SK23">
            <v>5146906.8099304214</v>
          </cell>
          <cell r="SL23">
            <v>5821873.8221998913</v>
          </cell>
          <cell r="SM23">
            <v>4717531.2106113387</v>
          </cell>
          <cell r="SN23">
            <v>3676965.627261831</v>
          </cell>
          <cell r="SO23">
            <v>938492.94354660041</v>
          </cell>
          <cell r="SP23">
            <v>5480145.6882428173</v>
          </cell>
          <cell r="SQ23">
            <v>5480145.6882428173</v>
          </cell>
          <cell r="SR23">
            <v>5821873.8221998913</v>
          </cell>
        </row>
        <row r="24">
          <cell r="SI24">
            <v>6368599.3656844273</v>
          </cell>
          <cell r="SJ24">
            <v>5436245.5403115805</v>
          </cell>
          <cell r="SK24">
            <v>5073527.4404813806</v>
          </cell>
          <cell r="SL24">
            <v>5792318.793882004</v>
          </cell>
          <cell r="SM24">
            <v>4662397.0916000903</v>
          </cell>
          <cell r="SN24">
            <v>3562098.6027852446</v>
          </cell>
          <cell r="SO24">
            <v>709172.88473136013</v>
          </cell>
          <cell r="SP24">
            <v>5436245.5403115805</v>
          </cell>
          <cell r="SQ24">
            <v>5436245.5403115805</v>
          </cell>
          <cell r="SR24">
            <v>5792318.793882004</v>
          </cell>
        </row>
        <row r="25">
          <cell r="SI25">
            <v>6378222.0596087128</v>
          </cell>
          <cell r="SJ25">
            <v>5394820.3699094569</v>
          </cell>
          <cell r="SK25">
            <v>5003187.6754696369</v>
          </cell>
          <cell r="SL25">
            <v>5765126.4205562081</v>
          </cell>
          <cell r="SM25">
            <v>4610505.0085309744</v>
          </cell>
          <cell r="SN25">
            <v>3449527.8385057608</v>
          </cell>
          <cell r="SO25">
            <v>537547.28358151228</v>
          </cell>
          <cell r="SP25">
            <v>5394820.3699094569</v>
          </cell>
          <cell r="SQ25">
            <v>5394820.3699094569</v>
          </cell>
          <cell r="SR25">
            <v>5765126.4205562081</v>
          </cell>
        </row>
        <row r="26">
          <cell r="SI26">
            <v>6375498.1187038049</v>
          </cell>
          <cell r="SJ26">
            <v>5342219.2121774638</v>
          </cell>
          <cell r="SK26">
            <v>4923131.4487882769</v>
          </cell>
          <cell r="SL26">
            <v>5725657.993952713</v>
          </cell>
          <cell r="SM26">
            <v>4550272.3106517363</v>
          </cell>
          <cell r="SN26">
            <v>3330966.5137413167</v>
          </cell>
          <cell r="SO26">
            <v>536888.83866267907</v>
          </cell>
          <cell r="SP26">
            <v>5342219.2121774638</v>
          </cell>
          <cell r="SQ26">
            <v>5342219.2121774638</v>
          </cell>
          <cell r="SR26">
            <v>5725657.993952713</v>
          </cell>
        </row>
        <row r="27">
          <cell r="SI27">
            <v>6382829.521572331</v>
          </cell>
          <cell r="SJ27">
            <v>5297883.7329610391</v>
          </cell>
          <cell r="SK27">
            <v>4851810.8951422703</v>
          </cell>
          <cell r="SL27">
            <v>5694780.97349713</v>
          </cell>
          <cell r="SM27">
            <v>4499040.2493034462</v>
          </cell>
          <cell r="SN27">
            <v>3216882.2867478682</v>
          </cell>
          <cell r="SO27">
            <v>536888.83866267907</v>
          </cell>
          <cell r="SP27">
            <v>5297883.7329610391</v>
          </cell>
          <cell r="SQ27">
            <v>5297883.7329610391</v>
          </cell>
          <cell r="SR27">
            <v>5694780.97349713</v>
          </cell>
        </row>
        <row r="28">
          <cell r="SI28">
            <v>6391451.5746740401</v>
          </cell>
          <cell r="SJ28">
            <v>5245269.8729969021</v>
          </cell>
          <cell r="SK28">
            <v>4771848.2727861814</v>
          </cell>
          <cell r="SL28">
            <v>5654858.1981264073</v>
          </cell>
          <cell r="SM28">
            <v>4448329.069530176</v>
          </cell>
          <cell r="SN28">
            <v>3103851.0511777964</v>
          </cell>
          <cell r="SO28">
            <v>537060.98112511914</v>
          </cell>
          <cell r="SP28">
            <v>5245269.8729969021</v>
          </cell>
          <cell r="SQ28">
            <v>5245269.8729969021</v>
          </cell>
          <cell r="SR28">
            <v>5654858.1981264073</v>
          </cell>
        </row>
        <row r="29">
          <cell r="SI29">
            <v>6395500.5108159864</v>
          </cell>
          <cell r="SJ29">
            <v>5188522.9584003473</v>
          </cell>
          <cell r="SK29">
            <v>4688922.2622903762</v>
          </cell>
          <cell r="SL29">
            <v>5610203.901817075</v>
          </cell>
          <cell r="SM29">
            <v>4395151.7310963618</v>
          </cell>
          <cell r="SN29">
            <v>2989322.1292841956</v>
          </cell>
          <cell r="SO29">
            <v>536992.12414014305</v>
          </cell>
          <cell r="SP29">
            <v>5188522.9584003473</v>
          </cell>
          <cell r="SQ29">
            <v>5188522.9584003473</v>
          </cell>
          <cell r="SR29">
            <v>5610203.901817075</v>
          </cell>
        </row>
      </sheetData>
      <sheetData sheetId="4">
        <row r="2">
          <cell r="SI2">
            <v>2388134.6276069405</v>
          </cell>
          <cell r="SJ2">
            <v>2321366.118206786</v>
          </cell>
          <cell r="SK2">
            <v>2312686.2119847657</v>
          </cell>
          <cell r="SL2">
            <v>2321366.118206786</v>
          </cell>
          <cell r="SM2">
            <v>2321366.118206786</v>
          </cell>
          <cell r="SN2">
            <v>2388134.6276069405</v>
          </cell>
          <cell r="SO2">
            <v>2304309.8429692178</v>
          </cell>
          <cell r="SP2">
            <v>2321366.118206786</v>
          </cell>
          <cell r="SQ2">
            <v>2321366.118206786</v>
          </cell>
          <cell r="SR2">
            <v>2321366.118206786</v>
          </cell>
        </row>
        <row r="3">
          <cell r="SI3">
            <v>2416865.315990699</v>
          </cell>
          <cell r="SJ3">
            <v>2310225.149323123</v>
          </cell>
          <cell r="SK3">
            <v>2296361.9276563381</v>
          </cell>
          <cell r="SL3">
            <v>2310225.149323123</v>
          </cell>
          <cell r="SM3">
            <v>2310225.149323123</v>
          </cell>
          <cell r="SN3">
            <v>2416865.315990699</v>
          </cell>
          <cell r="SO3">
            <v>2250348.7740550819</v>
          </cell>
          <cell r="SP3">
            <v>2310225.149323123</v>
          </cell>
          <cell r="SQ3">
            <v>2310225.149323123</v>
          </cell>
          <cell r="SR3">
            <v>2310225.149323123</v>
          </cell>
        </row>
        <row r="4">
          <cell r="SI4">
            <v>2450448.0610727631</v>
          </cell>
          <cell r="SJ4">
            <v>2301981.2652995582</v>
          </cell>
          <cell r="SK4">
            <v>2283930.3546321178</v>
          </cell>
          <cell r="SL4">
            <v>2303687.8149091918</v>
          </cell>
          <cell r="SM4">
            <v>2257019.321279163</v>
          </cell>
          <cell r="SN4">
            <v>2367673.806096714</v>
          </cell>
          <cell r="SO4">
            <v>2155107.4336642278</v>
          </cell>
          <cell r="SP4">
            <v>2301981.2652995582</v>
          </cell>
          <cell r="SQ4">
            <v>2301981.2652995582</v>
          </cell>
          <cell r="SR4">
            <v>2303687.8149091918</v>
          </cell>
        </row>
        <row r="5">
          <cell r="SI5">
            <v>2488702.888450074</v>
          </cell>
          <cell r="SJ5">
            <v>2297705.667533725</v>
          </cell>
          <cell r="SK5">
            <v>2276643.351883641</v>
          </cell>
          <cell r="SL5">
            <v>2302845.5872803242</v>
          </cell>
          <cell r="SM5">
            <v>2204915.6643284005</v>
          </cell>
          <cell r="SN5">
            <v>2319586.8749410901</v>
          </cell>
          <cell r="SO5">
            <v>2061000.8021631325</v>
          </cell>
          <cell r="SP5">
            <v>2297705.667533725</v>
          </cell>
          <cell r="SQ5">
            <v>2297705.667533725</v>
          </cell>
          <cell r="SR5">
            <v>2302845.5872803242</v>
          </cell>
        </row>
        <row r="6">
          <cell r="SI6">
            <v>2530092.677977494</v>
          </cell>
          <cell r="SJ6">
            <v>2295857.7679314981</v>
          </cell>
          <cell r="SK6">
            <v>2272476.3718665373</v>
          </cell>
          <cell r="SL6">
            <v>2305943.8002471058</v>
          </cell>
          <cell r="SM6">
            <v>2158559.4085141332</v>
          </cell>
          <cell r="SN6">
            <v>2276749.2311004228</v>
          </cell>
          <cell r="SO6">
            <v>1971548.5397916285</v>
          </cell>
          <cell r="SP6">
            <v>2295857.7679314981</v>
          </cell>
          <cell r="SQ6">
            <v>2295857.7679314981</v>
          </cell>
          <cell r="SR6">
            <v>2305943.8002471058</v>
          </cell>
        </row>
        <row r="7">
          <cell r="SI7">
            <v>2562419.6246073628</v>
          </cell>
          <cell r="SJ7">
            <v>2285467.7065830166</v>
          </cell>
          <cell r="SK7">
            <v>2260520.4363548127</v>
          </cell>
          <cell r="SL7">
            <v>2301830.3011927176</v>
          </cell>
          <cell r="SM7">
            <v>2107375.6857293318</v>
          </cell>
          <cell r="SN7">
            <v>2227939.2986235344</v>
          </cell>
          <cell r="SO7">
            <v>1876942.5761567559</v>
          </cell>
          <cell r="SP7">
            <v>2285467.7065830166</v>
          </cell>
          <cell r="SQ7">
            <v>2285467.7065830166</v>
          </cell>
          <cell r="SR7">
            <v>2301830.3011927176</v>
          </cell>
        </row>
        <row r="8">
          <cell r="SI8">
            <v>2598176.7221609512</v>
          </cell>
          <cell r="SJ8">
            <v>2277687.532939523</v>
          </cell>
          <cell r="SK8">
            <v>2251440.8810210805</v>
          </cell>
          <cell r="SL8">
            <v>2301612.2410376729</v>
          </cell>
          <cell r="SM8">
            <v>2061385.1057660773</v>
          </cell>
          <cell r="SN8">
            <v>2184018.7496500583</v>
          </cell>
          <cell r="SO8">
            <v>1786488.3817136835</v>
          </cell>
          <cell r="SP8">
            <v>2277687.532939523</v>
          </cell>
          <cell r="SQ8">
            <v>2277687.532939523</v>
          </cell>
          <cell r="SR8">
            <v>2301612.2410376729</v>
          </cell>
        </row>
        <row r="9">
          <cell r="SI9">
            <v>2626413.1714108703</v>
          </cell>
          <cell r="SJ9">
            <v>2263311.5954980985</v>
          </cell>
          <cell r="SK9">
            <v>2236242.6763272574</v>
          </cell>
          <cell r="SL9">
            <v>2296019.7157722944</v>
          </cell>
          <cell r="SM9">
            <v>2011703.9054019286</v>
          </cell>
          <cell r="SN9">
            <v>2133789.8935110234</v>
          </cell>
          <cell r="SO9">
            <v>1690960.6021911795</v>
          </cell>
          <cell r="SP9">
            <v>2263311.5954980985</v>
          </cell>
          <cell r="SQ9">
            <v>2263311.5954980985</v>
          </cell>
          <cell r="SR9">
            <v>2296019.7157722944</v>
          </cell>
        </row>
        <row r="10">
          <cell r="SI10">
            <v>2658132.460598242</v>
          </cell>
          <cell r="SJ10">
            <v>2253659.7125477046</v>
          </cell>
          <cell r="SK10">
            <v>2224341.5511412276</v>
          </cell>
          <cell r="SL10">
            <v>2294885.6558274175</v>
          </cell>
          <cell r="SM10">
            <v>1968085.0772057089</v>
          </cell>
          <cell r="SN10">
            <v>2086823.0287630754</v>
          </cell>
          <cell r="SO10">
            <v>1598175.8117128662</v>
          </cell>
          <cell r="SP10">
            <v>2253659.7125477046</v>
          </cell>
          <cell r="SQ10">
            <v>2253659.7125477046</v>
          </cell>
          <cell r="SR10">
            <v>2294885.6558274175</v>
          </cell>
        </row>
        <row r="11">
          <cell r="SI11">
            <v>2690808.8870268343</v>
          </cell>
          <cell r="SJ11">
            <v>2247427.8810207522</v>
          </cell>
          <cell r="SK11">
            <v>2214681.2799866702</v>
          </cell>
          <cell r="SL11">
            <v>2296877.8790036007</v>
          </cell>
          <cell r="SM11">
            <v>1929620.596575499</v>
          </cell>
          <cell r="SN11">
            <v>2041645.620124686</v>
          </cell>
          <cell r="SO11">
            <v>1506792.3095453959</v>
          </cell>
          <cell r="SP11">
            <v>2247427.8810207522</v>
          </cell>
          <cell r="SQ11">
            <v>2247427.8810207522</v>
          </cell>
          <cell r="SR11">
            <v>2296877.8790036007</v>
          </cell>
        </row>
        <row r="12">
          <cell r="SI12">
            <v>2723019.6195819839</v>
          </cell>
          <cell r="SJ12">
            <v>2243525.2029502601</v>
          </cell>
          <cell r="SK12">
            <v>2206035.6707682759</v>
          </cell>
          <cell r="SL12">
            <v>2300915.0353336027</v>
          </cell>
          <cell r="SM12">
            <v>1895595.282738409</v>
          </cell>
          <cell r="SN12">
            <v>1997120.389886603</v>
          </cell>
          <cell r="SO12">
            <v>1415854.5012026217</v>
          </cell>
          <cell r="SP12">
            <v>2243525.2029502601</v>
          </cell>
          <cell r="SQ12">
            <v>2243525.2029502601</v>
          </cell>
          <cell r="SR12">
            <v>2300915.0353336027</v>
          </cell>
        </row>
        <row r="13">
          <cell r="SI13">
            <v>2751270.3836813211</v>
          </cell>
          <cell r="SJ13">
            <v>2241455.3904179339</v>
          </cell>
          <cell r="SK13">
            <v>2198404.2802119227</v>
          </cell>
          <cell r="SL13">
            <v>2306593.9142964873</v>
          </cell>
          <cell r="SM13">
            <v>1863469.7192715765</v>
          </cell>
          <cell r="SN13">
            <v>1950407.4222110061</v>
          </cell>
          <cell r="SO13">
            <v>1323380.9414960321</v>
          </cell>
          <cell r="SP13">
            <v>2241455.3904179339</v>
          </cell>
          <cell r="SQ13">
            <v>2241455.3904179339</v>
          </cell>
          <cell r="SR13">
            <v>2306593.9142964873</v>
          </cell>
        </row>
        <row r="14">
          <cell r="SI14">
            <v>2778646.6232993561</v>
          </cell>
          <cell r="SJ14">
            <v>2243145.3321568659</v>
          </cell>
          <cell r="SK14">
            <v>2193338.2220780561</v>
          </cell>
          <cell r="SL14">
            <v>2315951.6770947389</v>
          </cell>
          <cell r="SM14">
            <v>1835469.5062624728</v>
          </cell>
          <cell r="SN14">
            <v>1903168.2782470244</v>
          </cell>
          <cell r="SO14">
            <v>1230648.8070974755</v>
          </cell>
          <cell r="SP14">
            <v>2243145.3321568659</v>
          </cell>
          <cell r="SQ14">
            <v>2243145.3321568659</v>
          </cell>
          <cell r="SR14">
            <v>2315951.6770947389</v>
          </cell>
        </row>
        <row r="15">
          <cell r="SI15">
            <v>2809938.6549683372</v>
          </cell>
          <cell r="SJ15">
            <v>2246387.6334771318</v>
          </cell>
          <cell r="SK15">
            <v>2188055.0106748445</v>
          </cell>
          <cell r="SL15">
            <v>2326694.2914301157</v>
          </cell>
          <cell r="SM15">
            <v>1811878.0644861071</v>
          </cell>
          <cell r="SN15">
            <v>1858869.1180413968</v>
          </cell>
          <cell r="SO15">
            <v>1139832.5030397605</v>
          </cell>
          <cell r="SP15">
            <v>2246387.6334771318</v>
          </cell>
          <cell r="SQ15">
            <v>2246387.6334771318</v>
          </cell>
          <cell r="SR15">
            <v>2326694.2914301157</v>
          </cell>
        </row>
        <row r="16">
          <cell r="SI16">
            <v>2837899.7718651211</v>
          </cell>
          <cell r="SJ16">
            <v>2245802.2416632711</v>
          </cell>
          <cell r="SK16">
            <v>2177822.2332966262</v>
          </cell>
          <cell r="SL16">
            <v>2333199.978424652</v>
          </cell>
          <cell r="SM16">
            <v>1788445.9636852264</v>
          </cell>
          <cell r="SN16">
            <v>1813449.2475810447</v>
          </cell>
          <cell r="SO16">
            <v>1048294.4609950566</v>
          </cell>
          <cell r="SP16">
            <v>2245802.2416632711</v>
          </cell>
          <cell r="SQ16">
            <v>2245802.2416632711</v>
          </cell>
          <cell r="SR16">
            <v>2333199.978424652</v>
          </cell>
        </row>
        <row r="17">
          <cell r="SI17">
            <v>2861419.7623318699</v>
          </cell>
          <cell r="SJ17">
            <v>2241396.2980619008</v>
          </cell>
          <cell r="SK17">
            <v>2163135.6736129713</v>
          </cell>
          <cell r="SL17">
            <v>2335498.7525075171</v>
          </cell>
          <cell r="SM17">
            <v>1763761.7941892752</v>
          </cell>
          <cell r="SN17">
            <v>1766250.9595320472</v>
          </cell>
          <cell r="SO17">
            <v>955800.58524122229</v>
          </cell>
          <cell r="SP17">
            <v>2241396.2980619008</v>
          </cell>
          <cell r="SQ17">
            <v>2241396.2980619008</v>
          </cell>
          <cell r="SR17">
            <v>2335498.7525075171</v>
          </cell>
        </row>
        <row r="18">
          <cell r="SI18">
            <v>2890308.1166084069</v>
          </cell>
          <cell r="SJ18">
            <v>2246596.9560799999</v>
          </cell>
          <cell r="SK18">
            <v>2158112.5454499368</v>
          </cell>
          <cell r="SL18">
            <v>2347706.1933138315</v>
          </cell>
          <cell r="SM18">
            <v>1745028.7074019387</v>
          </cell>
          <cell r="SN18">
            <v>1723240.7920165013</v>
          </cell>
          <cell r="SO18">
            <v>865532.86703559104</v>
          </cell>
          <cell r="SP18">
            <v>2246596.9560799999</v>
          </cell>
          <cell r="SQ18">
            <v>2246596.9560799999</v>
          </cell>
          <cell r="SR18">
            <v>2347706.1933138315</v>
          </cell>
        </row>
        <row r="19">
          <cell r="SI19">
            <v>2914264.5497847893</v>
          </cell>
          <cell r="SJ19">
            <v>2248658.380932916</v>
          </cell>
          <cell r="SK19">
            <v>2149831.3732002308</v>
          </cell>
          <cell r="SL19">
            <v>2356517.3270645095</v>
          </cell>
          <cell r="SM19">
            <v>1724094.9914229377</v>
          </cell>
          <cell r="SN19">
            <v>1677157.6083772024</v>
          </cell>
          <cell r="SO19">
            <v>773665.70648644387</v>
          </cell>
          <cell r="SP19">
            <v>2248658.380932916</v>
          </cell>
          <cell r="SQ19">
            <v>2248658.380932916</v>
          </cell>
          <cell r="SR19">
            <v>2356517.3270645095</v>
          </cell>
        </row>
        <row r="20">
          <cell r="SI20">
            <v>2937942.4079280524</v>
          </cell>
          <cell r="SJ20">
            <v>2253783.9175073639</v>
          </cell>
          <cell r="SK20">
            <v>2144894.1189455851</v>
          </cell>
          <cell r="SL20">
            <v>2368444.016106131</v>
          </cell>
          <cell r="SM20">
            <v>1705428.2463596016</v>
          </cell>
          <cell r="SN20">
            <v>1630963.5371230573</v>
          </cell>
          <cell r="SO20">
            <v>681809.33798635495</v>
          </cell>
          <cell r="SP20">
            <v>2253783.9175073639</v>
          </cell>
          <cell r="SQ20">
            <v>2253783.9175073639</v>
          </cell>
          <cell r="SR20">
            <v>2368444.016106131</v>
          </cell>
        </row>
        <row r="21">
          <cell r="SI21">
            <v>2963722.8461655579</v>
          </cell>
          <cell r="SJ21">
            <v>2263697.1057693376</v>
          </cell>
          <cell r="SK21">
            <v>2145084.4469917552</v>
          </cell>
          <cell r="SL21">
            <v>2385349.0124805924</v>
          </cell>
          <cell r="SM21">
            <v>1690175.9115102661</v>
          </cell>
          <cell r="SN21">
            <v>1585782.4663464418</v>
          </cell>
          <cell r="SO21">
            <v>590396.18114206975</v>
          </cell>
          <cell r="SP21">
            <v>2263697.1057693376</v>
          </cell>
          <cell r="SQ21">
            <v>2263697.1057693376</v>
          </cell>
          <cell r="SR21">
            <v>2385349.0124805924</v>
          </cell>
        </row>
        <row r="22">
          <cell r="SI22">
            <v>2991994.9845686546</v>
          </cell>
          <cell r="SJ22">
            <v>2277243.6864735549</v>
          </cell>
          <cell r="SK22">
            <v>2149031.7156932717</v>
          </cell>
          <cell r="SL22">
            <v>2406053.7307631597</v>
          </cell>
          <cell r="SM22">
            <v>1677042.6806204612</v>
          </cell>
          <cell r="SN22">
            <v>1541730.3406699668</v>
          </cell>
          <cell r="SO22">
            <v>499320.42482861341</v>
          </cell>
          <cell r="SP22">
            <v>2277243.6864735549</v>
          </cell>
          <cell r="SQ22">
            <v>2277243.6864735549</v>
          </cell>
          <cell r="SR22">
            <v>2406053.7307631597</v>
          </cell>
        </row>
        <row r="23">
          <cell r="SI23">
            <v>3017179.0534431017</v>
          </cell>
          <cell r="SJ23">
            <v>2286163.2469979003</v>
          </cell>
          <cell r="SK23">
            <v>2148304.6970955934</v>
          </cell>
          <cell r="SL23">
            <v>2421801.828164638</v>
          </cell>
          <cell r="SM23">
            <v>1661533.6834235941</v>
          </cell>
          <cell r="SN23">
            <v>1495866.5845944651</v>
          </cell>
          <cell r="SO23">
            <v>407622.83231220639</v>
          </cell>
          <cell r="SP23">
            <v>2286163.2469979003</v>
          </cell>
          <cell r="SQ23">
            <v>2286163.2469979003</v>
          </cell>
          <cell r="SR23">
            <v>2421801.828164638</v>
          </cell>
        </row>
        <row r="24">
          <cell r="SI24">
            <v>3042562.4194488125</v>
          </cell>
          <cell r="SJ24">
            <v>2297192.0131430649</v>
          </cell>
          <cell r="SK24">
            <v>2149952.9689354491</v>
          </cell>
          <cell r="SL24">
            <v>2439722.7943475279</v>
          </cell>
          <cell r="SM24">
            <v>1647957.4666669345</v>
          </cell>
          <cell r="SN24">
            <v>1450164.3201217025</v>
          </cell>
          <cell r="SO24">
            <v>316005.69075927313</v>
          </cell>
          <cell r="SP24">
            <v>2297192.0131430649</v>
          </cell>
          <cell r="SQ24">
            <v>2297192.0131430649</v>
          </cell>
          <cell r="SR24">
            <v>2439722.7943475279</v>
          </cell>
        </row>
        <row r="25">
          <cell r="SI25">
            <v>3069935.1767870095</v>
          </cell>
          <cell r="SJ25">
            <v>2309147.9594117692</v>
          </cell>
          <cell r="SK25">
            <v>2152443.9041678407</v>
          </cell>
          <cell r="SL25">
            <v>2458587.7520983079</v>
          </cell>
          <cell r="SM25">
            <v>1634938.3744705743</v>
          </cell>
          <cell r="SN25">
            <v>1405399.3079203409</v>
          </cell>
          <cell r="SO25">
            <v>247458.86347740819</v>
          </cell>
          <cell r="SP25">
            <v>2309147.9594117692</v>
          </cell>
          <cell r="SQ25">
            <v>2309147.9594117692</v>
          </cell>
          <cell r="SR25">
            <v>2458587.7520983079</v>
          </cell>
        </row>
        <row r="26">
          <cell r="SI26">
            <v>3091981.4517086977</v>
          </cell>
          <cell r="SJ26">
            <v>2317631.2276655766</v>
          </cell>
          <cell r="SK26">
            <v>2151860.9053187817</v>
          </cell>
          <cell r="SL26">
            <v>2473675.0897901584</v>
          </cell>
          <cell r="SM26">
            <v>1620355.4653090145</v>
          </cell>
          <cell r="SN26">
            <v>1358187.1325335256</v>
          </cell>
          <cell r="SO26">
            <v>247152.18532745115</v>
          </cell>
          <cell r="SP26">
            <v>2317631.2276655766</v>
          </cell>
          <cell r="SQ26">
            <v>2317631.2276655766</v>
          </cell>
          <cell r="SR26">
            <v>2473675.0897901584</v>
          </cell>
        </row>
        <row r="27">
          <cell r="SI27">
            <v>3117964.8976498526</v>
          </cell>
          <cell r="SJ27">
            <v>2329139.9774737018</v>
          </cell>
          <cell r="SK27">
            <v>2154170.9106233614</v>
          </cell>
          <cell r="SL27">
            <v>2491952.5624665571</v>
          </cell>
          <cell r="SM27">
            <v>1607393.896518212</v>
          </cell>
          <cell r="SN27">
            <v>1312803.1678978095</v>
          </cell>
          <cell r="SO27">
            <v>247152.18532745115</v>
          </cell>
          <cell r="SP27">
            <v>2329139.9774737018</v>
          </cell>
          <cell r="SQ27">
            <v>2329139.9774737018</v>
          </cell>
          <cell r="SR27">
            <v>2491952.5624665571</v>
          </cell>
        </row>
        <row r="28">
          <cell r="SI28">
            <v>3144926.0255374541</v>
          </cell>
          <cell r="SJ28">
            <v>2342144.3120224909</v>
          </cell>
          <cell r="SK28">
            <v>2158043.4192883093</v>
          </cell>
          <cell r="SL28">
            <v>2511791.5439860164</v>
          </cell>
          <cell r="SM28">
            <v>1595714.3896357419</v>
          </cell>
          <cell r="SN28">
            <v>1267850.3331728443</v>
          </cell>
          <cell r="SO28">
            <v>247232.36262155758</v>
          </cell>
          <cell r="SP28">
            <v>2342144.3120224909</v>
          </cell>
          <cell r="SQ28">
            <v>2342144.3120224909</v>
          </cell>
          <cell r="SR28">
            <v>2511791.5439860164</v>
          </cell>
        </row>
        <row r="29">
          <cell r="SI29">
            <v>3170463.3707372732</v>
          </cell>
          <cell r="SJ29">
            <v>2354546.0420955839</v>
          </cell>
          <cell r="SK29">
            <v>2160895.5843828162</v>
          </cell>
          <cell r="SL29">
            <v>2529999.9643878345</v>
          </cell>
          <cell r="SM29">
            <v>1583774.967839991</v>
          </cell>
          <cell r="SN29">
            <v>1222284.5498359664</v>
          </cell>
          <cell r="SO29">
            <v>247200.29170391505</v>
          </cell>
          <cell r="SP29">
            <v>2354546.0420955839</v>
          </cell>
          <cell r="SQ29">
            <v>2354546.0420955839</v>
          </cell>
          <cell r="SR29">
            <v>2529999.9643878345</v>
          </cell>
        </row>
      </sheetData>
      <sheetData sheetId="5"/>
      <sheetData sheetId="6">
        <row r="2">
          <cell r="SI2">
            <v>826941.12614193675</v>
          </cell>
          <cell r="SJ2">
            <v>820396.49433363555</v>
          </cell>
          <cell r="SK2">
            <v>819545.69219855662</v>
          </cell>
          <cell r="SL2">
            <v>820396.49433363555</v>
          </cell>
          <cell r="SM2">
            <v>820396.49433363555</v>
          </cell>
          <cell r="SN2">
            <v>826941.12614193675</v>
          </cell>
          <cell r="SO2">
            <v>795975.77532666712</v>
          </cell>
          <cell r="SP2">
            <v>820396.49433363555</v>
          </cell>
          <cell r="SQ2">
            <v>820396.49433363555</v>
          </cell>
          <cell r="SR2">
            <v>820396.49433363555</v>
          </cell>
        </row>
        <row r="3">
          <cell r="SI3">
            <v>838716.70746821899</v>
          </cell>
          <cell r="SJ3">
            <v>827703.02560616483</v>
          </cell>
          <cell r="SK3">
            <v>826271.24696409784</v>
          </cell>
          <cell r="SL3">
            <v>827703.02560616483</v>
          </cell>
          <cell r="SM3">
            <v>827703.02560616483</v>
          </cell>
          <cell r="SN3">
            <v>838716.70746821899</v>
          </cell>
          <cell r="SO3">
            <v>776868.70817640226</v>
          </cell>
          <cell r="SP3">
            <v>827703.02560616483</v>
          </cell>
          <cell r="SQ3">
            <v>827703.02560616483</v>
          </cell>
          <cell r="SR3">
            <v>827646.80758161936</v>
          </cell>
        </row>
        <row r="4">
          <cell r="SI4">
            <v>850369.8547580085</v>
          </cell>
          <cell r="SJ4">
            <v>834167.47172753909</v>
          </cell>
          <cell r="SK4">
            <v>832523.57501638134</v>
          </cell>
          <cell r="SL4">
            <v>834800.12525996973</v>
          </cell>
          <cell r="SM4">
            <v>821261.68544560531</v>
          </cell>
          <cell r="SN4">
            <v>821819.91189693729</v>
          </cell>
          <cell r="SO4">
            <v>744380.21472095093</v>
          </cell>
          <cell r="SP4">
            <v>834167.47172753909</v>
          </cell>
          <cell r="SQ4">
            <v>834167.47172753909</v>
          </cell>
          <cell r="SR4">
            <v>834663.37262518459</v>
          </cell>
        </row>
        <row r="5">
          <cell r="SI5">
            <v>862342.31979363644</v>
          </cell>
          <cell r="SJ5">
            <v>840134.5190308711</v>
          </cell>
          <cell r="SK5">
            <v>838627.38710501976</v>
          </cell>
          <cell r="SL5">
            <v>842021.8265465392</v>
          </cell>
          <cell r="SM5">
            <v>814589.61101300793</v>
          </cell>
          <cell r="SN5">
            <v>805306.49905589363</v>
          </cell>
          <cell r="SO5">
            <v>712282.98751235078</v>
          </cell>
          <cell r="SP5">
            <v>840134.5190308711</v>
          </cell>
          <cell r="SQ5">
            <v>840134.5190308711</v>
          </cell>
          <cell r="SR5">
            <v>841807.71564366133</v>
          </cell>
        </row>
        <row r="6">
          <cell r="SI6">
            <v>876274.42089001602</v>
          </cell>
          <cell r="SJ6">
            <v>847145.27330785734</v>
          </cell>
          <cell r="SK6">
            <v>845984.29627700383</v>
          </cell>
          <cell r="SL6">
            <v>850906.26101420098</v>
          </cell>
          <cell r="SM6">
            <v>809149.86830031336</v>
          </cell>
          <cell r="SN6">
            <v>790619.4007555194</v>
          </cell>
          <cell r="SO6">
            <v>681799.37457125634</v>
          </cell>
          <cell r="SP6">
            <v>847145.27330785734</v>
          </cell>
          <cell r="SQ6">
            <v>847145.27330785734</v>
          </cell>
          <cell r="SR6">
            <v>850616.08508957596</v>
          </cell>
        </row>
        <row r="7">
          <cell r="SI7">
            <v>887892.26737705909</v>
          </cell>
          <cell r="SJ7">
            <v>850994.2252770497</v>
          </cell>
          <cell r="SK7">
            <v>850381.53914157231</v>
          </cell>
          <cell r="SL7">
            <v>857221.40025530441</v>
          </cell>
          <cell r="SM7">
            <v>800915.56979966338</v>
          </cell>
          <cell r="SN7">
            <v>773853.60544091312</v>
          </cell>
          <cell r="SO7">
            <v>649527.09685512981</v>
          </cell>
          <cell r="SP7">
            <v>850994.2252770497</v>
          </cell>
          <cell r="SQ7">
            <v>850994.2252770497</v>
          </cell>
          <cell r="SR7">
            <v>856857.61319165491</v>
          </cell>
        </row>
        <row r="8">
          <cell r="SI8">
            <v>901439.5289483266</v>
          </cell>
          <cell r="SJ8">
            <v>855919.49085101765</v>
          </cell>
          <cell r="SK8">
            <v>855943.43729067314</v>
          </cell>
          <cell r="SL8">
            <v>865216.81960826693</v>
          </cell>
          <cell r="SM8">
            <v>793948.75393423112</v>
          </cell>
          <cell r="SN8">
            <v>758789.99336513248</v>
          </cell>
          <cell r="SO8">
            <v>618696.69698749622</v>
          </cell>
          <cell r="SP8">
            <v>855919.49085101765</v>
          </cell>
          <cell r="SQ8">
            <v>855919.49085101765</v>
          </cell>
          <cell r="SR8">
            <v>864783.72440798418</v>
          </cell>
        </row>
        <row r="9">
          <cell r="SI9">
            <v>912322.05752157979</v>
          </cell>
          <cell r="SJ9">
            <v>857458.1719891408</v>
          </cell>
          <cell r="SK9">
            <v>858191.19053253811</v>
          </cell>
          <cell r="SL9">
            <v>870370.43515931978</v>
          </cell>
          <cell r="SM9">
            <v>784579.72724020807</v>
          </cell>
          <cell r="SN9">
            <v>741528.54181688291</v>
          </cell>
          <cell r="SO9">
            <v>586100.23815891985</v>
          </cell>
          <cell r="SP9">
            <v>857458.1719891408</v>
          </cell>
          <cell r="SQ9">
            <v>857458.1719891408</v>
          </cell>
          <cell r="SR9">
            <v>869874.16094713588</v>
          </cell>
        </row>
        <row r="10">
          <cell r="SI10">
            <v>924508.13654961332</v>
          </cell>
          <cell r="SJ10">
            <v>860233.54054514377</v>
          </cell>
          <cell r="SK10">
            <v>861047.05447386159</v>
          </cell>
          <cell r="SL10">
            <v>876726.66753102362</v>
          </cell>
          <cell r="SM10">
            <v>776490.8189359837</v>
          </cell>
          <cell r="SN10">
            <v>725402.8745428063</v>
          </cell>
          <cell r="SO10">
            <v>554456.78259924555</v>
          </cell>
          <cell r="SP10">
            <v>860233.54054514377</v>
          </cell>
          <cell r="SQ10">
            <v>860233.54054514377</v>
          </cell>
          <cell r="SR10">
            <v>876169.63540455443</v>
          </cell>
        </row>
        <row r="11">
          <cell r="SI11">
            <v>937470.52502964041</v>
          </cell>
          <cell r="SJ11">
            <v>863194.04009154509</v>
          </cell>
          <cell r="SK11">
            <v>863396.06106932473</v>
          </cell>
          <cell r="SL11">
            <v>883216.82357339782</v>
          </cell>
          <cell r="SM11">
            <v>768992.03781518771</v>
          </cell>
          <cell r="SN11">
            <v>709900.88521171291</v>
          </cell>
          <cell r="SO11">
            <v>523301.67164941633</v>
          </cell>
          <cell r="SP11">
            <v>863194.04009154509</v>
          </cell>
          <cell r="SQ11">
            <v>863194.04009154509</v>
          </cell>
          <cell r="SR11">
            <v>882599.98974678607</v>
          </cell>
        </row>
        <row r="12">
          <cell r="SI12">
            <v>950749.97192228585</v>
          </cell>
          <cell r="SJ12">
            <v>866133.87853931368</v>
          </cell>
          <cell r="SK12">
            <v>864961.20136978745</v>
          </cell>
          <cell r="SL12">
            <v>889637.65320161602</v>
          </cell>
          <cell r="SM12">
            <v>761761.87544057553</v>
          </cell>
          <cell r="SN12">
            <v>694626.5837140322</v>
          </cell>
          <cell r="SO12">
            <v>492302.89021772583</v>
          </cell>
          <cell r="SP12">
            <v>866133.87853931368</v>
          </cell>
          <cell r="SQ12">
            <v>866133.87853931368</v>
          </cell>
          <cell r="SR12">
            <v>888965.48317305511</v>
          </cell>
        </row>
        <row r="13">
          <cell r="SI13">
            <v>962969.66558922164</v>
          </cell>
          <cell r="SJ13">
            <v>868535.99269013444</v>
          </cell>
          <cell r="SK13">
            <v>865349.7147268306</v>
          </cell>
          <cell r="SL13">
            <v>895470.13382649561</v>
          </cell>
          <cell r="SM13">
            <v>753923.84749787103</v>
          </cell>
          <cell r="SN13">
            <v>678588.74216883257</v>
          </cell>
          <cell r="SO13">
            <v>460766.15720073279</v>
          </cell>
          <cell r="SP13">
            <v>868535.99269013444</v>
          </cell>
          <cell r="SQ13">
            <v>868535.99269013444</v>
          </cell>
          <cell r="SR13">
            <v>894749.53126147273</v>
          </cell>
        </row>
        <row r="14">
          <cell r="SI14">
            <v>974863.63320642151</v>
          </cell>
          <cell r="SJ14">
            <v>870509.27371357754</v>
          </cell>
          <cell r="SK14">
            <v>864488.16842530516</v>
          </cell>
          <cell r="SL14">
            <v>900812.74184707412</v>
          </cell>
          <cell r="SM14">
            <v>745904.22897218552</v>
          </cell>
          <cell r="SN14">
            <v>662366.60508409899</v>
          </cell>
          <cell r="SO14">
            <v>429136.93565167673</v>
          </cell>
          <cell r="SP14">
            <v>870509.27371357754</v>
          </cell>
          <cell r="SQ14">
            <v>870509.27371357754</v>
          </cell>
          <cell r="SR14">
            <v>900051.4042978998</v>
          </cell>
        </row>
        <row r="15">
          <cell r="SI15">
            <v>988253.75488119025</v>
          </cell>
          <cell r="SJ15">
            <v>873177.77485288482</v>
          </cell>
          <cell r="SK15">
            <v>863558.04553738213</v>
          </cell>
          <cell r="SL15">
            <v>906823.63566775713</v>
          </cell>
          <cell r="SM15">
            <v>738919.68606353237</v>
          </cell>
          <cell r="SN15">
            <v>647171.42403975641</v>
          </cell>
          <cell r="SO15">
            <v>398181.35779788054</v>
          </cell>
          <cell r="SP15">
            <v>873177.77485288482</v>
          </cell>
          <cell r="SQ15">
            <v>873177.77485288482</v>
          </cell>
          <cell r="SR15">
            <v>906027.25382026529</v>
          </cell>
        </row>
        <row r="16">
          <cell r="SI16">
            <v>1001058.4153262762</v>
          </cell>
          <cell r="SJ16">
            <v>875149.17181575112</v>
          </cell>
          <cell r="SK16">
            <v>861353.27884487947</v>
          </cell>
          <cell r="SL16">
            <v>912031.75616649317</v>
          </cell>
          <cell r="SM16">
            <v>731608.12556382583</v>
          </cell>
          <cell r="SN16">
            <v>631584.72070684715</v>
          </cell>
          <cell r="SO16">
            <v>366971.84321527346</v>
          </cell>
          <cell r="SP16">
            <v>875149.17181575112</v>
          </cell>
          <cell r="SQ16">
            <v>875149.17181575112</v>
          </cell>
          <cell r="SR16">
            <v>911208.0185055607</v>
          </cell>
        </row>
        <row r="17">
          <cell r="SI17">
            <v>1012827.5737169236</v>
          </cell>
          <cell r="SJ17">
            <v>876551.33936043945</v>
          </cell>
          <cell r="SK17">
            <v>858206.34766897606</v>
          </cell>
          <cell r="SL17">
            <v>916572.73601173633</v>
          </cell>
          <cell r="SM17">
            <v>723713.77120092139</v>
          </cell>
          <cell r="SN17">
            <v>615375.60314101027</v>
          </cell>
          <cell r="SO17">
            <v>335422.46048656368</v>
          </cell>
          <cell r="SP17">
            <v>876551.33936043945</v>
          </cell>
          <cell r="SQ17">
            <v>876551.33936043945</v>
          </cell>
          <cell r="SR17">
            <v>915729.65492089093</v>
          </cell>
        </row>
        <row r="18">
          <cell r="SI18">
            <v>1027023.4829103826</v>
          </cell>
          <cell r="SJ18">
            <v>879847.30667541944</v>
          </cell>
          <cell r="SK18">
            <v>856579.12168547988</v>
          </cell>
          <cell r="SL18">
            <v>923020.01679883897</v>
          </cell>
          <cell r="SM18">
            <v>717489.78254177177</v>
          </cell>
          <cell r="SN18">
            <v>600632.39927906147</v>
          </cell>
          <cell r="SO18">
            <v>304665.19758383284</v>
          </cell>
          <cell r="SP18">
            <v>879847.30667541944</v>
          </cell>
          <cell r="SQ18">
            <v>879847.30667541944</v>
          </cell>
          <cell r="SR18">
            <v>922164.02963823895</v>
          </cell>
        </row>
        <row r="19">
          <cell r="SI19">
            <v>1039403.8184701896</v>
          </cell>
          <cell r="SJ19">
            <v>881414.74109919043</v>
          </cell>
          <cell r="SK19">
            <v>853057.23202234122</v>
          </cell>
          <cell r="SL19">
            <v>927582.6172970247</v>
          </cell>
          <cell r="SM19">
            <v>709941.71759082971</v>
          </cell>
          <cell r="SN19">
            <v>584813.38625359454</v>
          </cell>
          <cell r="SO19">
            <v>273338.03969779715</v>
          </cell>
          <cell r="SP19">
            <v>881414.74109919043</v>
          </cell>
          <cell r="SQ19">
            <v>881414.74109919043</v>
          </cell>
          <cell r="SR19">
            <v>926723.24424487003</v>
          </cell>
        </row>
        <row r="20">
          <cell r="SI20">
            <v>1051669.6091577627</v>
          </cell>
          <cell r="SJ20">
            <v>883086.68957567797</v>
          </cell>
          <cell r="SK20">
            <v>849598.34172280366</v>
          </cell>
          <cell r="SL20">
            <v>932169.88407951919</v>
          </cell>
          <cell r="SM20">
            <v>702472.62912413781</v>
          </cell>
          <cell r="SN20">
            <v>568955.14822789957</v>
          </cell>
          <cell r="SO20">
            <v>242013.13127769393</v>
          </cell>
          <cell r="SP20">
            <v>883086.68957567797</v>
          </cell>
          <cell r="SQ20">
            <v>883086.68957567797</v>
          </cell>
          <cell r="SR20">
            <v>931315.48531274928</v>
          </cell>
        </row>
        <row r="21">
          <cell r="SI21">
            <v>1064572.8958996832</v>
          </cell>
          <cell r="SJ21">
            <v>886769.63755115564</v>
          </cell>
          <cell r="SK21">
            <v>848338.57168602408</v>
          </cell>
          <cell r="SL21">
            <v>938822.68240744947</v>
          </cell>
          <cell r="SM21">
            <v>695821.42304479319</v>
          </cell>
          <cell r="SN21">
            <v>553452.04096686374</v>
          </cell>
          <cell r="SO21">
            <v>210848.10050366694</v>
          </cell>
          <cell r="SP21">
            <v>886769.63755115564</v>
          </cell>
          <cell r="SQ21">
            <v>886769.63755115564</v>
          </cell>
          <cell r="SR21">
            <v>937979.14411024516</v>
          </cell>
        </row>
        <row r="22">
          <cell r="SI22">
            <v>1078278.0580698526</v>
          </cell>
          <cell r="SJ22">
            <v>890573.27023018338</v>
          </cell>
          <cell r="SK22">
            <v>847196.48597760254</v>
          </cell>
          <cell r="SL22">
            <v>945569.6927968408</v>
          </cell>
          <cell r="SM22">
            <v>689628.61686469766</v>
          </cell>
          <cell r="SN22">
            <v>538345.63740330783</v>
          </cell>
          <cell r="SO22">
            <v>179809.11653784278</v>
          </cell>
          <cell r="SP22">
            <v>890573.27023018338</v>
          </cell>
          <cell r="SQ22">
            <v>890573.27023018338</v>
          </cell>
          <cell r="SR22">
            <v>944743.59099065431</v>
          </cell>
        </row>
        <row r="23">
          <cell r="SI23">
            <v>1090721.4925290123</v>
          </cell>
          <cell r="SJ23">
            <v>893287.66529704363</v>
          </cell>
          <cell r="SK23">
            <v>845093.8957032531</v>
          </cell>
          <cell r="SL23">
            <v>951126.3876486402</v>
          </cell>
          <cell r="SM23">
            <v>682629.68425679917</v>
          </cell>
          <cell r="SN23">
            <v>522603.11469546938</v>
          </cell>
          <cell r="SO23">
            <v>148541.08759622579</v>
          </cell>
          <cell r="SP23">
            <v>893287.66529704363</v>
          </cell>
          <cell r="SQ23">
            <v>893287.66529704363</v>
          </cell>
          <cell r="SR23">
            <v>950325.99064416764</v>
          </cell>
        </row>
        <row r="24">
          <cell r="SI24">
            <v>1103252.1270338867</v>
          </cell>
          <cell r="SJ24">
            <v>895561.63030626776</v>
          </cell>
          <cell r="SK24">
            <v>842596.02863922855</v>
          </cell>
          <cell r="SL24">
            <v>956177.33798112627</v>
          </cell>
          <cell r="SM24">
            <v>675646.04364003427</v>
          </cell>
          <cell r="SN24">
            <v>506917.14867643005</v>
          </cell>
          <cell r="SO24">
            <v>117301.80793069041</v>
          </cell>
          <cell r="SP24">
            <v>895561.63030626776</v>
          </cell>
          <cell r="SQ24">
            <v>895561.63030626776</v>
          </cell>
          <cell r="SR24">
            <v>955410.78236705996</v>
          </cell>
        </row>
        <row r="25">
          <cell r="SI25">
            <v>1116509.3136898491</v>
          </cell>
          <cell r="SJ25">
            <v>898375.79655475821</v>
          </cell>
          <cell r="SK25">
            <v>840694.19412242924</v>
          </cell>
          <cell r="SL25">
            <v>961770.27667058283</v>
          </cell>
          <cell r="SM25">
            <v>669115.53999357694</v>
          </cell>
          <cell r="SN25">
            <v>491561.15551478451</v>
          </cell>
          <cell r="SO25">
            <v>93938.217883132413</v>
          </cell>
          <cell r="SP25">
            <v>898375.79655475821</v>
          </cell>
          <cell r="SQ25">
            <v>898375.79655475821</v>
          </cell>
          <cell r="SR25">
            <v>961043.76528401906</v>
          </cell>
        </row>
        <row r="26">
          <cell r="SI26">
            <v>1127749.0332768196</v>
          </cell>
          <cell r="SJ26">
            <v>899431.91743616667</v>
          </cell>
          <cell r="SK26">
            <v>837230.50789255649</v>
          </cell>
          <cell r="SL26">
            <v>965441.50100597017</v>
          </cell>
          <cell r="SM26">
            <v>661362.21828824235</v>
          </cell>
          <cell r="SN26">
            <v>475342.68807678984</v>
          </cell>
          <cell r="SO26">
            <v>93813.742938086099</v>
          </cell>
          <cell r="SP26">
            <v>899431.91743616667</v>
          </cell>
          <cell r="SQ26">
            <v>899431.91743616667</v>
          </cell>
          <cell r="SR26">
            <v>964762.96664396895</v>
          </cell>
        </row>
        <row r="27">
          <cell r="SI27">
            <v>1140450.4335625335</v>
          </cell>
          <cell r="SJ27">
            <v>901976.87202480261</v>
          </cell>
          <cell r="SK27">
            <v>835299.39477015473</v>
          </cell>
          <cell r="SL27">
            <v>970673.17953451583</v>
          </cell>
          <cell r="SM27">
            <v>654885.74044522154</v>
          </cell>
          <cell r="SN27">
            <v>459768.23727864097</v>
          </cell>
          <cell r="SO27">
            <v>46906.87146904305</v>
          </cell>
          <cell r="SP27">
            <v>901976.87202480261</v>
          </cell>
          <cell r="SQ27">
            <v>901976.87202480261</v>
          </cell>
          <cell r="SR27">
            <v>970047.54679834703</v>
          </cell>
        </row>
        <row r="28">
          <cell r="SI28">
            <v>1153539.626585599</v>
          </cell>
          <cell r="SJ28">
            <v>904124.87236969813</v>
          </cell>
          <cell r="SK28">
            <v>832965.30641217041</v>
          </cell>
          <cell r="SL28">
            <v>975450.624638582</v>
          </cell>
          <cell r="SM28">
            <v>648565.74480388407</v>
          </cell>
          <cell r="SN28">
            <v>444346.17527677154</v>
          </cell>
          <cell r="SO28">
            <v>23453.435734521525</v>
          </cell>
          <cell r="SP28">
            <v>904124.87236969813</v>
          </cell>
          <cell r="SQ28">
            <v>904124.87236969813</v>
          </cell>
          <cell r="SR28">
            <v>974885.29323061672</v>
          </cell>
        </row>
        <row r="29">
          <cell r="SI29">
            <v>1166066.4128347454</v>
          </cell>
          <cell r="SJ29">
            <v>906016.78679690801</v>
          </cell>
          <cell r="SK29">
            <v>830291.42557864077</v>
          </cell>
          <cell r="SL29">
            <v>979547.44225834194</v>
          </cell>
          <cell r="SM29">
            <v>642214.62938020425</v>
          </cell>
          <cell r="SN29">
            <v>428707.57264669501</v>
          </cell>
          <cell r="SO29">
            <v>11726.717867260762</v>
          </cell>
          <cell r="SP29">
            <v>906016.78679690801</v>
          </cell>
          <cell r="SQ29">
            <v>906016.78679690801</v>
          </cell>
          <cell r="SR29">
            <v>979049.01435099053</v>
          </cell>
        </row>
      </sheetData>
      <sheetData sheetId="7">
        <row r="2">
          <cell r="SI2">
            <v>276969.89747358562</v>
          </cell>
          <cell r="SJ2">
            <v>269040.4315388407</v>
          </cell>
          <cell r="SK2">
            <v>268009.60096732387</v>
          </cell>
          <cell r="SL2">
            <v>269040.4315388407</v>
          </cell>
          <cell r="SM2">
            <v>269040.4315388407</v>
          </cell>
          <cell r="SN2">
            <v>276969.89747358562</v>
          </cell>
          <cell r="SO2">
            <v>266801.13971715624</v>
          </cell>
          <cell r="SP2">
            <v>269040.4315388407</v>
          </cell>
          <cell r="SQ2">
            <v>269040.4315388407</v>
          </cell>
          <cell r="SR2">
            <v>269040.4315388407</v>
          </cell>
        </row>
        <row r="3">
          <cell r="SI3">
            <v>278200.13645048835</v>
          </cell>
          <cell r="SJ3">
            <v>265518.65036514628</v>
          </cell>
          <cell r="SK3">
            <v>263870.05717405182</v>
          </cell>
          <cell r="SL3">
            <v>265518.65036514628</v>
          </cell>
          <cell r="SM3">
            <v>265518.65036514628</v>
          </cell>
          <cell r="SN3">
            <v>278200.13645048835</v>
          </cell>
          <cell r="SO3">
            <v>257910.59155966883</v>
          </cell>
          <cell r="SP3">
            <v>265518.65036514628</v>
          </cell>
          <cell r="SQ3">
            <v>265518.65036514628</v>
          </cell>
          <cell r="SR3">
            <v>265518.65036514628</v>
          </cell>
        </row>
        <row r="4">
          <cell r="SI4">
            <v>279501.92193752597</v>
          </cell>
          <cell r="SJ4">
            <v>261872.2700210358</v>
          </cell>
          <cell r="SK4">
            <v>259693.73485771444</v>
          </cell>
          <cell r="SL4">
            <v>262026.86130139581</v>
          </cell>
          <cell r="SM4">
            <v>259535.97514733081</v>
          </cell>
          <cell r="SN4">
            <v>272393.0972254838</v>
          </cell>
          <cell r="SO4">
            <v>246677.30063951266</v>
          </cell>
          <cell r="SP4">
            <v>261872.2700210358</v>
          </cell>
          <cell r="SQ4">
            <v>261872.2700210358</v>
          </cell>
          <cell r="SR4">
            <v>262026.86130139581</v>
          </cell>
        </row>
        <row r="5">
          <cell r="SI5">
            <v>280859.26550473273</v>
          </cell>
          <cell r="SJ5">
            <v>258244.55458940592</v>
          </cell>
          <cell r="SK5">
            <v>255635.73815643004</v>
          </cell>
          <cell r="SL5">
            <v>258695.67022190802</v>
          </cell>
          <cell r="SM5">
            <v>253717.77514421241</v>
          </cell>
          <cell r="SN5">
            <v>266712.03510833788</v>
          </cell>
          <cell r="SO5">
            <v>235573.22925389171</v>
          </cell>
          <cell r="SP5">
            <v>258244.55458940592</v>
          </cell>
          <cell r="SQ5">
            <v>258244.55458940592</v>
          </cell>
          <cell r="SR5">
            <v>258695.67022190802</v>
          </cell>
        </row>
        <row r="6">
          <cell r="SI6">
            <v>282786.63500683673</v>
          </cell>
          <cell r="SJ6">
            <v>255138.8088124879</v>
          </cell>
          <cell r="SK6">
            <v>252164.11335356889</v>
          </cell>
          <cell r="SL6">
            <v>256021.15648116654</v>
          </cell>
          <cell r="SM6">
            <v>248509.51107800505</v>
          </cell>
          <cell r="SN6">
            <v>261627.21105754678</v>
          </cell>
          <cell r="SO6">
            <v>224994.41854129007</v>
          </cell>
          <cell r="SP6">
            <v>255138.8088124879</v>
          </cell>
          <cell r="SQ6">
            <v>255138.8088124879</v>
          </cell>
          <cell r="SR6">
            <v>256021.15648116654</v>
          </cell>
        </row>
        <row r="7">
          <cell r="SI7">
            <v>283974.77549132443</v>
          </cell>
          <cell r="SJ7">
            <v>251383.48627546564</v>
          </cell>
          <cell r="SK7">
            <v>248120.03022443215</v>
          </cell>
          <cell r="SL7">
            <v>252821.49166643966</v>
          </cell>
          <cell r="SM7">
            <v>242697.55134064035</v>
          </cell>
          <cell r="SN7">
            <v>255864.49618204296</v>
          </cell>
          <cell r="SO7">
            <v>213835.05803608615</v>
          </cell>
          <cell r="SP7">
            <v>251383.48627546564</v>
          </cell>
          <cell r="SQ7">
            <v>251383.48627546564</v>
          </cell>
          <cell r="SR7">
            <v>252821.49166643966</v>
          </cell>
        </row>
        <row r="8">
          <cell r="SI8">
            <v>285776.28927467327</v>
          </cell>
          <cell r="SJ8">
            <v>248169.03846537136</v>
          </cell>
          <cell r="SK8">
            <v>244646.73005089359</v>
          </cell>
          <cell r="SL8">
            <v>250286.94550578183</v>
          </cell>
          <cell r="SM8">
            <v>237424.34809039655</v>
          </cell>
          <cell r="SN8">
            <v>250656.53262508573</v>
          </cell>
          <cell r="SO8">
            <v>203142.86311140266</v>
          </cell>
          <cell r="SP8">
            <v>248169.03846537136</v>
          </cell>
          <cell r="SQ8">
            <v>248169.03846537136</v>
          </cell>
          <cell r="SR8">
            <v>250286.94550578183</v>
          </cell>
        </row>
        <row r="9">
          <cell r="SI9">
            <v>286759.56558711274</v>
          </cell>
          <cell r="SJ9">
            <v>244362.59935334197</v>
          </cell>
          <cell r="SK9">
            <v>240641.62785746908</v>
          </cell>
          <cell r="SL9">
            <v>247266.7160320445</v>
          </cell>
          <cell r="SM9">
            <v>231762.82284263076</v>
          </cell>
          <cell r="SN9">
            <v>244733.7628507617</v>
          </cell>
          <cell r="SO9">
            <v>191881.99293244738</v>
          </cell>
          <cell r="SP9">
            <v>244362.59935334197</v>
          </cell>
          <cell r="SQ9">
            <v>244362.59935334197</v>
          </cell>
          <cell r="SR9">
            <v>247266.7160320445</v>
          </cell>
        </row>
        <row r="10">
          <cell r="SI10">
            <v>288136.63988473732</v>
          </cell>
          <cell r="SJ10">
            <v>241213.10130140357</v>
          </cell>
          <cell r="SK10">
            <v>237185.07142422014</v>
          </cell>
          <cell r="SL10">
            <v>244879.06001879025</v>
          </cell>
          <cell r="SM10">
            <v>226830.36540992049</v>
          </cell>
          <cell r="SN10">
            <v>239181.010851559</v>
          </cell>
          <cell r="SO10">
            <v>180929.55902626624</v>
          </cell>
          <cell r="SP10">
            <v>241213.10130140357</v>
          </cell>
          <cell r="SQ10">
            <v>241213.10130140357</v>
          </cell>
          <cell r="SR10">
            <v>244879.06001879025</v>
          </cell>
        </row>
        <row r="11">
          <cell r="SI11">
            <v>289732.52171669895</v>
          </cell>
          <cell r="SJ11">
            <v>238603.73843070742</v>
          </cell>
          <cell r="SK11">
            <v>234177.66665585001</v>
          </cell>
          <cell r="SL11">
            <v>243012.3102598603</v>
          </cell>
          <cell r="SM11">
            <v>222481.02960239316</v>
          </cell>
          <cell r="SN11">
            <v>233830.90002175997</v>
          </cell>
          <cell r="SO11">
            <v>170133.87592626308</v>
          </cell>
          <cell r="SP11">
            <v>238603.73843070742</v>
          </cell>
          <cell r="SQ11">
            <v>238603.73843070742</v>
          </cell>
          <cell r="SR11">
            <v>243012.3102598603</v>
          </cell>
        </row>
        <row r="12">
          <cell r="SI12">
            <v>291414.91647629096</v>
          </cell>
          <cell r="SJ12">
            <v>236454.5674371543</v>
          </cell>
          <cell r="SK12">
            <v>231527.96743139304</v>
          </cell>
          <cell r="SL12">
            <v>241590.707662459</v>
          </cell>
          <cell r="SM12">
            <v>218635.8750192505</v>
          </cell>
          <cell r="SN12">
            <v>228554.42786658852</v>
          </cell>
          <cell r="SO12">
            <v>159387.49731968562</v>
          </cell>
          <cell r="SP12">
            <v>236454.5674371543</v>
          </cell>
          <cell r="SQ12">
            <v>236454.5674371543</v>
          </cell>
          <cell r="SR12">
            <v>241590.707662459</v>
          </cell>
        </row>
        <row r="13">
          <cell r="SI13">
            <v>292780.60109537764</v>
          </cell>
          <cell r="SJ13">
            <v>234534.3743652768</v>
          </cell>
          <cell r="SK13">
            <v>229031.72888584086</v>
          </cell>
          <cell r="SL13">
            <v>240382.31126998819</v>
          </cell>
          <cell r="SM13">
            <v>214970.80695748556</v>
          </cell>
          <cell r="SN13">
            <v>223030.79962663789</v>
          </cell>
          <cell r="SO13">
            <v>148470.83212426095</v>
          </cell>
          <cell r="SP13">
            <v>234534.3743652768</v>
          </cell>
          <cell r="SQ13">
            <v>234534.3743652768</v>
          </cell>
          <cell r="SR13">
            <v>240382.31126998819</v>
          </cell>
        </row>
        <row r="14">
          <cell r="SI14">
            <v>294059.3557818603</v>
          </cell>
          <cell r="SJ14">
            <v>233093.42180261904</v>
          </cell>
          <cell r="SK14">
            <v>226923.84638229947</v>
          </cell>
          <cell r="SL14">
            <v>239646.13374301748</v>
          </cell>
          <cell r="SM14">
            <v>211801.05875754947</v>
          </cell>
          <cell r="SN14">
            <v>217448.09412824392</v>
          </cell>
          <cell r="SO14">
            <v>137526.5444721299</v>
          </cell>
          <cell r="SP14">
            <v>233093.42180261904</v>
          </cell>
          <cell r="SQ14">
            <v>233093.42180261904</v>
          </cell>
          <cell r="SR14">
            <v>239646.13374301748</v>
          </cell>
        </row>
        <row r="15">
          <cell r="SI15">
            <v>295756.35905850504</v>
          </cell>
          <cell r="SJ15">
            <v>232045.87119946314</v>
          </cell>
          <cell r="SK15">
            <v>225072.79540482798</v>
          </cell>
          <cell r="SL15">
            <v>239298.67742944747</v>
          </cell>
          <cell r="SM15">
            <v>209191.79649059629</v>
          </cell>
          <cell r="SN15">
            <v>212197.03878221245</v>
          </cell>
          <cell r="SO15">
            <v>126793.28640015346</v>
          </cell>
          <cell r="SP15">
            <v>232045.87119946314</v>
          </cell>
          <cell r="SQ15">
            <v>232045.87119946314</v>
          </cell>
          <cell r="SR15">
            <v>239298.67742944747</v>
          </cell>
        </row>
        <row r="16">
          <cell r="SI16">
            <v>297247.62112048117</v>
          </cell>
          <cell r="SJ16">
            <v>230858.51138792196</v>
          </cell>
          <cell r="SK16">
            <v>222983.48414746873</v>
          </cell>
          <cell r="SL16">
            <v>238790.94774986364</v>
          </cell>
          <cell r="SM16">
            <v>206606.80953773987</v>
          </cell>
          <cell r="SN16">
            <v>206819.58805978086</v>
          </cell>
          <cell r="SO16">
            <v>115980.61593921322</v>
          </cell>
          <cell r="SP16">
            <v>230858.51138792196</v>
          </cell>
          <cell r="SQ16">
            <v>230858.51138792196</v>
          </cell>
          <cell r="SR16">
            <v>238790.94774986364</v>
          </cell>
        </row>
        <row r="17">
          <cell r="SI17">
            <v>298407.80746558285</v>
          </cell>
          <cell r="SJ17">
            <v>229408.64364816318</v>
          </cell>
          <cell r="SK17">
            <v>220562.99350958518</v>
          </cell>
          <cell r="SL17">
            <v>237994.92275000463</v>
          </cell>
          <cell r="SM17">
            <v>203857.40258540752</v>
          </cell>
          <cell r="SN17">
            <v>201242.19177211498</v>
          </cell>
          <cell r="SO17">
            <v>105064.73060607836</v>
          </cell>
          <cell r="SP17">
            <v>229408.64364816318</v>
          </cell>
          <cell r="SQ17">
            <v>229408.64364816318</v>
          </cell>
          <cell r="SR17">
            <v>237994.92275000463</v>
          </cell>
        </row>
        <row r="18">
          <cell r="SI18">
            <v>300229.0893887463</v>
          </cell>
          <cell r="SJ18">
            <v>228789.77771444322</v>
          </cell>
          <cell r="SK18">
            <v>218939.94086686341</v>
          </cell>
          <cell r="SL18">
            <v>238052.09418689166</v>
          </cell>
          <cell r="SM18">
            <v>201708.44794611051</v>
          </cell>
          <cell r="SN18">
            <v>196135.57926325736</v>
          </cell>
          <cell r="SO18">
            <v>94388.928322892578</v>
          </cell>
          <cell r="SP18">
            <v>228789.77771444322</v>
          </cell>
          <cell r="SQ18">
            <v>228789.77771444322</v>
          </cell>
          <cell r="SR18">
            <v>238052.09418689166</v>
          </cell>
        </row>
        <row r="19">
          <cell r="SI19">
            <v>301549.43664822419</v>
          </cell>
          <cell r="SJ19">
            <v>227885.39301746761</v>
          </cell>
          <cell r="SK19">
            <v>217026.81846477065</v>
          </cell>
          <cell r="SL19">
            <v>237799.03246037793</v>
          </cell>
          <cell r="SM19">
            <v>199312.23763132881</v>
          </cell>
          <cell r="SN19">
            <v>190683.64359514505</v>
          </cell>
          <cell r="SO19">
            <v>83541.05688791821</v>
          </cell>
          <cell r="SP19">
            <v>227885.39301746761</v>
          </cell>
          <cell r="SQ19">
            <v>227885.39301746761</v>
          </cell>
          <cell r="SR19">
            <v>237799.03246037793</v>
          </cell>
        </row>
        <row r="20">
          <cell r="SI20">
            <v>302854.40512458782</v>
          </cell>
          <cell r="SJ20">
            <v>227294.01128568186</v>
          </cell>
          <cell r="SK20">
            <v>215455.21911196513</v>
          </cell>
          <cell r="SL20">
            <v>237861.94011468807</v>
          </cell>
          <cell r="SM20">
            <v>197171.68971267249</v>
          </cell>
          <cell r="SN20">
            <v>185219.47390156359</v>
          </cell>
          <cell r="SO20">
            <v>72695.221070768253</v>
          </cell>
          <cell r="SP20">
            <v>227294.01128568186</v>
          </cell>
          <cell r="SQ20">
            <v>227294.01128568186</v>
          </cell>
          <cell r="SR20">
            <v>237861.94011468807</v>
          </cell>
        </row>
        <row r="21">
          <cell r="SI21">
            <v>304349.23538994335</v>
          </cell>
          <cell r="SJ21">
            <v>227166.39085974926</v>
          </cell>
          <cell r="SK21">
            <v>214385.78005054704</v>
          </cell>
          <cell r="SL21">
            <v>238403.10351978894</v>
          </cell>
          <cell r="SM21">
            <v>195427.54240380731</v>
          </cell>
          <cell r="SN21">
            <v>179868.8597160014</v>
          </cell>
          <cell r="SO21">
            <v>61895.993442973471</v>
          </cell>
          <cell r="SP21">
            <v>227166.39085974926</v>
          </cell>
          <cell r="SQ21">
            <v>227166.39085974926</v>
          </cell>
          <cell r="SR21">
            <v>238403.10351978894</v>
          </cell>
        </row>
        <row r="22">
          <cell r="SI22">
            <v>306074.50968745438</v>
          </cell>
          <cell r="SJ22">
            <v>227356.08670991426</v>
          </cell>
          <cell r="SK22">
            <v>213646.61312465981</v>
          </cell>
          <cell r="SL22">
            <v>239272.58199647098</v>
          </cell>
          <cell r="SM22">
            <v>193922.08864777861</v>
          </cell>
          <cell r="SN22">
            <v>174644.28016652132</v>
          </cell>
          <cell r="SO22">
            <v>51129.869489699406</v>
          </cell>
          <cell r="SP22">
            <v>227356.08670991426</v>
          </cell>
          <cell r="SQ22">
            <v>227356.08670991426</v>
          </cell>
          <cell r="SR22">
            <v>239272.58199647098</v>
          </cell>
        </row>
        <row r="23">
          <cell r="SI23">
            <v>307472.43442871457</v>
          </cell>
          <cell r="SJ23">
            <v>227173.41048313081</v>
          </cell>
          <cell r="SK23">
            <v>212544.67539330025</v>
          </cell>
          <cell r="SL23">
            <v>239742.67566428438</v>
          </cell>
          <cell r="SM23">
            <v>192167.92694693222</v>
          </cell>
          <cell r="SN23">
            <v>169217.18537918385</v>
          </cell>
          <cell r="SO23">
            <v>40300.947071875984</v>
          </cell>
          <cell r="SP23">
            <v>227173.41048313081</v>
          </cell>
          <cell r="SQ23">
            <v>227173.41048313081</v>
          </cell>
          <cell r="SR23">
            <v>239742.67566428438</v>
          </cell>
        </row>
        <row r="24">
          <cell r="SI24">
            <v>308904.89139443031</v>
          </cell>
          <cell r="SJ24">
            <v>227236.4859929868</v>
          </cell>
          <cell r="SK24">
            <v>211716.44037830492</v>
          </cell>
          <cell r="SL24">
            <v>240466.18227156484</v>
          </cell>
          <cell r="SM24">
            <v>190638.46156589876</v>
          </cell>
          <cell r="SN24">
            <v>163808.22592049144</v>
          </cell>
          <cell r="SO24">
            <v>29480.633639195767</v>
          </cell>
          <cell r="SP24">
            <v>227236.4859929868</v>
          </cell>
          <cell r="SQ24">
            <v>227236.4859929868</v>
          </cell>
          <cell r="SR24">
            <v>240466.18227156484</v>
          </cell>
        </row>
        <row r="25">
          <cell r="SI25">
            <v>310533.92027982627</v>
          </cell>
          <cell r="SJ25">
            <v>227376.19829267828</v>
          </cell>
          <cell r="SK25">
            <v>210955.53794141277</v>
          </cell>
          <cell r="SL25">
            <v>241266.58809280055</v>
          </cell>
          <cell r="SM25">
            <v>189167.48889447431</v>
          </cell>
          <cell r="SN25">
            <v>158503.54884972307</v>
          </cell>
          <cell r="SO25">
            <v>21379.581433593121</v>
          </cell>
          <cell r="SP25">
            <v>227376.19829267828</v>
          </cell>
          <cell r="SQ25">
            <v>227376.19829267828</v>
          </cell>
          <cell r="SR25">
            <v>241266.58809280055</v>
          </cell>
        </row>
        <row r="26">
          <cell r="SI26">
            <v>311647.3740155861</v>
          </cell>
          <cell r="SJ26">
            <v>227263.90574574034</v>
          </cell>
          <cell r="SK26">
            <v>209989.74499289854</v>
          </cell>
          <cell r="SL26">
            <v>241790.51240675815</v>
          </cell>
          <cell r="SM26">
            <v>187532.12289825836</v>
          </cell>
          <cell r="SN26">
            <v>152927.10329016531</v>
          </cell>
          <cell r="SO26">
            <v>21354.920774186026</v>
          </cell>
          <cell r="SP26">
            <v>227263.90574574034</v>
          </cell>
          <cell r="SQ26">
            <v>227263.90574574034</v>
          </cell>
          <cell r="SR26">
            <v>241790.51240675815</v>
          </cell>
        </row>
        <row r="27">
          <cell r="SI27">
            <v>313147.88952345331</v>
          </cell>
          <cell r="SJ27">
            <v>227396.42399175168</v>
          </cell>
          <cell r="SK27">
            <v>209251.23331640195</v>
          </cell>
          <cell r="SL27">
            <v>242571.13609090407</v>
          </cell>
          <cell r="SM27">
            <v>186069.99115681881</v>
          </cell>
          <cell r="SN27">
            <v>147553.86503633653</v>
          </cell>
          <cell r="SO27">
            <v>21354.920774186026</v>
          </cell>
          <cell r="SP27">
            <v>227396.42399175168</v>
          </cell>
          <cell r="SQ27">
            <v>227396.42399175168</v>
          </cell>
          <cell r="SR27">
            <v>242571.13609090407</v>
          </cell>
        </row>
        <row r="28">
          <cell r="SI28">
            <v>314757.117356923</v>
          </cell>
          <cell r="SJ28">
            <v>227696.21409211584</v>
          </cell>
          <cell r="SK28">
            <v>208686.32545179437</v>
          </cell>
          <cell r="SL28">
            <v>243526.65410871961</v>
          </cell>
          <cell r="SM28">
            <v>184754.04876862851</v>
          </cell>
          <cell r="SN28">
            <v>142228.25835124424</v>
          </cell>
          <cell r="SO28">
            <v>21361.368005403569</v>
          </cell>
          <cell r="SP28">
            <v>227696.21409211584</v>
          </cell>
          <cell r="SQ28">
            <v>227696.21409211584</v>
          </cell>
          <cell r="SR28">
            <v>243526.65410871961</v>
          </cell>
        </row>
        <row r="29">
          <cell r="SI29">
            <v>316229.63058844768</v>
          </cell>
          <cell r="SJ29">
            <v>227953.31887831149</v>
          </cell>
          <cell r="SK29">
            <v>208028.12571185332</v>
          </cell>
          <cell r="SL29">
            <v>244321.2712545486</v>
          </cell>
          <cell r="SM29">
            <v>183407.01557696864</v>
          </cell>
          <cell r="SN29">
            <v>136834.86856506794</v>
          </cell>
          <cell r="SO29">
            <v>21358.789112916551</v>
          </cell>
          <cell r="SP29">
            <v>227953.31887831149</v>
          </cell>
          <cell r="SQ29">
            <v>227953.31887831149</v>
          </cell>
          <cell r="SR29">
            <v>244321.2712545486</v>
          </cell>
        </row>
      </sheetData>
      <sheetData sheetId="8"/>
      <sheetData sheetId="9">
        <row r="2">
          <cell r="TM2">
            <v>1008708.0703089478</v>
          </cell>
          <cell r="TN2">
            <v>1008708.0703089477</v>
          </cell>
          <cell r="TO2">
            <v>1008708.0703089477</v>
          </cell>
          <cell r="TP2">
            <v>1008708.0703089477</v>
          </cell>
          <cell r="TQ2">
            <v>1008708.0703089477</v>
          </cell>
          <cell r="TR2">
            <v>1008708.0703089477</v>
          </cell>
          <cell r="TS2">
            <v>1008708.0703089478</v>
          </cell>
          <cell r="TT2">
            <v>1008708.0703089477</v>
          </cell>
          <cell r="TU2">
            <v>1008708.0703089477</v>
          </cell>
          <cell r="TV2">
            <v>1008708.0703089477</v>
          </cell>
        </row>
        <row r="3">
          <cell r="TM3">
            <v>1018190.9885531166</v>
          </cell>
          <cell r="TN3">
            <v>1010720.2767828677</v>
          </cell>
          <cell r="TO3">
            <v>1008245.7947846351</v>
          </cell>
          <cell r="TP3">
            <v>1010720.2767828677</v>
          </cell>
          <cell r="TQ3">
            <v>1010720.2767828677</v>
          </cell>
          <cell r="TR3">
            <v>1017803.517732167</v>
          </cell>
          <cell r="TS3">
            <v>981705.49056650954</v>
          </cell>
          <cell r="TT3">
            <v>1010720.2767828677</v>
          </cell>
          <cell r="TU3">
            <v>1010720.2767828677</v>
          </cell>
          <cell r="TV3">
            <v>1010714.5715096481</v>
          </cell>
        </row>
        <row r="4">
          <cell r="TM4">
            <v>1027863.9112472036</v>
          </cell>
          <cell r="TN4">
            <v>1011573.5504364014</v>
          </cell>
          <cell r="TO4">
            <v>1007021.749620897</v>
          </cell>
          <cell r="TP4">
            <v>1012252.7567380487</v>
          </cell>
          <cell r="TQ4">
            <v>997831.57132166217</v>
          </cell>
          <cell r="TR4">
            <v>996119.36699581798</v>
          </cell>
          <cell r="TS4">
            <v>939633.50867869705</v>
          </cell>
          <cell r="TT4">
            <v>1011573.5504364014</v>
          </cell>
          <cell r="TU4">
            <v>1011573.5504364014</v>
          </cell>
          <cell r="TV4">
            <v>1012238.8784285341</v>
          </cell>
        </row>
        <row r="5">
          <cell r="TM5">
            <v>1038545.3429191861</v>
          </cell>
          <cell r="TN5">
            <v>1012969.5747473652</v>
          </cell>
          <cell r="TO5">
            <v>1006723.6229238332</v>
          </cell>
          <cell r="TP5">
            <v>1015004.4670213332</v>
          </cell>
          <cell r="TQ5">
            <v>985146.33710180561</v>
          </cell>
          <cell r="TR5">
            <v>975154.95670179883</v>
          </cell>
          <cell r="TS5">
            <v>898322.48244358937</v>
          </cell>
          <cell r="TT5">
            <v>1012969.5747473652</v>
          </cell>
          <cell r="TU5">
            <v>1012969.5747473652</v>
          </cell>
          <cell r="TV5">
            <v>1014982.7380258717</v>
          </cell>
        </row>
        <row r="6">
          <cell r="TM6">
            <v>1051100.7819269882</v>
          </cell>
          <cell r="TN6">
            <v>1015405.6990882359</v>
          </cell>
          <cell r="TO6">
            <v>1007788.5174204167</v>
          </cell>
          <cell r="TP6">
            <v>1019437.1607266581</v>
          </cell>
          <cell r="TQ6">
            <v>974156.17154469609</v>
          </cell>
          <cell r="TR6">
            <v>956331.46975731989</v>
          </cell>
          <cell r="TS6">
            <v>858986.09597734234</v>
          </cell>
          <cell r="TT6">
            <v>1015405.6990882359</v>
          </cell>
          <cell r="TU6">
            <v>1015405.6990882359</v>
          </cell>
          <cell r="TV6">
            <v>1019407.7122900559</v>
          </cell>
        </row>
        <row r="7">
          <cell r="TM7">
            <v>1060814.7781622466</v>
          </cell>
          <cell r="TN7">
            <v>1014509.7112314807</v>
          </cell>
          <cell r="TO7">
            <v>1005753.0010533235</v>
          </cell>
          <cell r="TP7">
            <v>1021135.0141727343</v>
          </cell>
          <cell r="TQ7">
            <v>960593.63360221917</v>
          </cell>
          <cell r="TR7">
            <v>935425.55913685949</v>
          </cell>
          <cell r="TS7">
            <v>817824.98861570982</v>
          </cell>
          <cell r="TT7">
            <v>1014509.7112314807</v>
          </cell>
          <cell r="TU7">
            <v>1014509.7112314807</v>
          </cell>
          <cell r="TV7">
            <v>1021098.0953267122</v>
          </cell>
        </row>
        <row r="8">
          <cell r="TM8">
            <v>1072523.6442844223</v>
          </cell>
          <cell r="TN8">
            <v>1014263.2608440844</v>
          </cell>
          <cell r="TO8">
            <v>1004649.1095536912</v>
          </cell>
          <cell r="TP8">
            <v>1024078.0354441877</v>
          </cell>
          <cell r="TQ8">
            <v>948250.83547976962</v>
          </cell>
          <cell r="TR8">
            <v>916143.83747719915</v>
          </cell>
          <cell r="TS8">
            <v>778068.4132435153</v>
          </cell>
          <cell r="TT8">
            <v>1014263.2608440844</v>
          </cell>
          <cell r="TU8">
            <v>1014263.2608440844</v>
          </cell>
          <cell r="TV8">
            <v>1024034.0828779481</v>
          </cell>
        </row>
        <row r="9">
          <cell r="TM9">
            <v>1081316.4839979326</v>
          </cell>
          <cell r="TN9">
            <v>1010662.12623655</v>
          </cell>
          <cell r="TO9">
            <v>1000299.0028283291</v>
          </cell>
          <cell r="TP9">
            <v>1024196.8892965204</v>
          </cell>
          <cell r="TQ9">
            <v>933867.21605889488</v>
          </cell>
          <cell r="TR9">
            <v>894695.044198405</v>
          </cell>
          <cell r="TS9">
            <v>736559.78861945262</v>
          </cell>
          <cell r="TT9">
            <v>1010662.12623655</v>
          </cell>
          <cell r="TU9">
            <v>1010662.12623655</v>
          </cell>
          <cell r="TV9">
            <v>1024146.5250228693</v>
          </cell>
        </row>
        <row r="10">
          <cell r="TM10">
            <v>1091507.0816769446</v>
          </cell>
          <cell r="TN10">
            <v>1008449.8859737383</v>
          </cell>
          <cell r="TO10">
            <v>996772.6169370003</v>
          </cell>
          <cell r="TP10">
            <v>1025625.0015812692</v>
          </cell>
          <cell r="TQ10">
            <v>921303.84145285084</v>
          </cell>
          <cell r="TR10">
            <v>874597.98387180991</v>
          </cell>
          <cell r="TS10">
            <v>696229.55615157681</v>
          </cell>
          <cell r="TT10">
            <v>1008449.8859737383</v>
          </cell>
          <cell r="TU10">
            <v>1008449.8859737383</v>
          </cell>
          <cell r="TV10">
            <v>1025568.4713047382</v>
          </cell>
        </row>
        <row r="11">
          <cell r="TM11">
            <v>1102272.6376432604</v>
          </cell>
          <cell r="TN11">
            <v>1006224.115179092</v>
          </cell>
          <cell r="TO11">
            <v>992482.52390025021</v>
          </cell>
          <cell r="TP11">
            <v>1026908.9783966014</v>
          </cell>
          <cell r="TQ11">
            <v>910032.79945341847</v>
          </cell>
          <cell r="TR11">
            <v>855453.49189349567</v>
          </cell>
          <cell r="TS11">
            <v>656690.80778657272</v>
          </cell>
          <cell r="TT11">
            <v>1006224.115179092</v>
          </cell>
          <cell r="TU11">
            <v>1006224.115179092</v>
          </cell>
          <cell r="TV11">
            <v>1026846.3791583617</v>
          </cell>
        </row>
        <row r="12">
          <cell r="TM12">
            <v>1112746.0192551964</v>
          </cell>
          <cell r="TN12">
            <v>1002985.7012265594</v>
          </cell>
          <cell r="TO12">
            <v>986611.70977074839</v>
          </cell>
          <cell r="TP12">
            <v>1027037.040220743</v>
          </cell>
          <cell r="TQ12">
            <v>899123.30841828242</v>
          </cell>
          <cell r="TR12">
            <v>836241.72371794982</v>
          </cell>
          <cell r="TS12">
            <v>617040.40795270563</v>
          </cell>
          <cell r="TT12">
            <v>1002985.7012265594</v>
          </cell>
          <cell r="TU12">
            <v>1002985.7012265594</v>
          </cell>
          <cell r="TV12">
            <v>1026968.8252008461</v>
          </cell>
        </row>
        <row r="13">
          <cell r="TM13">
            <v>1121628.8899807509</v>
          </cell>
          <cell r="TN13">
            <v>999860.35830620618</v>
          </cell>
          <cell r="TO13">
            <v>980346.31487640052</v>
          </cell>
          <cell r="TP13">
            <v>1027194.2592752227</v>
          </cell>
          <cell r="TQ13">
            <v>888395.7334683045</v>
          </cell>
          <cell r="TR13">
            <v>816376.91178756359</v>
          </cell>
          <cell r="TS13">
            <v>576950.41474254522</v>
          </cell>
          <cell r="TT13">
            <v>999860.35830620618</v>
          </cell>
          <cell r="TU13">
            <v>999860.35830620618</v>
          </cell>
          <cell r="TV13">
            <v>1027121.1290905637</v>
          </cell>
        </row>
        <row r="14">
          <cell r="TM14">
            <v>1130124.402974413</v>
          </cell>
          <cell r="TN14">
            <v>996638.06823423295</v>
          </cell>
          <cell r="TO14">
            <v>973268.56394593883</v>
          </cell>
          <cell r="TP14">
            <v>1027177.2642270034</v>
          </cell>
          <cell r="TQ14">
            <v>878017.64558097662</v>
          </cell>
          <cell r="TR14">
            <v>796319.84648904949</v>
          </cell>
          <cell r="TS14">
            <v>536764.50441546447</v>
          </cell>
          <cell r="TT14">
            <v>996638.06823423295</v>
          </cell>
          <cell r="TU14">
            <v>996638.06823423295</v>
          </cell>
          <cell r="TV14">
            <v>1027100.0000618986</v>
          </cell>
        </row>
        <row r="15">
          <cell r="TM15">
            <v>1140103.6255616422</v>
          </cell>
          <cell r="TN15">
            <v>993714.31035103544</v>
          </cell>
          <cell r="TO15">
            <v>965630.2850231122</v>
          </cell>
          <cell r="TP15">
            <v>1027370.9294583885</v>
          </cell>
          <cell r="TQ15">
            <v>869187.57774785417</v>
          </cell>
          <cell r="TR15">
            <v>777604.82701327757</v>
          </cell>
          <cell r="TS15">
            <v>497498.49309153849</v>
          </cell>
          <cell r="TT15">
            <v>993714.31035103544</v>
          </cell>
          <cell r="TU15">
            <v>993714.31035103544</v>
          </cell>
          <cell r="TV15">
            <v>1027290.1088307735</v>
          </cell>
        </row>
        <row r="16">
          <cell r="TM16">
            <v>1149011.2680296244</v>
          </cell>
          <cell r="TN16">
            <v>988942.35099730827</v>
          </cell>
          <cell r="TO16">
            <v>955772.98635621055</v>
          </cell>
          <cell r="TP16">
            <v>1025547.9756280173</v>
          </cell>
          <cell r="TQ16">
            <v>859680.73548355221</v>
          </cell>
          <cell r="TR16">
            <v>758119.1801617645</v>
          </cell>
          <cell r="TS16">
            <v>457665.49763949629</v>
          </cell>
          <cell r="TT16">
            <v>988942.35099730827</v>
          </cell>
          <cell r="TU16">
            <v>988942.35099730827</v>
          </cell>
          <cell r="TV16">
            <v>1025464.3788020018</v>
          </cell>
        </row>
        <row r="17">
          <cell r="TM17">
            <v>1156415.769170675</v>
          </cell>
          <cell r="TN17">
            <v>983749.7383433386</v>
          </cell>
          <cell r="TO17">
            <v>945168.38913573266</v>
          </cell>
          <cell r="TP17">
            <v>1023180.8582340719</v>
          </cell>
          <cell r="TQ17">
            <v>849916.41615066223</v>
          </cell>
          <cell r="TR17">
            <v>738088.86278092279</v>
          </cell>
          <cell r="TS17">
            <v>417566.82636873331</v>
          </cell>
          <cell r="TT17">
            <v>983749.7383433386</v>
          </cell>
          <cell r="TU17">
            <v>983749.7383433386</v>
          </cell>
          <cell r="TV17">
            <v>1023095.2983445452</v>
          </cell>
        </row>
        <row r="18">
          <cell r="TM18">
            <v>1166190.1808318449</v>
          </cell>
          <cell r="TN18">
            <v>980875.92759310594</v>
          </cell>
          <cell r="TO18">
            <v>936631.55044813489</v>
          </cell>
          <cell r="TP18">
            <v>1023151.1611333222</v>
          </cell>
          <cell r="TQ18">
            <v>842176.54073054343</v>
          </cell>
          <cell r="TR18">
            <v>719698.32049094408</v>
          </cell>
          <cell r="TS18">
            <v>378350.60572066548</v>
          </cell>
          <cell r="TT18">
            <v>980875.92759310594</v>
          </cell>
          <cell r="TU18">
            <v>980875.92759310594</v>
          </cell>
          <cell r="TV18">
            <v>1023064.2914742912</v>
          </cell>
        </row>
        <row r="19">
          <cell r="TM19">
            <v>1173967.2768141432</v>
          </cell>
          <cell r="TN19">
            <v>976530.22444102517</v>
          </cell>
          <cell r="TO19">
            <v>926430.28883229056</v>
          </cell>
          <cell r="TP19">
            <v>1021488.7264468248</v>
          </cell>
          <cell r="TQ19">
            <v>833393.26056274981</v>
          </cell>
          <cell r="TR19">
            <v>700239.55960967485</v>
          </cell>
          <cell r="TS19">
            <v>338582.8610437836</v>
          </cell>
          <cell r="TT19">
            <v>976530.22444102517</v>
          </cell>
          <cell r="TU19">
            <v>976530.22444102517</v>
          </cell>
          <cell r="TV19">
            <v>1021401.5131713726</v>
          </cell>
        </row>
        <row r="20">
          <cell r="TM20">
            <v>1181591.1110625812</v>
          </cell>
          <cell r="TN20">
            <v>972242.42110661999</v>
          </cell>
          <cell r="TO20">
            <v>916500.1134541881</v>
          </cell>
          <cell r="TP20">
            <v>1019815.3711938936</v>
          </cell>
          <cell r="TQ20">
            <v>824498.82481187372</v>
          </cell>
          <cell r="TR20">
            <v>680442.14518081455</v>
          </cell>
          <cell r="TS20">
            <v>298601.7618663577</v>
          </cell>
          <cell r="TT20">
            <v>972242.42110661999</v>
          </cell>
          <cell r="TU20">
            <v>972242.42110661999</v>
          </cell>
          <cell r="TV20">
            <v>1019728.6627326432</v>
          </cell>
        </row>
        <row r="21">
          <cell r="TM21">
            <v>1189892.8322329591</v>
          </cell>
          <cell r="TN21">
            <v>971397.4661850736</v>
          </cell>
          <cell r="TO21">
            <v>910285.89894084923</v>
          </cell>
          <cell r="TP21">
            <v>1021709.1628977599</v>
          </cell>
          <cell r="TQ21">
            <v>817108.79200619087</v>
          </cell>
          <cell r="TR21">
            <v>661189.50859375368</v>
          </cell>
          <cell r="TS21">
            <v>258892.67480103482</v>
          </cell>
          <cell r="TT21">
            <v>971397.4661850736</v>
          </cell>
          <cell r="TU21">
            <v>971397.4661850736</v>
          </cell>
          <cell r="TV21">
            <v>1021623.5566087518</v>
          </cell>
        </row>
        <row r="22">
          <cell r="TM22">
            <v>1199026.5283889992</v>
          </cell>
          <cell r="TN22">
            <v>970494.76690699963</v>
          </cell>
          <cell r="TO22">
            <v>903982.78985354805</v>
          </cell>
          <cell r="TP22">
            <v>1023505.7614906717</v>
          </cell>
          <cell r="TQ22">
            <v>810266.90648614906</v>
          </cell>
          <cell r="TR22">
            <v>642375.14169009216</v>
          </cell>
          <cell r="TS22">
            <v>219302.67949299575</v>
          </cell>
          <cell r="TT22">
            <v>970494.76690699963</v>
          </cell>
          <cell r="TU22">
            <v>970494.76690699963</v>
          </cell>
          <cell r="TV22">
            <v>1023421.9247399219</v>
          </cell>
        </row>
        <row r="23">
          <cell r="TM23">
            <v>1206812.7853317969</v>
          </cell>
          <cell r="TN23">
            <v>968483.72368681477</v>
          </cell>
          <cell r="TO23">
            <v>896580.62771610369</v>
          </cell>
          <cell r="TP23">
            <v>1024074.5127030555</v>
          </cell>
          <cell r="TQ23">
            <v>802768.48310205748</v>
          </cell>
          <cell r="TR23">
            <v>622965.69086548756</v>
          </cell>
          <cell r="TS23">
            <v>179521.77573791132</v>
          </cell>
          <cell r="TT23">
            <v>968483.72368681477</v>
          </cell>
          <cell r="TU23">
            <v>968483.72368681477</v>
          </cell>
          <cell r="TV23">
            <v>1023993.284598163</v>
          </cell>
        </row>
        <row r="24">
          <cell r="TM24">
            <v>1214622.1978399795</v>
          </cell>
          <cell r="TN24">
            <v>965422.1421391723</v>
          </cell>
          <cell r="TO24">
            <v>888351.66551042034</v>
          </cell>
          <cell r="TP24">
            <v>1023517.0410391745</v>
          </cell>
          <cell r="TQ24">
            <v>794968.66898800666</v>
          </cell>
          <cell r="TR24">
            <v>603354.47391879524</v>
          </cell>
          <cell r="TS24">
            <v>139609.24949856961</v>
          </cell>
          <cell r="TT24">
            <v>965422.1421391723</v>
          </cell>
          <cell r="TU24">
            <v>965422.1421391723</v>
          </cell>
          <cell r="TV24">
            <v>1023439.247319961</v>
          </cell>
        </row>
        <row r="25">
          <cell r="TM25">
            <v>1223089.5932740062</v>
          </cell>
          <cell r="TN25">
            <v>963014.34604398289</v>
          </cell>
          <cell r="TO25">
            <v>880729.06126582087</v>
          </cell>
          <cell r="TP25">
            <v>1023603.8699038735</v>
          </cell>
          <cell r="TQ25">
            <v>787852.2530238186</v>
          </cell>
          <cell r="TR25">
            <v>584227.56307989592</v>
          </cell>
          <cell r="TS25">
            <v>109247.69478560092</v>
          </cell>
          <cell r="TT25">
            <v>963014.34604398289</v>
          </cell>
          <cell r="TU25">
            <v>963014.34604398289</v>
          </cell>
          <cell r="TV25">
            <v>1023530.140063827</v>
          </cell>
        </row>
        <row r="26">
          <cell r="TM26">
            <v>1229437.1878805831</v>
          </cell>
          <cell r="TN26">
            <v>958918.08633301209</v>
          </cell>
          <cell r="TO26">
            <v>871620.53884073731</v>
          </cell>
          <cell r="TP26">
            <v>1021840.5543241322</v>
          </cell>
          <cell r="TQ26">
            <v>779592.04954507807</v>
          </cell>
          <cell r="TR26">
            <v>564129.66699670244</v>
          </cell>
          <cell r="TS26">
            <v>106985.84290953197</v>
          </cell>
          <cell r="TT26">
            <v>958918.08633301209</v>
          </cell>
          <cell r="TU26">
            <v>958918.08633301209</v>
          </cell>
          <cell r="TV26">
            <v>1021771.6934213279</v>
          </cell>
        </row>
        <row r="27">
          <cell r="TM27">
            <v>1237217.3813300719</v>
          </cell>
          <cell r="TN27">
            <v>956393.79515306349</v>
          </cell>
          <cell r="TO27">
            <v>864012.97350542969</v>
          </cell>
          <cell r="TP27">
            <v>1021707.4483821017</v>
          </cell>
          <cell r="TQ27">
            <v>772807.12502948998</v>
          </cell>
          <cell r="TR27">
            <v>544846.49774637574</v>
          </cell>
          <cell r="TS27">
            <v>92257.046113113116</v>
          </cell>
          <cell r="TT27">
            <v>956393.79515306349</v>
          </cell>
          <cell r="TU27">
            <v>956393.79515306349</v>
          </cell>
          <cell r="TV27">
            <v>1021643.9561885606</v>
          </cell>
        </row>
        <row r="28">
          <cell r="TM28">
            <v>1245281.7186654748</v>
          </cell>
          <cell r="TN28">
            <v>952663.66097207717</v>
          </cell>
          <cell r="TO28">
            <v>855371.95600018871</v>
          </cell>
          <cell r="TP28">
            <v>1020292.2735425469</v>
          </cell>
          <cell r="TQ28">
            <v>765741.70511636185</v>
          </cell>
          <cell r="TR28">
            <v>525503.74567564845</v>
          </cell>
          <cell r="TS28">
            <v>90184.848602408078</v>
          </cell>
          <cell r="TT28">
            <v>952663.66097207717</v>
          </cell>
          <cell r="TU28">
            <v>952663.66097207717</v>
          </cell>
          <cell r="TV28">
            <v>1020234.9010153527</v>
          </cell>
        </row>
        <row r="29">
          <cell r="TM29">
            <v>1252729.3689475965</v>
          </cell>
          <cell r="TN29">
            <v>948672.57568835106</v>
          </cell>
          <cell r="TO29">
            <v>846419.06049731479</v>
          </cell>
          <cell r="TP29">
            <v>1018396.0088622494</v>
          </cell>
          <cell r="TQ29">
            <v>758643.28372614295</v>
          </cell>
          <cell r="TR29">
            <v>506017.86425100523</v>
          </cell>
          <cell r="TS29">
            <v>88097.163183826051</v>
          </cell>
          <cell r="TT29">
            <v>948672.57568835106</v>
          </cell>
          <cell r="TU29">
            <v>948672.57568835106</v>
          </cell>
          <cell r="TV29">
            <v>1018345.4260213424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sheetName val="Annual"/>
      <sheetName val="Sheet1"/>
      <sheetName val="Graphs"/>
      <sheetName val="PLEXOS Inputs"/>
      <sheetName val="PLEXOS Annual Check"/>
      <sheetName val="Annual Weather"/>
      <sheetName val="UPC"/>
      <sheetName val="Load Reductions"/>
      <sheetName val="Costs"/>
      <sheetName val="Load Reductions Final"/>
    </sheetNames>
    <sheetDataSet>
      <sheetData sheetId="0"/>
      <sheetData sheetId="1">
        <row r="2">
          <cell r="V2">
            <v>392015177.734375</v>
          </cell>
          <cell r="W2">
            <v>391922755.421875</v>
          </cell>
          <cell r="X2">
            <v>391835060.15625</v>
          </cell>
          <cell r="Y2">
            <v>391922755.421875</v>
          </cell>
          <cell r="Z2">
            <v>391922755.421875</v>
          </cell>
          <cell r="AA2">
            <v>392597324.359375</v>
          </cell>
          <cell r="AB2">
            <v>392597324.359375</v>
          </cell>
          <cell r="AC2">
            <v>391922755.421875</v>
          </cell>
          <cell r="AD2">
            <v>391922755.421875</v>
          </cell>
          <cell r="AE2">
            <v>391922755.421875</v>
          </cell>
          <cell r="AZ2">
            <v>169072266.5390625</v>
          </cell>
          <cell r="BA2">
            <v>168092131.1171875</v>
          </cell>
          <cell r="BB2">
            <v>167964713.4921875</v>
          </cell>
          <cell r="BC2">
            <v>168092131.1171875</v>
          </cell>
          <cell r="BD2">
            <v>168092131.1171875</v>
          </cell>
          <cell r="BE2">
            <v>169072266.5390625</v>
          </cell>
          <cell r="BF2">
            <v>169072266.5390625</v>
          </cell>
          <cell r="BG2">
            <v>168092131.1171875</v>
          </cell>
          <cell r="BH2">
            <v>168092131.1171875</v>
          </cell>
          <cell r="BI2">
            <v>168092131.1171875</v>
          </cell>
          <cell r="CD2">
            <v>56120095.658203125</v>
          </cell>
          <cell r="CE2">
            <v>56032081.46875</v>
          </cell>
          <cell r="CF2">
            <v>56020639.623046875</v>
          </cell>
          <cell r="CG2">
            <v>56032081.46875</v>
          </cell>
          <cell r="CH2">
            <v>56032081.46875</v>
          </cell>
          <cell r="CI2">
            <v>56120095.658203125</v>
          </cell>
          <cell r="CJ2">
            <v>56120095.658203125</v>
          </cell>
          <cell r="CK2">
            <v>56032081.46875</v>
          </cell>
          <cell r="CL2">
            <v>56032081.46875</v>
          </cell>
          <cell r="CM2">
            <v>56032081.46875</v>
          </cell>
          <cell r="DH2">
            <v>20425365.138671875</v>
          </cell>
          <cell r="DI2">
            <v>20301945.529296875</v>
          </cell>
          <cell r="DJ2">
            <v>20285900.987304688</v>
          </cell>
          <cell r="DK2">
            <v>20301945.529296875</v>
          </cell>
          <cell r="DL2">
            <v>20301945.529296875</v>
          </cell>
          <cell r="DM2">
            <v>20425365.138671875</v>
          </cell>
          <cell r="DN2">
            <v>20425365.138671875</v>
          </cell>
          <cell r="DO2">
            <v>20301945.529296875</v>
          </cell>
          <cell r="DP2">
            <v>20301945.529296875</v>
          </cell>
          <cell r="DQ2">
            <v>20301945.529296875</v>
          </cell>
          <cell r="EL2">
            <v>160408437</v>
          </cell>
          <cell r="EM2">
            <v>160408437</v>
          </cell>
          <cell r="EN2">
            <v>160408437</v>
          </cell>
          <cell r="EO2">
            <v>160408437</v>
          </cell>
          <cell r="EP2">
            <v>160408437</v>
          </cell>
          <cell r="EQ2">
            <v>160408437</v>
          </cell>
          <cell r="ER2">
            <v>160408437</v>
          </cell>
          <cell r="ES2">
            <v>160408437</v>
          </cell>
          <cell r="ET2">
            <v>160408437</v>
          </cell>
          <cell r="EU2">
            <v>160408437</v>
          </cell>
          <cell r="EV2">
            <v>359840831.4375</v>
          </cell>
          <cell r="EW2">
            <v>359840831.4375</v>
          </cell>
          <cell r="EX2">
            <v>359840831.4375</v>
          </cell>
          <cell r="EY2">
            <v>359840831.4375</v>
          </cell>
          <cell r="EZ2">
            <v>359840831.4375</v>
          </cell>
          <cell r="FA2">
            <v>359840831.4375</v>
          </cell>
          <cell r="FB2">
            <v>359840831.4375</v>
          </cell>
          <cell r="FC2">
            <v>359840831.4375</v>
          </cell>
          <cell r="FD2">
            <v>359840831.4375</v>
          </cell>
          <cell r="FE2">
            <v>359840831.4375</v>
          </cell>
          <cell r="FF2">
            <v>9565977.6123046875</v>
          </cell>
          <cell r="FG2">
            <v>9565977.6123046875</v>
          </cell>
          <cell r="FH2">
            <v>9565977.6123046875</v>
          </cell>
          <cell r="FI2">
            <v>9565977.6123046875</v>
          </cell>
          <cell r="FJ2">
            <v>9565977.6123046875</v>
          </cell>
          <cell r="FK2">
            <v>9565977.6123046875</v>
          </cell>
          <cell r="FL2">
            <v>9565977.6123046875</v>
          </cell>
          <cell r="FM2">
            <v>9565977.6123046875</v>
          </cell>
          <cell r="FN2">
            <v>9565977.6123046875</v>
          </cell>
          <cell r="FO2">
            <v>9565977.6123046875</v>
          </cell>
          <cell r="FP2">
            <v>17232645.39453125</v>
          </cell>
          <cell r="FQ2">
            <v>17232645.39453125</v>
          </cell>
          <cell r="FR2">
            <v>17232645.39453125</v>
          </cell>
          <cell r="FS2">
            <v>17232645.39453125</v>
          </cell>
          <cell r="FT2">
            <v>17232645.39453125</v>
          </cell>
          <cell r="FU2">
            <v>17232645.39453125</v>
          </cell>
          <cell r="FV2">
            <v>17232645.39453125</v>
          </cell>
          <cell r="FW2">
            <v>17232645.39453125</v>
          </cell>
          <cell r="FX2">
            <v>17232645.39453125</v>
          </cell>
          <cell r="FY2">
            <v>17232645.39453125</v>
          </cell>
          <cell r="FZ2">
            <v>721495882.4375</v>
          </cell>
          <cell r="GA2">
            <v>720423323.3125</v>
          </cell>
          <cell r="GB2">
            <v>720208210.6875</v>
          </cell>
          <cell r="GC2">
            <v>720423323.3125</v>
          </cell>
          <cell r="GD2">
            <v>720423323.3125</v>
          </cell>
          <cell r="GE2">
            <v>722078028.8125</v>
          </cell>
          <cell r="GF2">
            <v>722078028.8125</v>
          </cell>
          <cell r="GG2">
            <v>720423323.3125</v>
          </cell>
          <cell r="GH2">
            <v>720423323.3125</v>
          </cell>
          <cell r="GI2">
            <v>720423323.3125</v>
          </cell>
          <cell r="HO2">
            <v>108133671.3875</v>
          </cell>
          <cell r="HZ2">
            <v>10334408.359765625</v>
          </cell>
          <cell r="IA2">
            <v>10313264.969140625</v>
          </cell>
          <cell r="IB2">
            <v>10310516.366406251</v>
          </cell>
          <cell r="IC2">
            <v>10313264.969140625</v>
          </cell>
          <cell r="ID2">
            <v>10313264.969140625</v>
          </cell>
          <cell r="IE2">
            <v>10334408.359765625</v>
          </cell>
          <cell r="IF2">
            <v>10334408.359765625</v>
          </cell>
          <cell r="IG2">
            <v>10313264.969140625</v>
          </cell>
          <cell r="IH2">
            <v>10313264.969140625</v>
          </cell>
          <cell r="II2">
            <v>10313264.969140625</v>
          </cell>
        </row>
        <row r="3">
          <cell r="V3">
            <v>393180034.765625</v>
          </cell>
          <cell r="W3">
            <v>392817535.609375</v>
          </cell>
          <cell r="X3">
            <v>392505487.515625</v>
          </cell>
          <cell r="Y3">
            <v>392198902.421875</v>
          </cell>
          <cell r="Z3">
            <v>392817535.609375</v>
          </cell>
          <cell r="AA3">
            <v>395217902.625</v>
          </cell>
          <cell r="AB3">
            <v>388236844.265625</v>
          </cell>
          <cell r="AC3">
            <v>392817535.609375</v>
          </cell>
          <cell r="AD3">
            <v>392817535.609375</v>
          </cell>
          <cell r="AE3">
            <v>392817535.609375</v>
          </cell>
          <cell r="AZ3">
            <v>168694672.203125</v>
          </cell>
          <cell r="BA3">
            <v>165372502.0078125</v>
          </cell>
          <cell r="BB3">
            <v>164940620.6484375</v>
          </cell>
          <cell r="BC3">
            <v>165104527.7734375</v>
          </cell>
          <cell r="BD3">
            <v>165372502.0078125</v>
          </cell>
          <cell r="BE3">
            <v>168694672.203125</v>
          </cell>
          <cell r="BF3">
            <v>165888026.1484375</v>
          </cell>
          <cell r="BG3">
            <v>165372502.0078125</v>
          </cell>
          <cell r="BH3">
            <v>165372502.0078125</v>
          </cell>
          <cell r="BI3">
            <v>165372502.0078125</v>
          </cell>
          <cell r="CD3">
            <v>56848430.16796875</v>
          </cell>
          <cell r="CE3">
            <v>56543192.654296875</v>
          </cell>
          <cell r="CF3">
            <v>56503511.537109375</v>
          </cell>
          <cell r="CG3">
            <v>56455365.322265625</v>
          </cell>
          <cell r="CH3">
            <v>56543192.654296875</v>
          </cell>
          <cell r="CI3">
            <v>56848430.16796875</v>
          </cell>
          <cell r="CJ3">
            <v>55835990.8359375</v>
          </cell>
          <cell r="CK3">
            <v>56543192.654296875</v>
          </cell>
          <cell r="CL3">
            <v>56543192.654296875</v>
          </cell>
          <cell r="CM3">
            <v>56543192.654296875</v>
          </cell>
          <cell r="DH3">
            <v>20647100.810546875</v>
          </cell>
          <cell r="DI3">
            <v>20225334.954101563</v>
          </cell>
          <cell r="DJ3">
            <v>20170505.391601563</v>
          </cell>
          <cell r="DK3">
            <v>20203218.500976563</v>
          </cell>
          <cell r="DL3">
            <v>20225334.954101563</v>
          </cell>
          <cell r="DM3">
            <v>20647100.810546875</v>
          </cell>
          <cell r="DN3">
            <v>20293473.783203125</v>
          </cell>
          <cell r="DO3">
            <v>20225334.954101563</v>
          </cell>
          <cell r="DP3">
            <v>20225334.954101563</v>
          </cell>
          <cell r="DQ3">
            <v>20225334.954101563</v>
          </cell>
          <cell r="EL3">
            <v>160444956.03125</v>
          </cell>
          <cell r="EM3">
            <v>160444956.03125</v>
          </cell>
          <cell r="EN3">
            <v>157224848.375</v>
          </cell>
          <cell r="EO3">
            <v>160444956.03125</v>
          </cell>
          <cell r="EP3">
            <v>160444956.03125</v>
          </cell>
          <cell r="EQ3">
            <v>157006847.9375</v>
          </cell>
          <cell r="ER3">
            <v>155287795.25</v>
          </cell>
          <cell r="ES3">
            <v>160444956.03125</v>
          </cell>
          <cell r="ET3">
            <v>160444956.03125</v>
          </cell>
          <cell r="EU3">
            <v>160444956.03125</v>
          </cell>
          <cell r="EV3">
            <v>360291280.625</v>
          </cell>
          <cell r="EW3">
            <v>360291280.625</v>
          </cell>
          <cell r="EX3">
            <v>360291280.625</v>
          </cell>
          <cell r="EY3">
            <v>360291280.625</v>
          </cell>
          <cell r="EZ3">
            <v>360291280.625</v>
          </cell>
          <cell r="FA3">
            <v>352570759.25</v>
          </cell>
          <cell r="FB3">
            <v>348710497.5</v>
          </cell>
          <cell r="FC3">
            <v>360291280.625</v>
          </cell>
          <cell r="FD3">
            <v>360291280.625</v>
          </cell>
          <cell r="FE3">
            <v>360291280.625</v>
          </cell>
          <cell r="FF3">
            <v>9521557.181640625</v>
          </cell>
          <cell r="FG3">
            <v>9521557.181640625</v>
          </cell>
          <cell r="FH3">
            <v>9403319.6591796875</v>
          </cell>
          <cell r="FI3">
            <v>9521557.181640625</v>
          </cell>
          <cell r="FJ3">
            <v>9521557.181640625</v>
          </cell>
          <cell r="FK3">
            <v>9317523.822265625</v>
          </cell>
          <cell r="FL3">
            <v>9215507.2265625</v>
          </cell>
          <cell r="FM3">
            <v>9521557.181640625</v>
          </cell>
          <cell r="FN3">
            <v>9521557.181640625</v>
          </cell>
          <cell r="FO3">
            <v>9521557.181640625</v>
          </cell>
          <cell r="FP3">
            <v>17314908.4765625</v>
          </cell>
          <cell r="FQ3">
            <v>17314908.4765625</v>
          </cell>
          <cell r="FR3">
            <v>17314908.4765625</v>
          </cell>
          <cell r="FS3">
            <v>17314908.4765625</v>
          </cell>
          <cell r="FT3">
            <v>17314908.4765625</v>
          </cell>
          <cell r="FU3">
            <v>16943874.6171875</v>
          </cell>
          <cell r="FV3">
            <v>16758357.80859375</v>
          </cell>
          <cell r="FW3">
            <v>17314908.4765625</v>
          </cell>
          <cell r="FX3">
            <v>17314908.4765625</v>
          </cell>
          <cell r="FY3">
            <v>17314908.4765625</v>
          </cell>
          <cell r="FZ3">
            <v>722319656.5625</v>
          </cell>
          <cell r="GA3">
            <v>718634986.0625</v>
          </cell>
          <cell r="GB3">
            <v>714670955.625</v>
          </cell>
          <cell r="GC3">
            <v>717748378.625</v>
          </cell>
          <cell r="GD3">
            <v>718634986.0625</v>
          </cell>
          <cell r="GE3">
            <v>720919423.25</v>
          </cell>
          <cell r="GF3">
            <v>709412662.0625</v>
          </cell>
          <cell r="GG3">
            <v>718634986.0625</v>
          </cell>
          <cell r="GH3">
            <v>718634986.0625</v>
          </cell>
          <cell r="GI3">
            <v>718634986.0625</v>
          </cell>
          <cell r="HO3">
            <v>108261093.71875</v>
          </cell>
          <cell r="HZ3">
            <v>10433199.61484375</v>
          </cell>
          <cell r="IA3">
            <v>10360499.294140626</v>
          </cell>
          <cell r="IB3">
            <v>10339224.537109375</v>
          </cell>
          <cell r="IC3">
            <v>10349504.939453125</v>
          </cell>
          <cell r="ID3">
            <v>10360499.294140626</v>
          </cell>
          <cell r="IE3">
            <v>10375692.941796875</v>
          </cell>
          <cell r="IF3">
            <v>10210332.94296875</v>
          </cell>
          <cell r="IG3">
            <v>10360499.294140626</v>
          </cell>
          <cell r="IH3">
            <v>10360499.294140626</v>
          </cell>
          <cell r="II3">
            <v>10360499.294140626</v>
          </cell>
        </row>
        <row r="4">
          <cell r="V4">
            <v>396565513.28125</v>
          </cell>
          <cell r="W4">
            <v>395905855.96875</v>
          </cell>
          <cell r="X4">
            <v>395309521.40625</v>
          </cell>
          <cell r="Y4">
            <v>393103861.875</v>
          </cell>
          <cell r="Z4">
            <v>395905855.96875</v>
          </cell>
          <cell r="AA4">
            <v>400493050.65625</v>
          </cell>
          <cell r="AB4">
            <v>378627342.90625</v>
          </cell>
          <cell r="AC4">
            <v>395905855.96875</v>
          </cell>
          <cell r="AD4">
            <v>395905855.96875</v>
          </cell>
          <cell r="AE4">
            <v>395905855.96875</v>
          </cell>
          <cell r="AZ4">
            <v>172176602.390625</v>
          </cell>
          <cell r="BA4">
            <v>166070214.390625</v>
          </cell>
          <cell r="BB4">
            <v>165276383.578125</v>
          </cell>
          <cell r="BC4">
            <v>164841604.40625</v>
          </cell>
          <cell r="BD4">
            <v>166070214.390625</v>
          </cell>
          <cell r="BE4">
            <v>172176602.390625</v>
          </cell>
          <cell r="BF4">
            <v>163473481.8984375</v>
          </cell>
          <cell r="BG4">
            <v>166070214.390625</v>
          </cell>
          <cell r="BH4">
            <v>166070214.390625</v>
          </cell>
          <cell r="BI4">
            <v>166070214.390625</v>
          </cell>
          <cell r="CD4">
            <v>57713121.5390625</v>
          </cell>
          <cell r="CE4">
            <v>57136789.240234375</v>
          </cell>
          <cell r="CF4">
            <v>57061866.244140625</v>
          </cell>
          <cell r="CG4">
            <v>56733725.560546875</v>
          </cell>
          <cell r="CH4">
            <v>57136789.240234375</v>
          </cell>
          <cell r="CI4">
            <v>57713121.5390625</v>
          </cell>
          <cell r="CJ4">
            <v>54540852.185546875</v>
          </cell>
          <cell r="CK4">
            <v>57136789.240234375</v>
          </cell>
          <cell r="CL4">
            <v>57136789.240234375</v>
          </cell>
          <cell r="CM4">
            <v>57134944.87109375</v>
          </cell>
          <cell r="DH4">
            <v>21004220.97265625</v>
          </cell>
          <cell r="DI4">
            <v>20228341.588867188</v>
          </cell>
          <cell r="DJ4">
            <v>20127477.297851563</v>
          </cell>
          <cell r="DK4">
            <v>20129792.336914063</v>
          </cell>
          <cell r="DL4">
            <v>20228341.588867188</v>
          </cell>
          <cell r="DM4">
            <v>21004220.97265625</v>
          </cell>
          <cell r="DN4">
            <v>19903644.446289063</v>
          </cell>
          <cell r="DO4">
            <v>20228341.588867188</v>
          </cell>
          <cell r="DP4">
            <v>20228341.588867188</v>
          </cell>
          <cell r="DQ4">
            <v>20228341.588867188</v>
          </cell>
          <cell r="EL4">
            <v>160330308.09375</v>
          </cell>
          <cell r="EM4">
            <v>160330308.09375</v>
          </cell>
          <cell r="EN4">
            <v>153724258.71875</v>
          </cell>
          <cell r="EO4">
            <v>160330308.09375</v>
          </cell>
          <cell r="EP4">
            <v>160330308.09375</v>
          </cell>
          <cell r="EQ4">
            <v>153459010.109375</v>
          </cell>
          <cell r="ER4">
            <v>150023359.953125</v>
          </cell>
          <cell r="ES4">
            <v>160330308.09375</v>
          </cell>
          <cell r="ET4">
            <v>160330308.09375</v>
          </cell>
          <cell r="EU4">
            <v>160330308.09375</v>
          </cell>
          <cell r="EV4">
            <v>359800696.25</v>
          </cell>
          <cell r="EW4">
            <v>359800696.25</v>
          </cell>
          <cell r="EX4">
            <v>359800696.25</v>
          </cell>
          <cell r="EY4">
            <v>359800696.25</v>
          </cell>
          <cell r="EZ4">
            <v>359800696.25</v>
          </cell>
          <cell r="FA4">
            <v>344380662.6875</v>
          </cell>
          <cell r="FB4">
            <v>336670651.6875</v>
          </cell>
          <cell r="FC4">
            <v>359800696.25</v>
          </cell>
          <cell r="FD4">
            <v>359800696.25</v>
          </cell>
          <cell r="FE4">
            <v>359800696.25</v>
          </cell>
          <cell r="FF4">
            <v>9508749.216796875</v>
          </cell>
          <cell r="FG4">
            <v>9508749.216796875</v>
          </cell>
          <cell r="FH4">
            <v>9272641.921875</v>
          </cell>
          <cell r="FI4">
            <v>9508749.216796875</v>
          </cell>
          <cell r="FJ4">
            <v>9508749.216796875</v>
          </cell>
          <cell r="FK4">
            <v>9101231.3583984375</v>
          </cell>
          <cell r="FL4">
            <v>8897472.560546875</v>
          </cell>
          <cell r="FM4">
            <v>9508749.216796875</v>
          </cell>
          <cell r="FN4">
            <v>9508749.216796875</v>
          </cell>
          <cell r="FO4">
            <v>9508749.216796875</v>
          </cell>
          <cell r="FP4">
            <v>17277354.68359375</v>
          </cell>
          <cell r="FQ4">
            <v>17277354.68359375</v>
          </cell>
          <cell r="FR4">
            <v>17277354.68359375</v>
          </cell>
          <cell r="FS4">
            <v>17277354.68359375</v>
          </cell>
          <cell r="FT4">
            <v>17277354.68359375</v>
          </cell>
          <cell r="FU4">
            <v>16536896.53125</v>
          </cell>
          <cell r="FV4">
            <v>16166667.3984375</v>
          </cell>
          <cell r="FW4">
            <v>17277354.68359375</v>
          </cell>
          <cell r="FX4">
            <v>17277354.68359375</v>
          </cell>
          <cell r="FY4">
            <v>17277354.68359375</v>
          </cell>
          <cell r="FZ4">
            <v>729072423.1875</v>
          </cell>
          <cell r="GA4">
            <v>722306377.625</v>
          </cell>
          <cell r="GB4">
            <v>714310162.4375</v>
          </cell>
          <cell r="GC4">
            <v>718275771.6875</v>
          </cell>
          <cell r="GD4">
            <v>722306377.625</v>
          </cell>
          <cell r="GE4">
            <v>726128660.4375</v>
          </cell>
          <cell r="GF4">
            <v>692124183.75</v>
          </cell>
          <cell r="GG4">
            <v>722306377.625</v>
          </cell>
          <cell r="GH4">
            <v>722306377.625</v>
          </cell>
          <cell r="GI4">
            <v>722306377.625</v>
          </cell>
          <cell r="HO4">
            <v>108887311.94374999</v>
          </cell>
          <cell r="HZ4">
            <v>10550344.709375</v>
          </cell>
          <cell r="IA4">
            <v>10415123.5375</v>
          </cell>
          <cell r="IB4">
            <v>10373934.021875</v>
          </cell>
          <cell r="IC4">
            <v>10364962.2265625</v>
          </cell>
          <cell r="ID4">
            <v>10415123.5375</v>
          </cell>
          <cell r="IE4">
            <v>10435547.130859375</v>
          </cell>
          <cell r="IF4">
            <v>9950863.6671875007</v>
          </cell>
          <cell r="IG4">
            <v>10415123.5375</v>
          </cell>
          <cell r="IH4">
            <v>10415123.5375</v>
          </cell>
          <cell r="II4">
            <v>10414939.086328125</v>
          </cell>
        </row>
        <row r="5">
          <cell r="V5">
            <v>395094879.5625</v>
          </cell>
          <cell r="W5">
            <v>392696073.625</v>
          </cell>
          <cell r="X5">
            <v>392702224.515625</v>
          </cell>
          <cell r="Y5">
            <v>387375414.671875</v>
          </cell>
          <cell r="Z5">
            <v>390847950.765625</v>
          </cell>
          <cell r="AA5">
            <v>395457061.28125</v>
          </cell>
          <cell r="AB5">
            <v>362342420.46875</v>
          </cell>
          <cell r="AC5">
            <v>393731723.53125</v>
          </cell>
          <cell r="AD5">
            <v>393731723.53125</v>
          </cell>
          <cell r="AE5">
            <v>393663005.234375</v>
          </cell>
          <cell r="AZ5">
            <v>173943897.171875</v>
          </cell>
          <cell r="BA5">
            <v>164445609.703125</v>
          </cell>
          <cell r="BB5">
            <v>163693076.921875</v>
          </cell>
          <cell r="BC5">
            <v>162071146.546875</v>
          </cell>
          <cell r="BD5">
            <v>162777676.140625</v>
          </cell>
          <cell r="BE5">
            <v>170740800.828125</v>
          </cell>
          <cell r="BF5">
            <v>157513306.9375</v>
          </cell>
          <cell r="BG5">
            <v>164919676.875</v>
          </cell>
          <cell r="BH5">
            <v>164919676.875</v>
          </cell>
          <cell r="BI5">
            <v>164863316.859375</v>
          </cell>
          <cell r="CD5">
            <v>57958294.1640625</v>
          </cell>
          <cell r="CE5">
            <v>56882527.5546875</v>
          </cell>
          <cell r="CF5">
            <v>56904779.40234375</v>
          </cell>
          <cell r="CG5">
            <v>56104966.84375</v>
          </cell>
          <cell r="CH5">
            <v>56573332.259765625</v>
          </cell>
          <cell r="CI5">
            <v>57081974.353515625</v>
          </cell>
          <cell r="CJ5">
            <v>52292311.74609375</v>
          </cell>
          <cell r="CK5">
            <v>57036389.42578125</v>
          </cell>
          <cell r="CL5">
            <v>57036389.42578125</v>
          </cell>
          <cell r="CM5">
            <v>57019424.12890625</v>
          </cell>
          <cell r="DH5">
            <v>21144088.603515625</v>
          </cell>
          <cell r="DI5">
            <v>19967223.076171875</v>
          </cell>
          <cell r="DJ5">
            <v>19850498.571289063</v>
          </cell>
          <cell r="DK5">
            <v>19781038.93359375</v>
          </cell>
          <cell r="DL5">
            <v>19790966.583984375</v>
          </cell>
          <cell r="DM5">
            <v>20793943.8046875</v>
          </cell>
          <cell r="DN5">
            <v>19124505.087890625</v>
          </cell>
          <cell r="DO5">
            <v>20002683.75390625</v>
          </cell>
          <cell r="DP5">
            <v>20002683.75390625</v>
          </cell>
          <cell r="DQ5">
            <v>19998687.072265625</v>
          </cell>
          <cell r="EL5">
            <v>157859409.65625</v>
          </cell>
          <cell r="EM5">
            <v>157859409.65625</v>
          </cell>
          <cell r="EN5">
            <v>147937243.875</v>
          </cell>
          <cell r="EO5">
            <v>157859409.65625</v>
          </cell>
          <cell r="EP5">
            <v>157859409.65625</v>
          </cell>
          <cell r="EQ5">
            <v>147711303.828125</v>
          </cell>
          <cell r="ER5">
            <v>142637251.859375</v>
          </cell>
          <cell r="ES5">
            <v>157859409.65625</v>
          </cell>
          <cell r="ET5">
            <v>157859409.65625</v>
          </cell>
          <cell r="EU5">
            <v>157859409.65625</v>
          </cell>
          <cell r="EV5">
            <v>355327704.0625</v>
          </cell>
          <cell r="EW5">
            <v>353796745.9375</v>
          </cell>
          <cell r="EX5">
            <v>352265784.375</v>
          </cell>
          <cell r="EY5">
            <v>353796745.9375</v>
          </cell>
          <cell r="EZ5">
            <v>353796745.9375</v>
          </cell>
          <cell r="FA5">
            <v>331052665.1875</v>
          </cell>
          <cell r="FB5">
            <v>319680630.25</v>
          </cell>
          <cell r="FC5">
            <v>353796745.9375</v>
          </cell>
          <cell r="FD5">
            <v>353796745.9375</v>
          </cell>
          <cell r="FE5">
            <v>354562226.6875</v>
          </cell>
          <cell r="FF5">
            <v>9357165.072265625</v>
          </cell>
          <cell r="FG5">
            <v>9357165.072265625</v>
          </cell>
          <cell r="FH5">
            <v>9008958.0712890625</v>
          </cell>
          <cell r="FI5">
            <v>9357165.072265625</v>
          </cell>
          <cell r="FJ5">
            <v>9357165.072265625</v>
          </cell>
          <cell r="FK5">
            <v>8755633.16796875</v>
          </cell>
          <cell r="FL5">
            <v>8454867.017578125</v>
          </cell>
          <cell r="FM5">
            <v>9357165.072265625</v>
          </cell>
          <cell r="FN5">
            <v>9357165.072265625</v>
          </cell>
          <cell r="FO5">
            <v>9357165.072265625</v>
          </cell>
          <cell r="FP5">
            <v>17057061.32421875</v>
          </cell>
          <cell r="FQ5">
            <v>16979360.09765625</v>
          </cell>
          <cell r="FR5">
            <v>16901659</v>
          </cell>
          <cell r="FS5">
            <v>16979360.09765625</v>
          </cell>
          <cell r="FT5">
            <v>16979360.09765625</v>
          </cell>
          <cell r="FU5">
            <v>15887829.98046875</v>
          </cell>
          <cell r="FV5">
            <v>15342064.5546875</v>
          </cell>
          <cell r="FW5">
            <v>16979360.09765625</v>
          </cell>
          <cell r="FX5">
            <v>16979360.09765625</v>
          </cell>
          <cell r="FY5">
            <v>17018211.0625</v>
          </cell>
          <cell r="FZ5">
            <v>726898187.375</v>
          </cell>
          <cell r="GA5">
            <v>715001095</v>
          </cell>
          <cell r="GB5">
            <v>704332543.125</v>
          </cell>
          <cell r="GC5">
            <v>707305970.5625</v>
          </cell>
          <cell r="GD5">
            <v>711485038.375</v>
          </cell>
          <cell r="GE5">
            <v>713909167.625</v>
          </cell>
          <cell r="GF5">
            <v>662492977.125</v>
          </cell>
          <cell r="GG5">
            <v>716510808.625</v>
          </cell>
          <cell r="GH5">
            <v>716510808.625</v>
          </cell>
          <cell r="GI5">
            <v>716385734.6875</v>
          </cell>
          <cell r="HO5">
            <v>108069493.33125</v>
          </cell>
          <cell r="HZ5">
            <v>10551660.895703126</v>
          </cell>
          <cell r="IA5">
            <v>10318627.561718751</v>
          </cell>
          <cell r="IB5">
            <v>10266589.585156251</v>
          </cell>
          <cell r="IC5">
            <v>10222253.083203126</v>
          </cell>
          <cell r="ID5">
            <v>10270082.36484375</v>
          </cell>
          <cell r="IE5">
            <v>10251938.15625</v>
          </cell>
          <cell r="IF5">
            <v>9521374.9011718743</v>
          </cell>
          <cell r="IG5">
            <v>10337559.81484375</v>
          </cell>
          <cell r="IH5">
            <v>10337559.81484375</v>
          </cell>
          <cell r="II5">
            <v>10339348.728125</v>
          </cell>
        </row>
        <row r="6">
          <cell r="V6">
            <v>396089024.40625</v>
          </cell>
          <cell r="W6">
            <v>389794700.03125</v>
          </cell>
          <cell r="X6">
            <v>391765583.984375</v>
          </cell>
          <cell r="Y6">
            <v>381886906.578125</v>
          </cell>
          <cell r="Z6">
            <v>384155428.78125</v>
          </cell>
          <cell r="AA6">
            <v>386588458.875</v>
          </cell>
          <cell r="AB6">
            <v>345870416.46875</v>
          </cell>
          <cell r="AC6">
            <v>393156012.3125</v>
          </cell>
          <cell r="AD6">
            <v>393156012.3125</v>
          </cell>
          <cell r="AE6">
            <v>393013125.546875</v>
          </cell>
          <cell r="AZ6">
            <v>177142487.890625</v>
          </cell>
          <cell r="BA6">
            <v>163311804.0703125</v>
          </cell>
          <cell r="BB6">
            <v>163224354.46875</v>
          </cell>
          <cell r="BC6">
            <v>159650544.7578125</v>
          </cell>
          <cell r="BD6">
            <v>158151305.7421875</v>
          </cell>
          <cell r="BE6">
            <v>167062509.609375</v>
          </cell>
          <cell r="BF6">
            <v>150629477.859375</v>
          </cell>
          <cell r="BG6">
            <v>164874015.6796875</v>
          </cell>
          <cell r="BH6">
            <v>164874015.6796875</v>
          </cell>
          <cell r="BI6">
            <v>164706098.2578125</v>
          </cell>
          <cell r="CD6">
            <v>58556435.86328125</v>
          </cell>
          <cell r="CE6">
            <v>56657757.162109375</v>
          </cell>
          <cell r="CF6">
            <v>56981421.041015625</v>
          </cell>
          <cell r="CG6">
            <v>55493433.115234375</v>
          </cell>
          <cell r="CH6">
            <v>55718810.271484375</v>
          </cell>
          <cell r="CI6">
            <v>55815909.58203125</v>
          </cell>
          <cell r="CJ6">
            <v>49958458.1640625</v>
          </cell>
          <cell r="CK6">
            <v>57159225.955078125</v>
          </cell>
          <cell r="CL6">
            <v>57159225.955078125</v>
          </cell>
          <cell r="CM6">
            <v>57124653.50390625</v>
          </cell>
          <cell r="DH6">
            <v>21406076.875</v>
          </cell>
          <cell r="DI6">
            <v>19760004.373046875</v>
          </cell>
          <cell r="DJ6">
            <v>19672160.001953125</v>
          </cell>
          <cell r="DK6">
            <v>19484468.103515625</v>
          </cell>
          <cell r="DL6">
            <v>19239629.84375</v>
          </cell>
          <cell r="DM6">
            <v>20340742.536132813</v>
          </cell>
          <cell r="DN6">
            <v>18278818.059570313</v>
          </cell>
          <cell r="DO6">
            <v>19874853.923828125</v>
          </cell>
          <cell r="DP6">
            <v>19874853.923828125</v>
          </cell>
          <cell r="DQ6">
            <v>19863341.814453125</v>
          </cell>
          <cell r="EL6">
            <v>156696057.125</v>
          </cell>
          <cell r="EM6">
            <v>156696057.125</v>
          </cell>
          <cell r="EN6">
            <v>143399394.140625</v>
          </cell>
          <cell r="EO6">
            <v>156696057.125</v>
          </cell>
          <cell r="EP6">
            <v>156696057.125</v>
          </cell>
          <cell r="EQ6">
            <v>143264964.296875</v>
          </cell>
          <cell r="ER6">
            <v>136549421.140625</v>
          </cell>
          <cell r="ES6">
            <v>156696057.125</v>
          </cell>
          <cell r="ET6">
            <v>156696057.125</v>
          </cell>
          <cell r="EU6">
            <v>156696057.125</v>
          </cell>
          <cell r="EV6">
            <v>353434677.1875</v>
          </cell>
          <cell r="EW6">
            <v>350551978.1875</v>
          </cell>
          <cell r="EX6">
            <v>347669280.8125</v>
          </cell>
          <cell r="EY6">
            <v>350551978.1875</v>
          </cell>
          <cell r="EZ6">
            <v>350551978.1875</v>
          </cell>
          <cell r="FA6">
            <v>320504665.625</v>
          </cell>
          <cell r="FB6">
            <v>305481009.4375</v>
          </cell>
          <cell r="FC6">
            <v>350551978.1875</v>
          </cell>
          <cell r="FD6">
            <v>350551978.1875</v>
          </cell>
          <cell r="FE6">
            <v>351993328.625</v>
          </cell>
          <cell r="FF6">
            <v>9289575.5048828125</v>
          </cell>
          <cell r="FG6">
            <v>9289575.5048828125</v>
          </cell>
          <cell r="FH6">
            <v>8828677.513671875</v>
          </cell>
          <cell r="FI6">
            <v>9289575.5048828125</v>
          </cell>
          <cell r="FJ6">
            <v>9289575.5048828125</v>
          </cell>
          <cell r="FK6">
            <v>8493326.201171875</v>
          </cell>
          <cell r="FL6">
            <v>8095201.4013671875</v>
          </cell>
          <cell r="FM6">
            <v>9289575.5048828125</v>
          </cell>
          <cell r="FN6">
            <v>9289575.5048828125</v>
          </cell>
          <cell r="FO6">
            <v>9289575.5048828125</v>
          </cell>
          <cell r="FP6">
            <v>16961827.72265625</v>
          </cell>
          <cell r="FQ6">
            <v>16805920.90234375</v>
          </cell>
          <cell r="FR6">
            <v>16650014.44140625</v>
          </cell>
          <cell r="FS6">
            <v>16805920.90234375</v>
          </cell>
          <cell r="FT6">
            <v>16805920.90234375</v>
          </cell>
          <cell r="FU6">
            <v>15365413.60546875</v>
          </cell>
          <cell r="FV6">
            <v>14645159.73046875</v>
          </cell>
          <cell r="FW6">
            <v>16805920.90234375</v>
          </cell>
          <cell r="FX6">
            <v>16805920.90234375</v>
          </cell>
          <cell r="FY6">
            <v>16883874.01953125</v>
          </cell>
          <cell r="FZ6">
            <v>729927572.0625</v>
          </cell>
          <cell r="GA6">
            <v>709802562</v>
          </cell>
          <cell r="GB6">
            <v>698389331.75</v>
          </cell>
          <cell r="GC6">
            <v>698233505.5625</v>
          </cell>
          <cell r="GD6">
            <v>699002790.6875</v>
          </cell>
          <cell r="GE6">
            <v>696915930.1875</v>
          </cell>
          <cell r="GF6">
            <v>633049315.1875</v>
          </cell>
          <cell r="GG6">
            <v>714726084.375</v>
          </cell>
          <cell r="GH6">
            <v>714726084.375</v>
          </cell>
          <cell r="GI6">
            <v>714415279.625</v>
          </cell>
          <cell r="HO6">
            <v>108047955.02500001</v>
          </cell>
          <cell r="HZ6">
            <v>10621391.649609376</v>
          </cell>
          <cell r="IA6">
            <v>10251325.839453125</v>
          </cell>
          <cell r="IB6">
            <v>10213227.235546876</v>
          </cell>
          <cell r="IC6">
            <v>10107339.824609375</v>
          </cell>
          <cell r="ID6">
            <v>10105393.703515625</v>
          </cell>
          <cell r="IE6">
            <v>10001539.165625</v>
          </cell>
          <cell r="IF6">
            <v>9097763.6824218743</v>
          </cell>
          <cell r="IG6">
            <v>10312957.673046876</v>
          </cell>
          <cell r="IH6">
            <v>10312957.673046876</v>
          </cell>
          <cell r="II6">
            <v>10316144.52578125</v>
          </cell>
        </row>
        <row r="7">
          <cell r="V7">
            <v>397041423.0625</v>
          </cell>
          <cell r="W7">
            <v>386503281.5</v>
          </cell>
          <cell r="X7">
            <v>390554969.953125</v>
          </cell>
          <cell r="Y7">
            <v>374120239.4375</v>
          </cell>
          <cell r="Z7">
            <v>377170843.359375</v>
          </cell>
          <cell r="AA7">
            <v>377753351.984375</v>
          </cell>
          <cell r="AB7">
            <v>329481428.6875</v>
          </cell>
          <cell r="AC7">
            <v>391672110.09375</v>
          </cell>
          <cell r="AD7">
            <v>391672110.09375</v>
          </cell>
          <cell r="AE7">
            <v>391739577.84375</v>
          </cell>
          <cell r="AZ7">
            <v>180385639.984375</v>
          </cell>
          <cell r="BA7">
            <v>162244849.5859375</v>
          </cell>
          <cell r="BB7">
            <v>162868086.796875</v>
          </cell>
          <cell r="BC7">
            <v>156366370.6640625</v>
          </cell>
          <cell r="BD7">
            <v>153616522.5703125</v>
          </cell>
          <cell r="BE7">
            <v>163398224.125</v>
          </cell>
          <cell r="BF7">
            <v>143778988.609375</v>
          </cell>
          <cell r="BG7">
            <v>164649809.7421875</v>
          </cell>
          <cell r="BH7">
            <v>164649809.7421875</v>
          </cell>
          <cell r="BI7">
            <v>164452719.0234375</v>
          </cell>
          <cell r="CD7">
            <v>59149040.412109375</v>
          </cell>
          <cell r="CE7">
            <v>56375768.1796875</v>
          </cell>
          <cell r="CF7">
            <v>57018396.875</v>
          </cell>
          <cell r="CG7">
            <v>54542380.6875</v>
          </cell>
          <cell r="CH7">
            <v>54827373.392578125</v>
          </cell>
          <cell r="CI7">
            <v>54557285.87890625</v>
          </cell>
          <cell r="CJ7">
            <v>47638979.2265625</v>
          </cell>
          <cell r="CK7">
            <v>57147055.953125</v>
          </cell>
          <cell r="CL7">
            <v>57147055.953125</v>
          </cell>
          <cell r="CM7">
            <v>57137033.369140625</v>
          </cell>
          <cell r="DH7">
            <v>21655076.52734375</v>
          </cell>
          <cell r="DI7">
            <v>19549126.19140625</v>
          </cell>
          <cell r="DJ7">
            <v>19491689.768554688</v>
          </cell>
          <cell r="DK7">
            <v>19120840.408203125</v>
          </cell>
          <cell r="DL7">
            <v>18700314.532226563</v>
          </cell>
          <cell r="DM7">
            <v>19890001.434570313</v>
          </cell>
          <cell r="DN7">
            <v>17437976.907226563</v>
          </cell>
          <cell r="DO7">
            <v>19722866.8671875</v>
          </cell>
          <cell r="DP7">
            <v>19722866.8671875</v>
          </cell>
          <cell r="DQ7">
            <v>19710697.830078125</v>
          </cell>
          <cell r="EL7">
            <v>155680594.6875</v>
          </cell>
          <cell r="EM7">
            <v>155680594.6875</v>
          </cell>
          <cell r="EN7">
            <v>139251075.9375</v>
          </cell>
          <cell r="EO7">
            <v>155680594.6875</v>
          </cell>
          <cell r="EP7">
            <v>155680594.6875</v>
          </cell>
          <cell r="EQ7">
            <v>139000531.125</v>
          </cell>
          <cell r="ER7">
            <v>130660499.90625</v>
          </cell>
          <cell r="ES7">
            <v>155680594.6875</v>
          </cell>
          <cell r="ET7">
            <v>155680594.6875</v>
          </cell>
          <cell r="EU7">
            <v>155680594.6875</v>
          </cell>
          <cell r="EV7">
            <v>351365092.6875</v>
          </cell>
          <cell r="EW7">
            <v>347210275.375</v>
          </cell>
          <cell r="EX7">
            <v>343055473.1875</v>
          </cell>
          <cell r="EY7">
            <v>347210275.375</v>
          </cell>
          <cell r="EZ7">
            <v>347210275.375</v>
          </cell>
          <cell r="FA7">
            <v>310009178.9375</v>
          </cell>
          <cell r="FB7">
            <v>291408629.875</v>
          </cell>
          <cell r="FC7">
            <v>347210275.375</v>
          </cell>
          <cell r="FD7">
            <v>347210275.375</v>
          </cell>
          <cell r="FE7">
            <v>349287688.75</v>
          </cell>
          <cell r="FF7">
            <v>9219076.306640625</v>
          </cell>
          <cell r="FG7">
            <v>9219076.306640625</v>
          </cell>
          <cell r="FH7">
            <v>8647271.341796875</v>
          </cell>
          <cell r="FI7">
            <v>9219076.306640625</v>
          </cell>
          <cell r="FJ7">
            <v>9219076.306640625</v>
          </cell>
          <cell r="FK7">
            <v>8231318.0693359375</v>
          </cell>
          <cell r="FL7">
            <v>7737439.0419921875</v>
          </cell>
          <cell r="FM7">
            <v>9219076.306640625</v>
          </cell>
          <cell r="FN7">
            <v>9219076.306640625</v>
          </cell>
          <cell r="FO7">
            <v>9219076.306640625</v>
          </cell>
          <cell r="FP7">
            <v>16853152.50390625</v>
          </cell>
          <cell r="FQ7">
            <v>16618032.515625</v>
          </cell>
          <cell r="FR7">
            <v>16382912.41015625</v>
          </cell>
          <cell r="FS7">
            <v>16618032.515625</v>
          </cell>
          <cell r="FT7">
            <v>16618032.515625</v>
          </cell>
          <cell r="FU7">
            <v>14837529.05078125</v>
          </cell>
          <cell r="FV7">
            <v>13947277.32421875</v>
          </cell>
          <cell r="FW7">
            <v>16618032.515625</v>
          </cell>
          <cell r="FX7">
            <v>16618032.515625</v>
          </cell>
          <cell r="FY7">
            <v>16735592.5078125</v>
          </cell>
          <cell r="FZ7">
            <v>733107656.8125</v>
          </cell>
          <cell r="GA7">
            <v>704428725</v>
          </cell>
          <cell r="GB7">
            <v>692674129.375</v>
          </cell>
          <cell r="GC7">
            <v>686167204</v>
          </cell>
          <cell r="GD7">
            <v>686467958.6875</v>
          </cell>
          <cell r="GE7">
            <v>680152112.5625</v>
          </cell>
          <cell r="GF7">
            <v>603920914.625</v>
          </cell>
          <cell r="GG7">
            <v>712002515.0625</v>
          </cell>
          <cell r="GH7">
            <v>712002515.0625</v>
          </cell>
          <cell r="GI7">
            <v>711872890.125</v>
          </cell>
          <cell r="HO7">
            <v>108031793.21875</v>
          </cell>
          <cell r="HZ7">
            <v>10687634.512109375</v>
          </cell>
          <cell r="IA7">
            <v>10176200.25390625</v>
          </cell>
          <cell r="IB7">
            <v>10154027.034765625</v>
          </cell>
          <cell r="IC7">
            <v>9950032.9187499993</v>
          </cell>
          <cell r="ID7">
            <v>9936479.6351562496</v>
          </cell>
          <cell r="IE7">
            <v>9751613.5191406254</v>
          </cell>
          <cell r="IF7">
            <v>8676167.2355468757</v>
          </cell>
          <cell r="IG7">
            <v>10270703.09140625</v>
          </cell>
          <cell r="IH7">
            <v>10270703.09140625</v>
          </cell>
          <cell r="II7">
            <v>10280239.92421875</v>
          </cell>
        </row>
        <row r="8">
          <cell r="V8">
            <v>400205536.265625</v>
          </cell>
          <cell r="W8">
            <v>385079546.21875</v>
          </cell>
          <cell r="X8">
            <v>391257535.15625</v>
          </cell>
          <cell r="Y8">
            <v>367242449.984375</v>
          </cell>
          <cell r="Z8">
            <v>372165951.671875</v>
          </cell>
          <cell r="AA8">
            <v>371181772.625</v>
          </cell>
          <cell r="AB8">
            <v>315079837.0390625</v>
          </cell>
          <cell r="AC8">
            <v>391521380</v>
          </cell>
          <cell r="AD8">
            <v>391521380</v>
          </cell>
          <cell r="AE8">
            <v>392084675.421875</v>
          </cell>
          <cell r="AZ8">
            <v>184400006.96875</v>
          </cell>
          <cell r="BA8">
            <v>161959733.2734375</v>
          </cell>
          <cell r="BB8">
            <v>163273676.9921875</v>
          </cell>
          <cell r="BC8">
            <v>153443282.1328125</v>
          </cell>
          <cell r="BD8">
            <v>150060370.5859375</v>
          </cell>
          <cell r="BE8">
            <v>160651534.296875</v>
          </cell>
          <cell r="BF8">
            <v>137740139.0546875</v>
          </cell>
          <cell r="BG8">
            <v>164933410.5703125</v>
          </cell>
          <cell r="BH8">
            <v>164933410.5703125</v>
          </cell>
          <cell r="BI8">
            <v>164790172.5390625</v>
          </cell>
          <cell r="CD8">
            <v>60102350.46875</v>
          </cell>
          <cell r="CE8">
            <v>56401066.4609375</v>
          </cell>
          <cell r="CF8">
            <v>57364917.22265625</v>
          </cell>
          <cell r="CG8">
            <v>53769200.255859375</v>
          </cell>
          <cell r="CH8">
            <v>54243151.181640625</v>
          </cell>
          <cell r="CI8">
            <v>53633897.423828125</v>
          </cell>
          <cell r="CJ8">
            <v>45614397.28125</v>
          </cell>
          <cell r="CK8">
            <v>57356002.1875</v>
          </cell>
          <cell r="CL8">
            <v>57356002.1875</v>
          </cell>
          <cell r="CM8">
            <v>57414777.7890625</v>
          </cell>
          <cell r="DH8">
            <v>22019279.267578125</v>
          </cell>
          <cell r="DI8">
            <v>19454733.323242188</v>
          </cell>
          <cell r="DJ8">
            <v>19425759.315429688</v>
          </cell>
          <cell r="DK8">
            <v>18847465.985351563</v>
          </cell>
          <cell r="DL8">
            <v>18280400.451171875</v>
          </cell>
          <cell r="DM8">
            <v>19552381.078125</v>
          </cell>
          <cell r="DN8">
            <v>16696606.568359375</v>
          </cell>
          <cell r="DO8">
            <v>19666548.903320313</v>
          </cell>
          <cell r="DP8">
            <v>19666548.903320313</v>
          </cell>
          <cell r="DQ8">
            <v>19660844.655273438</v>
          </cell>
          <cell r="EL8">
            <v>156007445.3125</v>
          </cell>
          <cell r="EM8">
            <v>156007445.3125</v>
          </cell>
          <cell r="EN8">
            <v>136413477.6875</v>
          </cell>
          <cell r="EO8">
            <v>156007445.3125</v>
          </cell>
          <cell r="EP8">
            <v>156007445.3125</v>
          </cell>
          <cell r="EQ8">
            <v>135949343.21875</v>
          </cell>
          <cell r="ER8">
            <v>125920293.125</v>
          </cell>
          <cell r="ES8">
            <v>156007445.3125</v>
          </cell>
          <cell r="ET8">
            <v>156007445.3125</v>
          </cell>
          <cell r="EU8">
            <v>156007445.3125</v>
          </cell>
          <cell r="EV8">
            <v>351525788.75</v>
          </cell>
          <cell r="EW8">
            <v>346086161.25</v>
          </cell>
          <cell r="EX8">
            <v>340646528.3125</v>
          </cell>
          <cell r="EY8">
            <v>346086161.25</v>
          </cell>
          <cell r="EZ8">
            <v>346086161.25</v>
          </cell>
          <cell r="FA8">
            <v>301589369.1875</v>
          </cell>
          <cell r="FB8">
            <v>279340971.1875</v>
          </cell>
          <cell r="FC8">
            <v>346086161.25</v>
          </cell>
          <cell r="FD8">
            <v>346086161.25</v>
          </cell>
          <cell r="FE8">
            <v>348805971.125</v>
          </cell>
          <cell r="FF8">
            <v>9225867.3681640625</v>
          </cell>
          <cell r="FG8">
            <v>9225867.3681640625</v>
          </cell>
          <cell r="FH8">
            <v>8539680.49609375</v>
          </cell>
          <cell r="FI8">
            <v>9225867.3681640625</v>
          </cell>
          <cell r="FJ8">
            <v>9225867.3681640625</v>
          </cell>
          <cell r="FK8">
            <v>8039684.1982421875</v>
          </cell>
          <cell r="FL8">
            <v>7446592.7783203125</v>
          </cell>
          <cell r="FM8">
            <v>9225867.3681640625</v>
          </cell>
          <cell r="FN8">
            <v>9225867.3681640625</v>
          </cell>
          <cell r="FO8">
            <v>9225867.3681640625</v>
          </cell>
          <cell r="FP8">
            <v>16843347.91015625</v>
          </cell>
          <cell r="FQ8">
            <v>16526297.546875</v>
          </cell>
          <cell r="FR8">
            <v>16209247.06640625</v>
          </cell>
          <cell r="FS8">
            <v>16526297.546875</v>
          </cell>
          <cell r="FT8">
            <v>16526297.546875</v>
          </cell>
          <cell r="FU8">
            <v>14401487.78515625</v>
          </cell>
          <cell r="FV8">
            <v>13339083.015625</v>
          </cell>
          <cell r="FW8">
            <v>16526297.546875</v>
          </cell>
          <cell r="FX8">
            <v>16526297.546875</v>
          </cell>
          <cell r="FY8">
            <v>16684822.7890625</v>
          </cell>
          <cell r="FZ8">
            <v>740612984.0625</v>
          </cell>
          <cell r="GA8">
            <v>703046722.75</v>
          </cell>
          <cell r="GB8">
            <v>690944690.34375</v>
          </cell>
          <cell r="GC8">
            <v>676693175.5625</v>
          </cell>
          <cell r="GD8">
            <v>678233767.0625</v>
          </cell>
          <cell r="GE8">
            <v>667782654.3125</v>
          </cell>
          <cell r="GF8">
            <v>578740269.8125</v>
          </cell>
          <cell r="GG8">
            <v>712462233.5625</v>
          </cell>
          <cell r="GH8">
            <v>712462233.5625</v>
          </cell>
          <cell r="GI8">
            <v>712882289.375</v>
          </cell>
          <cell r="HO8">
            <v>108669914.53125</v>
          </cell>
          <cell r="HZ8">
            <v>10819084.438671876</v>
          </cell>
          <cell r="IA8">
            <v>10160796.398828125</v>
          </cell>
          <cell r="IB8">
            <v>10153960.475390624</v>
          </cell>
          <cell r="IC8">
            <v>9836883.0582031254</v>
          </cell>
          <cell r="ID8">
            <v>9827571.6304687504</v>
          </cell>
          <cell r="IE8">
            <v>9562745.0953125004</v>
          </cell>
          <cell r="IF8">
            <v>8309667.96484375</v>
          </cell>
          <cell r="IG8">
            <v>10277471.544140626</v>
          </cell>
          <cell r="IH8">
            <v>10277471.544140626</v>
          </cell>
          <cell r="II8">
            <v>10298631.227734376</v>
          </cell>
        </row>
        <row r="9">
          <cell r="V9">
            <v>398400561.65625</v>
          </cell>
          <cell r="W9">
            <v>378510093.140625</v>
          </cell>
          <cell r="X9">
            <v>386763264.609375</v>
          </cell>
          <cell r="Y9">
            <v>355149350.171875</v>
          </cell>
          <cell r="Z9">
            <v>362367916.265625</v>
          </cell>
          <cell r="AA9">
            <v>360136563.15625</v>
          </cell>
          <cell r="AB9">
            <v>296916981.71875</v>
          </cell>
          <cell r="AC9">
            <v>385637458.859375</v>
          </cell>
          <cell r="AD9">
            <v>385637458.859375</v>
          </cell>
          <cell r="AE9">
            <v>386950481.984375</v>
          </cell>
          <cell r="AZ9">
            <v>186104960.9375</v>
          </cell>
          <cell r="BA9">
            <v>159708786.7109375</v>
          </cell>
          <cell r="BB9">
            <v>161682406.75</v>
          </cell>
          <cell r="BC9">
            <v>148562631.9140625</v>
          </cell>
          <cell r="BD9">
            <v>144901893.1484375</v>
          </cell>
          <cell r="BE9">
            <v>156085930.7421875</v>
          </cell>
          <cell r="BF9">
            <v>130157969.984375</v>
          </cell>
          <cell r="BG9">
            <v>162974163.4921875</v>
          </cell>
          <cell r="BH9">
            <v>162974163.4921875</v>
          </cell>
          <cell r="BI9">
            <v>162953271.9296875</v>
          </cell>
          <cell r="CD9">
            <v>60315620.5078125</v>
          </cell>
          <cell r="CE9">
            <v>55650866.140625</v>
          </cell>
          <cell r="CF9">
            <v>56950989.078125</v>
          </cell>
          <cell r="CG9">
            <v>52144454.330078125</v>
          </cell>
          <cell r="CH9">
            <v>52941814.09375</v>
          </cell>
          <cell r="CI9">
            <v>52060318.130859375</v>
          </cell>
          <cell r="CJ9">
            <v>43041323.462890625</v>
          </cell>
          <cell r="CK9">
            <v>56719930.171875</v>
          </cell>
          <cell r="CL9">
            <v>56719930.171875</v>
          </cell>
          <cell r="CM9">
            <v>56880565.4296875</v>
          </cell>
          <cell r="DH9">
            <v>22138717.041015625</v>
          </cell>
          <cell r="DI9">
            <v>19146139.26171875</v>
          </cell>
          <cell r="DJ9">
            <v>19151251.112304688</v>
          </cell>
          <cell r="DK9">
            <v>18344599.7734375</v>
          </cell>
          <cell r="DL9">
            <v>17657338.577148438</v>
          </cell>
          <cell r="DM9">
            <v>18995375.465820313</v>
          </cell>
          <cell r="DN9">
            <v>15770368.940429688</v>
          </cell>
          <cell r="DO9">
            <v>19380283.673828125</v>
          </cell>
          <cell r="DP9">
            <v>19380283.673828125</v>
          </cell>
          <cell r="DQ9">
            <v>19385628.64453125</v>
          </cell>
          <cell r="EL9">
            <v>154233243.1875</v>
          </cell>
          <cell r="EM9">
            <v>154233243.1875</v>
          </cell>
          <cell r="EN9">
            <v>132150099.609375</v>
          </cell>
          <cell r="EO9">
            <v>154233243.1875</v>
          </cell>
          <cell r="EP9">
            <v>154233243.1875</v>
          </cell>
          <cell r="EQ9">
            <v>131098256.53125</v>
          </cell>
          <cell r="ER9">
            <v>119530764.09375</v>
          </cell>
          <cell r="ES9">
            <v>154233243.1875</v>
          </cell>
          <cell r="ET9">
            <v>154233243.1875</v>
          </cell>
          <cell r="EU9">
            <v>154233243.1875</v>
          </cell>
          <cell r="EV9">
            <v>347263542.125</v>
          </cell>
          <cell r="EW9">
            <v>340542652.875</v>
          </cell>
          <cell r="EX9">
            <v>333821757.5625</v>
          </cell>
          <cell r="EY9">
            <v>340542652.875</v>
          </cell>
          <cell r="EZ9">
            <v>340542652.875</v>
          </cell>
          <cell r="FA9">
            <v>289461249.9375</v>
          </cell>
          <cell r="FB9">
            <v>263920554.1875</v>
          </cell>
          <cell r="FC9">
            <v>340542652.875</v>
          </cell>
          <cell r="FD9">
            <v>340542652.875</v>
          </cell>
          <cell r="FE9">
            <v>343903101.1875</v>
          </cell>
          <cell r="FF9">
            <v>9082332.916015625</v>
          </cell>
          <cell r="FG9">
            <v>9082332.916015625</v>
          </cell>
          <cell r="FH9">
            <v>8295125.6552734375</v>
          </cell>
          <cell r="FI9">
            <v>9082332.916015625</v>
          </cell>
          <cell r="FJ9">
            <v>9082332.916015625</v>
          </cell>
          <cell r="FK9">
            <v>7719983.107421875</v>
          </cell>
          <cell r="FL9">
            <v>7038808.0947265625</v>
          </cell>
          <cell r="FM9">
            <v>9082332.916015625</v>
          </cell>
          <cell r="FN9">
            <v>9082332.916015625</v>
          </cell>
          <cell r="FO9">
            <v>9082332.916015625</v>
          </cell>
          <cell r="FP9">
            <v>16630746.390625</v>
          </cell>
          <cell r="FQ9">
            <v>16233560.48046875</v>
          </cell>
          <cell r="FR9">
            <v>15836374.4375</v>
          </cell>
          <cell r="FS9">
            <v>16233560.48046875</v>
          </cell>
          <cell r="FT9">
            <v>16233560.48046875</v>
          </cell>
          <cell r="FU9">
            <v>13798526.37109375</v>
          </cell>
          <cell r="FV9">
            <v>12581009.27734375</v>
          </cell>
          <cell r="FW9">
            <v>16233560.48046875</v>
          </cell>
          <cell r="FX9">
            <v>16233560.48046875</v>
          </cell>
          <cell r="FY9">
            <v>16432153.4296875</v>
          </cell>
          <cell r="FZ9">
            <v>738738767.6875</v>
          </cell>
          <cell r="GA9">
            <v>692452122.1875</v>
          </cell>
          <cell r="GB9">
            <v>680595771.375</v>
          </cell>
          <cell r="GC9">
            <v>657945222.5625</v>
          </cell>
          <cell r="GD9">
            <v>661503054.4375</v>
          </cell>
          <cell r="GE9">
            <v>647320753.625</v>
          </cell>
          <cell r="GF9">
            <v>546605713.28125</v>
          </cell>
          <cell r="GG9">
            <v>702844868.0625</v>
          </cell>
          <cell r="GH9">
            <v>702844868.0625</v>
          </cell>
          <cell r="GI9">
            <v>704136994.8125</v>
          </cell>
          <cell r="HO9">
            <v>107928142.05625001</v>
          </cell>
          <cell r="HZ9">
            <v>10816741.703906249</v>
          </cell>
          <cell r="IA9">
            <v>10011289.827343751</v>
          </cell>
          <cell r="IB9">
            <v>10023374.047265625</v>
          </cell>
          <cell r="IC9">
            <v>9580494.7683593743</v>
          </cell>
          <cell r="ID9">
            <v>9591504.6019531246</v>
          </cell>
          <cell r="IE9">
            <v>9257420.2585937493</v>
          </cell>
          <cell r="IF9">
            <v>7843150.9546875004</v>
          </cell>
          <cell r="IG9">
            <v>10141610.7046875</v>
          </cell>
          <cell r="IH9">
            <v>10141610.7046875</v>
          </cell>
          <cell r="II9">
            <v>10178068.042578125</v>
          </cell>
        </row>
        <row r="10">
          <cell r="V10">
            <v>398969286.484375</v>
          </cell>
          <cell r="W10">
            <v>373939426.703125</v>
          </cell>
          <cell r="X10">
            <v>384199846.640625</v>
          </cell>
          <cell r="Y10">
            <v>345525325.609375</v>
          </cell>
          <cell r="Z10">
            <v>354829191.984375</v>
          </cell>
          <cell r="AA10">
            <v>351425352.375</v>
          </cell>
          <cell r="AB10">
            <v>280802126.546875</v>
          </cell>
          <cell r="AC10">
            <v>381233024.921875</v>
          </cell>
          <cell r="AD10">
            <v>381233024.921875</v>
          </cell>
          <cell r="AE10">
            <v>383755010.734375</v>
          </cell>
          <cell r="AZ10">
            <v>188747447.515625</v>
          </cell>
          <cell r="BA10">
            <v>158389055.140625</v>
          </cell>
          <cell r="BB10">
            <v>160982320.6484375</v>
          </cell>
          <cell r="BC10">
            <v>144821466.453125</v>
          </cell>
          <cell r="BD10">
            <v>140778671.34375</v>
          </cell>
          <cell r="BE10">
            <v>152468596.6015625</v>
          </cell>
          <cell r="BF10">
            <v>123413981</v>
          </cell>
          <cell r="BG10">
            <v>161715501.609375</v>
          </cell>
          <cell r="BH10">
            <v>161715501.609375</v>
          </cell>
          <cell r="BI10">
            <v>161971600.859375</v>
          </cell>
          <cell r="CD10">
            <v>60887133.330078125</v>
          </cell>
          <cell r="CE10">
            <v>55225722.310546875</v>
          </cell>
          <cell r="CF10">
            <v>56846514.578125</v>
          </cell>
          <cell r="CG10">
            <v>50939971.244140625</v>
          </cell>
          <cell r="CH10">
            <v>51978535.181640625</v>
          </cell>
          <cell r="CI10">
            <v>50820134.865234375</v>
          </cell>
          <cell r="CJ10">
            <v>40761698.38671875</v>
          </cell>
          <cell r="CK10">
            <v>56321889.017578125</v>
          </cell>
          <cell r="CL10">
            <v>56321889.017578125</v>
          </cell>
          <cell r="CM10">
            <v>56657030.966796875</v>
          </cell>
          <cell r="DH10">
            <v>22379437.083984375</v>
          </cell>
          <cell r="DI10">
            <v>18961893.064453125</v>
          </cell>
          <cell r="DJ10">
            <v>18996238.532226563</v>
          </cell>
          <cell r="DK10">
            <v>17988907.685546875</v>
          </cell>
          <cell r="DL10">
            <v>17159168.9453125</v>
          </cell>
          <cell r="DM10">
            <v>18550808.040039063</v>
          </cell>
          <cell r="DN10">
            <v>14943070.46875</v>
          </cell>
          <cell r="DO10">
            <v>19199147.904296875</v>
          </cell>
          <cell r="DP10">
            <v>19199147.904296875</v>
          </cell>
          <cell r="DQ10">
            <v>19228371.306640625</v>
          </cell>
          <cell r="EL10">
            <v>153976532.40625</v>
          </cell>
          <cell r="EM10">
            <v>153976532.40625</v>
          </cell>
          <cell r="EN10">
            <v>129444384.578125</v>
          </cell>
          <cell r="EO10">
            <v>153976532.40625</v>
          </cell>
          <cell r="EP10">
            <v>153976532.40625</v>
          </cell>
          <cell r="EQ10">
            <v>127580555.703125</v>
          </cell>
          <cell r="ER10">
            <v>114382567.34375</v>
          </cell>
          <cell r="ES10">
            <v>153976532.40625</v>
          </cell>
          <cell r="ET10">
            <v>153976532.40625</v>
          </cell>
          <cell r="EU10">
            <v>153976532.40625</v>
          </cell>
          <cell r="EV10">
            <v>345400288.5</v>
          </cell>
          <cell r="EW10">
            <v>337300226.6875</v>
          </cell>
          <cell r="EX10">
            <v>329200159.1875</v>
          </cell>
          <cell r="EY10">
            <v>337300226.6875</v>
          </cell>
          <cell r="EZ10">
            <v>337300226.6875</v>
          </cell>
          <cell r="FA10">
            <v>279477331.1875</v>
          </cell>
          <cell r="FB10">
            <v>250565879.5625</v>
          </cell>
          <cell r="FC10">
            <v>337300226.6875</v>
          </cell>
          <cell r="FD10">
            <v>337300226.6875</v>
          </cell>
          <cell r="FE10">
            <v>341350255.625</v>
          </cell>
          <cell r="FF10">
            <v>9019642.2734375</v>
          </cell>
          <cell r="FG10">
            <v>9019642.2734375</v>
          </cell>
          <cell r="FH10">
            <v>8127472.56640625</v>
          </cell>
          <cell r="FI10">
            <v>9019642.2734375</v>
          </cell>
          <cell r="FJ10">
            <v>9019642.2734375</v>
          </cell>
          <cell r="FK10">
            <v>7473418.1181640625</v>
          </cell>
          <cell r="FL10">
            <v>6700305.822265625</v>
          </cell>
          <cell r="FM10">
            <v>9019642.2734375</v>
          </cell>
          <cell r="FN10">
            <v>9019642.2734375</v>
          </cell>
          <cell r="FO10">
            <v>9019642.2734375</v>
          </cell>
          <cell r="FP10">
            <v>16529781.66796875</v>
          </cell>
          <cell r="FQ10">
            <v>16049655.0625</v>
          </cell>
          <cell r="FR10">
            <v>15569528.34765625</v>
          </cell>
          <cell r="FS10">
            <v>16049655.0625</v>
          </cell>
          <cell r="FT10">
            <v>16049655.0625</v>
          </cell>
          <cell r="FU10">
            <v>13298285.68359375</v>
          </cell>
          <cell r="FV10">
            <v>11922600.873046875</v>
          </cell>
          <cell r="FW10">
            <v>16049655.0625</v>
          </cell>
          <cell r="FX10">
            <v>16049655.0625</v>
          </cell>
          <cell r="FY10">
            <v>16289718.4296875</v>
          </cell>
          <cell r="FZ10">
            <v>741693267.0625</v>
          </cell>
          <cell r="GA10">
            <v>686305016.875</v>
          </cell>
          <cell r="GB10">
            <v>674626550.65625</v>
          </cell>
          <cell r="GC10">
            <v>644323323</v>
          </cell>
          <cell r="GD10">
            <v>649584397.0625</v>
          </cell>
          <cell r="GE10">
            <v>631474511.65625</v>
          </cell>
          <cell r="GF10">
            <v>518598672.0625</v>
          </cell>
          <cell r="GG10">
            <v>696925058.5</v>
          </cell>
          <cell r="GH10">
            <v>696925058.5</v>
          </cell>
          <cell r="GI10">
            <v>699703142.0625</v>
          </cell>
          <cell r="HO10">
            <v>107899349.375</v>
          </cell>
          <cell r="HZ10">
            <v>10881599.446484376</v>
          </cell>
          <cell r="IA10">
            <v>9925691.310546875</v>
          </cell>
          <cell r="IB10">
            <v>9953975.3800781257</v>
          </cell>
          <cell r="IC10">
            <v>9399817.669921875</v>
          </cell>
          <cell r="ID10">
            <v>9420700.1882812493</v>
          </cell>
          <cell r="IE10">
            <v>9014264.6453124993</v>
          </cell>
          <cell r="IF10">
            <v>7432767.5583984377</v>
          </cell>
          <cell r="IG10">
            <v>10059033.425390625</v>
          </cell>
          <cell r="IH10">
            <v>10059033.425390625</v>
          </cell>
          <cell r="II10">
            <v>10119476.314453125</v>
          </cell>
        </row>
        <row r="11">
          <cell r="V11">
            <v>399432121.25</v>
          </cell>
          <cell r="W11">
            <v>369056120.484375</v>
          </cell>
          <cell r="X11">
            <v>381101789.125</v>
          </cell>
          <cell r="Y11">
            <v>335928019.5</v>
          </cell>
          <cell r="Z11">
            <v>347335517.828125</v>
          </cell>
          <cell r="AA11">
            <v>342728068.390625</v>
          </cell>
          <cell r="AB11">
            <v>264758329.3125</v>
          </cell>
          <cell r="AC11">
            <v>376215553.671875</v>
          </cell>
          <cell r="AD11">
            <v>376215553.671875</v>
          </cell>
          <cell r="AE11">
            <v>380337454.59375</v>
          </cell>
          <cell r="AZ11">
            <v>191349294.5625</v>
          </cell>
          <cell r="BA11">
            <v>157133558.078125</v>
          </cell>
          <cell r="BB11">
            <v>160285436.65625</v>
          </cell>
          <cell r="BC11">
            <v>141283314.734375</v>
          </cell>
          <cell r="BD11">
            <v>136855206.609375</v>
          </cell>
          <cell r="BE11">
            <v>148855095.8828125</v>
          </cell>
          <cell r="BF11">
            <v>116696731.78125</v>
          </cell>
          <cell r="BG11">
            <v>160390519.53125</v>
          </cell>
          <cell r="BH11">
            <v>160390519.53125</v>
          </cell>
          <cell r="BI11">
            <v>161072779.421875</v>
          </cell>
          <cell r="CD11">
            <v>61451767.140625</v>
          </cell>
          <cell r="CE11">
            <v>54780617.01953125</v>
          </cell>
          <cell r="CF11">
            <v>56695222.166015625</v>
          </cell>
          <cell r="CG11">
            <v>49756035.650390625</v>
          </cell>
          <cell r="CH11">
            <v>51026650.26171875</v>
          </cell>
          <cell r="CI11">
            <v>49586427.775390625</v>
          </cell>
          <cell r="CJ11">
            <v>38495789.923828125</v>
          </cell>
          <cell r="CK11">
            <v>55859546.421875</v>
          </cell>
          <cell r="CL11">
            <v>55859546.421875</v>
          </cell>
          <cell r="CM11">
            <v>56429246.39453125</v>
          </cell>
          <cell r="DH11">
            <v>22618434.890625</v>
          </cell>
          <cell r="DI11">
            <v>18791697.05078125</v>
          </cell>
          <cell r="DJ11">
            <v>18851416.900390625</v>
          </cell>
          <cell r="DK11">
            <v>17658568.533203125</v>
          </cell>
          <cell r="DL11">
            <v>16688423.104492188</v>
          </cell>
          <cell r="DM11">
            <v>18108821.482421875</v>
          </cell>
          <cell r="DN11">
            <v>14120750.268554688</v>
          </cell>
          <cell r="DO11">
            <v>19022619.33984375</v>
          </cell>
          <cell r="DP11">
            <v>19022619.33984375</v>
          </cell>
          <cell r="DQ11">
            <v>19087049.01171875</v>
          </cell>
          <cell r="EL11">
            <v>153916285</v>
          </cell>
          <cell r="EM11">
            <v>153916285</v>
          </cell>
          <cell r="EN11">
            <v>127170589</v>
          </cell>
          <cell r="EO11">
            <v>153916285</v>
          </cell>
          <cell r="EP11">
            <v>153916285</v>
          </cell>
          <cell r="EQ11">
            <v>124232428.4375</v>
          </cell>
          <cell r="ER11">
            <v>109390501.625</v>
          </cell>
          <cell r="ES11">
            <v>153916285</v>
          </cell>
          <cell r="ET11">
            <v>153916285</v>
          </cell>
          <cell r="EU11">
            <v>153916285</v>
          </cell>
          <cell r="EV11">
            <v>343400110.6875</v>
          </cell>
          <cell r="EW11">
            <v>333861518.75</v>
          </cell>
          <cell r="EX11">
            <v>324322938.375</v>
          </cell>
          <cell r="EY11">
            <v>333861518.75</v>
          </cell>
          <cell r="EZ11">
            <v>333861518.75</v>
          </cell>
          <cell r="FA11">
            <v>269473942.8125</v>
          </cell>
          <cell r="FB11">
            <v>237280152</v>
          </cell>
          <cell r="FC11">
            <v>333861518.75</v>
          </cell>
          <cell r="FD11">
            <v>333861518.75</v>
          </cell>
          <cell r="FE11">
            <v>338630813.6875</v>
          </cell>
          <cell r="FF11">
            <v>8954379.962890625</v>
          </cell>
          <cell r="FG11">
            <v>8954379.962890625</v>
          </cell>
          <cell r="FH11">
            <v>7959727.6923828125</v>
          </cell>
          <cell r="FI11">
            <v>8954379.962890625</v>
          </cell>
          <cell r="FJ11">
            <v>8954379.962890625</v>
          </cell>
          <cell r="FK11">
            <v>7227463.8662109375</v>
          </cell>
          <cell r="FL11">
            <v>6364005.875</v>
          </cell>
          <cell r="FM11">
            <v>8954379.962890625</v>
          </cell>
          <cell r="FN11">
            <v>8954379.962890625</v>
          </cell>
          <cell r="FO11">
            <v>8954379.962890625</v>
          </cell>
          <cell r="FP11">
            <v>16420680.36328125</v>
          </cell>
          <cell r="FQ11">
            <v>15859244.78515625</v>
          </cell>
          <cell r="FR11">
            <v>15297809.55859375</v>
          </cell>
          <cell r="FS11">
            <v>15859244.78515625</v>
          </cell>
          <cell r="FT11">
            <v>15859244.78515625</v>
          </cell>
          <cell r="FU11">
            <v>12800676.25390625</v>
          </cell>
          <cell r="FV11">
            <v>11271391.75</v>
          </cell>
          <cell r="FW11">
            <v>15859244.78515625</v>
          </cell>
          <cell r="FX11">
            <v>15859244.78515625</v>
          </cell>
          <cell r="FY11">
            <v>16139962.63671875</v>
          </cell>
          <cell r="FZ11">
            <v>744697696.25</v>
          </cell>
          <cell r="GA11">
            <v>680105960.625</v>
          </cell>
          <cell r="GB11">
            <v>668557814.0625</v>
          </cell>
          <cell r="GC11">
            <v>631127618.125</v>
          </cell>
          <cell r="GD11">
            <v>638107007.6875</v>
          </cell>
          <cell r="GE11">
            <v>615815589.875</v>
          </cell>
          <cell r="GF11">
            <v>490845565.5</v>
          </cell>
          <cell r="GG11">
            <v>690522354.5625</v>
          </cell>
          <cell r="GH11">
            <v>690522354.5625</v>
          </cell>
          <cell r="GI11">
            <v>695326518.4375</v>
          </cell>
          <cell r="HO11">
            <v>107855921.5</v>
          </cell>
          <cell r="HZ11">
            <v>10944526.273046875</v>
          </cell>
          <cell r="IA11">
            <v>9838593.9058593754</v>
          </cell>
          <cell r="IB11">
            <v>9880417.5390625</v>
          </cell>
          <cell r="IC11">
            <v>9222822.9171875007</v>
          </cell>
          <cell r="ID11">
            <v>9252869.8035156243</v>
          </cell>
          <cell r="IE11">
            <v>8772338.958984375</v>
          </cell>
          <cell r="IF11">
            <v>7025193.7671875004</v>
          </cell>
          <cell r="IG11">
            <v>9969579.0636718757</v>
          </cell>
          <cell r="IH11">
            <v>9969579.0636718757</v>
          </cell>
          <cell r="II11">
            <v>10061063.816015625</v>
          </cell>
        </row>
        <row r="12">
          <cell r="V12">
            <v>402381933.515625</v>
          </cell>
          <cell r="W12">
            <v>366314207.4609375</v>
          </cell>
          <cell r="X12">
            <v>379721139.3671875</v>
          </cell>
          <cell r="Y12">
            <v>328745500.71875</v>
          </cell>
          <cell r="Z12">
            <v>342201692.6328125</v>
          </cell>
          <cell r="AA12">
            <v>336233775.703125</v>
          </cell>
          <cell r="AB12">
            <v>250430163.1796875</v>
          </cell>
          <cell r="AC12">
            <v>373336124.8671875</v>
          </cell>
          <cell r="AD12">
            <v>373336124.8671875</v>
          </cell>
          <cell r="AE12">
            <v>379045084.65625</v>
          </cell>
          <cell r="AZ12">
            <v>195019913.59375</v>
          </cell>
          <cell r="BA12">
            <v>156967965.265625</v>
          </cell>
          <cell r="BB12">
            <v>160564616.046875</v>
          </cell>
          <cell r="BC12">
            <v>138954158.671875</v>
          </cell>
          <cell r="BD12">
            <v>134024102.0546875</v>
          </cell>
          <cell r="BE12">
            <v>146142322.265625</v>
          </cell>
          <cell r="BF12">
            <v>110688910</v>
          </cell>
          <cell r="BG12">
            <v>160157759.015625</v>
          </cell>
          <cell r="BH12">
            <v>160157759.015625</v>
          </cell>
          <cell r="BI12">
            <v>161259481.171875</v>
          </cell>
          <cell r="CD12">
            <v>62383140.2265625</v>
          </cell>
          <cell r="CE12">
            <v>54679596.466796875</v>
          </cell>
          <cell r="CF12">
            <v>56834523.619140625</v>
          </cell>
          <cell r="CG12">
            <v>48946158.01953125</v>
          </cell>
          <cell r="CH12">
            <v>50401777.802734375</v>
          </cell>
          <cell r="CI12">
            <v>48650783.560546875</v>
          </cell>
          <cell r="CJ12">
            <v>36464255.05859375</v>
          </cell>
          <cell r="CK12">
            <v>55740971.208984375</v>
          </cell>
          <cell r="CL12">
            <v>55740971.208984375</v>
          </cell>
          <cell r="CM12">
            <v>56545775.361328125</v>
          </cell>
          <cell r="DH12">
            <v>22976080.7109375</v>
          </cell>
          <cell r="DI12">
            <v>18744997.76171875</v>
          </cell>
          <cell r="DJ12">
            <v>18821537.14453125</v>
          </cell>
          <cell r="DK12">
            <v>17460591.9921875</v>
          </cell>
          <cell r="DL12">
            <v>16343295.29296875</v>
          </cell>
          <cell r="DM12">
            <v>17767512.290039063</v>
          </cell>
          <cell r="DN12">
            <v>13377208.19140625</v>
          </cell>
          <cell r="DO12">
            <v>18969875.267578125</v>
          </cell>
          <cell r="DP12">
            <v>18969875.267578125</v>
          </cell>
          <cell r="DQ12">
            <v>19069092.306640625</v>
          </cell>
          <cell r="EL12">
            <v>155243699.0625</v>
          </cell>
          <cell r="EM12">
            <v>155243699.0625</v>
          </cell>
          <cell r="EN12">
            <v>126179938.328125</v>
          </cell>
          <cell r="EO12">
            <v>155243699.0625</v>
          </cell>
          <cell r="EP12">
            <v>155243699.0625</v>
          </cell>
          <cell r="EQ12">
            <v>121977191.625</v>
          </cell>
          <cell r="ER12">
            <v>105343937.5</v>
          </cell>
          <cell r="ES12">
            <v>155243699.0625</v>
          </cell>
          <cell r="ET12">
            <v>155243699.0625</v>
          </cell>
          <cell r="EU12">
            <v>155243699.0625</v>
          </cell>
          <cell r="EV12">
            <v>343606508.6875</v>
          </cell>
          <cell r="EW12">
            <v>332635199.1875</v>
          </cell>
          <cell r="EX12">
            <v>321663887.625</v>
          </cell>
          <cell r="EY12">
            <v>332635199.1875</v>
          </cell>
          <cell r="EZ12">
            <v>332635199.1875</v>
          </cell>
          <cell r="FA12">
            <v>261356230.4375</v>
          </cell>
          <cell r="FB12">
            <v>225716743.3125</v>
          </cell>
          <cell r="FC12">
            <v>332635199.1875</v>
          </cell>
          <cell r="FD12">
            <v>332635199.1875</v>
          </cell>
          <cell r="FE12">
            <v>338120854.8125</v>
          </cell>
          <cell r="FF12">
            <v>8964522.2841796875</v>
          </cell>
          <cell r="FG12">
            <v>8964522.2841796875</v>
          </cell>
          <cell r="FH12">
            <v>7860685.708984375</v>
          </cell>
          <cell r="FI12">
            <v>8964522.2841796875</v>
          </cell>
          <cell r="FJ12">
            <v>8964522.2841796875</v>
          </cell>
          <cell r="FK12">
            <v>7043553.306640625</v>
          </cell>
          <cell r="FL12">
            <v>6083068.787109375</v>
          </cell>
          <cell r="FM12">
            <v>8964522.2841796875</v>
          </cell>
          <cell r="FN12">
            <v>8964522.2841796875</v>
          </cell>
          <cell r="FO12">
            <v>8964522.2841796875</v>
          </cell>
          <cell r="FP12">
            <v>16413001.87109375</v>
          </cell>
          <cell r="FQ12">
            <v>15767715.8984375</v>
          </cell>
          <cell r="FR12">
            <v>15122430.63671875</v>
          </cell>
          <cell r="FS12">
            <v>15767715.8984375</v>
          </cell>
          <cell r="FT12">
            <v>15767715.8984375</v>
          </cell>
          <cell r="FU12">
            <v>12388919.70703125</v>
          </cell>
          <cell r="FV12">
            <v>10699521.55859375</v>
          </cell>
          <cell r="FW12">
            <v>15767715.8984375</v>
          </cell>
          <cell r="FX12">
            <v>15767715.8984375</v>
          </cell>
          <cell r="FY12">
            <v>16090358.7109375</v>
          </cell>
          <cell r="FZ12">
            <v>752645547.375</v>
          </cell>
          <cell r="GA12">
            <v>678525872.6875</v>
          </cell>
          <cell r="GB12">
            <v>666465697.6875</v>
          </cell>
          <cell r="GC12">
            <v>622943358.5</v>
          </cell>
          <cell r="GD12">
            <v>631469492.3125</v>
          </cell>
          <cell r="GE12">
            <v>604353288.8125</v>
          </cell>
          <cell r="GF12">
            <v>466463012</v>
          </cell>
          <cell r="GG12">
            <v>688737581.5625</v>
          </cell>
          <cell r="GH12">
            <v>688737581.5625</v>
          </cell>
          <cell r="GI12">
            <v>695548263.4375</v>
          </cell>
          <cell r="HO12">
            <v>108528074.65625</v>
          </cell>
          <cell r="HZ12">
            <v>11073674.473828126</v>
          </cell>
          <cell r="IA12">
            <v>9815683.2183593754</v>
          </cell>
          <cell r="IB12">
            <v>9863917.6937499996</v>
          </cell>
          <cell r="IC12">
            <v>9113898.8285156246</v>
          </cell>
          <cell r="ID12">
            <v>9147731.1304687504</v>
          </cell>
          <cell r="IE12">
            <v>8585076.8480468746</v>
          </cell>
          <cell r="IF12">
            <v>6662405.3949218746</v>
          </cell>
          <cell r="IG12">
            <v>9944308.4246093743</v>
          </cell>
          <cell r="IH12">
            <v>9944308.4246093743</v>
          </cell>
          <cell r="II12">
            <v>10066974.837890625</v>
          </cell>
        </row>
        <row r="13">
          <cell r="V13">
            <v>400136800.0625</v>
          </cell>
          <cell r="W13">
            <v>358214362.96875</v>
          </cell>
          <cell r="X13">
            <v>372499202.3515625</v>
          </cell>
          <cell r="Y13">
            <v>316453539.609375</v>
          </cell>
          <cell r="Z13">
            <v>332678059.671875</v>
          </cell>
          <cell r="AA13">
            <v>325613997.78125</v>
          </cell>
          <cell r="AB13">
            <v>233067253.703125</v>
          </cell>
          <cell r="AC13">
            <v>365086415.625</v>
          </cell>
          <cell r="AD13">
            <v>365086415.625</v>
          </cell>
          <cell r="AE13">
            <v>372215615.015625</v>
          </cell>
          <cell r="AZ13">
            <v>196324438.703125</v>
          </cell>
          <cell r="BA13">
            <v>155024349.9296875</v>
          </cell>
          <cell r="BB13">
            <v>158994365.796875</v>
          </cell>
          <cell r="BC13">
            <v>134930200.3359375</v>
          </cell>
          <cell r="BD13">
            <v>129859404.5625</v>
          </cell>
          <cell r="BE13">
            <v>141739449.3125</v>
          </cell>
          <cell r="BF13">
            <v>103419644.4609375</v>
          </cell>
          <cell r="BG13">
            <v>158151446.9453125</v>
          </cell>
          <cell r="BH13">
            <v>158151446.9453125</v>
          </cell>
          <cell r="BI13">
            <v>159616210.8828125</v>
          </cell>
          <cell r="CD13">
            <v>62554741.6484375</v>
          </cell>
          <cell r="CE13">
            <v>53832419.7421875</v>
          </cell>
          <cell r="CF13">
            <v>56191152.109375</v>
          </cell>
          <cell r="CG13">
            <v>47325573.5078125</v>
          </cell>
          <cell r="CH13">
            <v>49132072.005859375</v>
          </cell>
          <cell r="CI13">
            <v>47134630.451171875</v>
          </cell>
          <cell r="CJ13">
            <v>34002460.7265625</v>
          </cell>
          <cell r="CK13">
            <v>54886284.92578125</v>
          </cell>
          <cell r="CL13">
            <v>54886284.92578125</v>
          </cell>
          <cell r="CM13">
            <v>55902069.1953125</v>
          </cell>
          <cell r="DH13">
            <v>23084601.109375</v>
          </cell>
          <cell r="DI13">
            <v>18509222.08984375</v>
          </cell>
          <cell r="DJ13">
            <v>18605696.177734375</v>
          </cell>
          <cell r="DK13">
            <v>17059898.4375</v>
          </cell>
          <cell r="DL13">
            <v>15837090.348632813</v>
          </cell>
          <cell r="DM13">
            <v>17230231.18359375</v>
          </cell>
          <cell r="DN13">
            <v>12489311.174804688</v>
          </cell>
          <cell r="DO13">
            <v>18730874.146484375</v>
          </cell>
          <cell r="DP13">
            <v>18730874.146484375</v>
          </cell>
          <cell r="DQ13">
            <v>18859873.654296875</v>
          </cell>
          <cell r="EL13">
            <v>154360013.46875</v>
          </cell>
          <cell r="EM13">
            <v>154360013.46875</v>
          </cell>
          <cell r="EN13">
            <v>123673665.703125</v>
          </cell>
          <cell r="EO13">
            <v>154360013.46875</v>
          </cell>
          <cell r="EP13">
            <v>154360013.46875</v>
          </cell>
          <cell r="EQ13">
            <v>117975153.703125</v>
          </cell>
          <cell r="ER13">
            <v>99782722.53125</v>
          </cell>
          <cell r="ES13">
            <v>154360013.46875</v>
          </cell>
          <cell r="ET13">
            <v>154360013.46875</v>
          </cell>
          <cell r="EU13">
            <v>154360013.46875</v>
          </cell>
          <cell r="EV13">
            <v>339434785.25</v>
          </cell>
          <cell r="EW13">
            <v>327207065.5625</v>
          </cell>
          <cell r="EX13">
            <v>314979346.25</v>
          </cell>
          <cell r="EY13">
            <v>327207065.5625</v>
          </cell>
          <cell r="EZ13">
            <v>327207065.5625</v>
          </cell>
          <cell r="FA13">
            <v>250079685.875</v>
          </cell>
          <cell r="FB13">
            <v>211515993.25</v>
          </cell>
          <cell r="FC13">
            <v>327207065.5625</v>
          </cell>
          <cell r="FD13">
            <v>327207065.5625</v>
          </cell>
          <cell r="FE13">
            <v>333320926.375</v>
          </cell>
          <cell r="FF13">
            <v>8825807.314453125</v>
          </cell>
          <cell r="FG13">
            <v>8825807.314453125</v>
          </cell>
          <cell r="FH13">
            <v>7633700.7333984375</v>
          </cell>
          <cell r="FI13">
            <v>8825807.314453125</v>
          </cell>
          <cell r="FJ13">
            <v>8825807.314453125</v>
          </cell>
          <cell r="FK13">
            <v>6745438.5771484375</v>
          </cell>
          <cell r="FL13">
            <v>5705254.1181640625</v>
          </cell>
          <cell r="FM13">
            <v>8825807.314453125</v>
          </cell>
          <cell r="FN13">
            <v>8825807.314453125</v>
          </cell>
          <cell r="FO13">
            <v>8825807.314453125</v>
          </cell>
          <cell r="FP13">
            <v>16204388.56640625</v>
          </cell>
          <cell r="FQ13">
            <v>15484079.66796875</v>
          </cell>
          <cell r="FR13">
            <v>14763771.24609375</v>
          </cell>
          <cell r="FS13">
            <v>15484079.66796875</v>
          </cell>
          <cell r="FT13">
            <v>15484079.66796875</v>
          </cell>
          <cell r="FU13">
            <v>11834261.033203125</v>
          </cell>
          <cell r="FV13">
            <v>10009351.736328125</v>
          </cell>
          <cell r="FW13">
            <v>15484079.66796875</v>
          </cell>
          <cell r="FX13">
            <v>15484079.66796875</v>
          </cell>
          <cell r="FY13">
            <v>15844234.29296875</v>
          </cell>
          <cell r="FZ13">
            <v>750821256.4375</v>
          </cell>
          <cell r="GA13">
            <v>667598732.625</v>
          </cell>
          <cell r="GB13">
            <v>655167237.84375</v>
          </cell>
          <cell r="GC13">
            <v>605743753.5</v>
          </cell>
          <cell r="GD13">
            <v>616897477.09375</v>
          </cell>
          <cell r="GE13">
            <v>585328599.875</v>
          </cell>
          <cell r="GF13">
            <v>436269621.125</v>
          </cell>
          <cell r="GG13">
            <v>677597882.1875</v>
          </cell>
          <cell r="GH13">
            <v>677597882.1875</v>
          </cell>
          <cell r="GI13">
            <v>686191842.6875</v>
          </cell>
          <cell r="HO13">
            <v>107802832.2</v>
          </cell>
          <cell r="HZ13">
            <v>11066953.923828125</v>
          </cell>
          <cell r="IA13">
            <v>9665152.9039062504</v>
          </cell>
          <cell r="IB13">
            <v>9719432.0535156243</v>
          </cell>
          <cell r="IC13">
            <v>8869535.9156250004</v>
          </cell>
          <cell r="ID13">
            <v>8927904.9792968743</v>
          </cell>
          <cell r="IE13">
            <v>8294456.1091796877</v>
          </cell>
          <cell r="IF13">
            <v>6220637.7783203125</v>
          </cell>
          <cell r="IG13">
            <v>9792704.6374999993</v>
          </cell>
          <cell r="IH13">
            <v>9792704.6374999993</v>
          </cell>
          <cell r="II13">
            <v>9943198.4832031243</v>
          </cell>
        </row>
        <row r="14">
          <cell r="V14">
            <v>399928417.65625</v>
          </cell>
          <cell r="W14">
            <v>352302577.5</v>
          </cell>
          <cell r="X14">
            <v>367072435.390625</v>
          </cell>
          <cell r="Y14">
            <v>306663307</v>
          </cell>
          <cell r="Z14">
            <v>325483372.9140625</v>
          </cell>
          <cell r="AA14">
            <v>317019566.5</v>
          </cell>
          <cell r="AB14">
            <v>217289111.859375</v>
          </cell>
          <cell r="AC14">
            <v>359027493.96875</v>
          </cell>
          <cell r="AD14">
            <v>359027493.96875</v>
          </cell>
          <cell r="AE14">
            <v>367555688.46875</v>
          </cell>
          <cell r="AZ14">
            <v>198567936.59375</v>
          </cell>
          <cell r="BA14">
            <v>154207313.03125</v>
          </cell>
          <cell r="BB14">
            <v>158461596.9765625</v>
          </cell>
          <cell r="BC14">
            <v>132139540.46875</v>
          </cell>
          <cell r="BD14">
            <v>126773126.7421875</v>
          </cell>
          <cell r="BE14">
            <v>138170475.5625</v>
          </cell>
          <cell r="BF14">
            <v>96809835.859375</v>
          </cell>
          <cell r="BG14">
            <v>157276813.3125</v>
          </cell>
          <cell r="BH14">
            <v>157276813.3125</v>
          </cell>
          <cell r="BI14">
            <v>159099962.84375</v>
          </cell>
          <cell r="CD14">
            <v>63103225.93359375</v>
          </cell>
          <cell r="CE14">
            <v>53381199.470703125</v>
          </cell>
          <cell r="CF14">
            <v>55870128.4375</v>
          </cell>
          <cell r="CG14">
            <v>46189814.951171875</v>
          </cell>
          <cell r="CH14">
            <v>48221694.208984375</v>
          </cell>
          <cell r="CI14">
            <v>45924177.6328125</v>
          </cell>
          <cell r="CJ14">
            <v>31780635.00390625</v>
          </cell>
          <cell r="CK14">
            <v>54418050.333984375</v>
          </cell>
          <cell r="CL14">
            <v>54418050.333984375</v>
          </cell>
          <cell r="CM14">
            <v>55650356.861328125</v>
          </cell>
          <cell r="DH14">
            <v>23316298.5</v>
          </cell>
          <cell r="DI14">
            <v>18421797.056640625</v>
          </cell>
          <cell r="DJ14">
            <v>18527886.4375</v>
          </cell>
          <cell r="DK14">
            <v>16827205.39453125</v>
          </cell>
          <cell r="DL14">
            <v>15468786.470703125</v>
          </cell>
          <cell r="DM14">
            <v>16795957.765625</v>
          </cell>
          <cell r="DN14">
            <v>11681870.505859375</v>
          </cell>
          <cell r="DO14">
            <v>18638407.962890625</v>
          </cell>
          <cell r="DP14">
            <v>18638407.962890625</v>
          </cell>
          <cell r="DQ14">
            <v>18797785.095703125</v>
          </cell>
          <cell r="EL14">
            <v>154762635</v>
          </cell>
          <cell r="EM14">
            <v>154762635</v>
          </cell>
          <cell r="EN14">
            <v>122250330.359375</v>
          </cell>
          <cell r="EO14">
            <v>154762635</v>
          </cell>
          <cell r="EP14">
            <v>154762635</v>
          </cell>
          <cell r="EQ14">
            <v>114966526.21875</v>
          </cell>
          <cell r="ER14">
            <v>95068474.03125</v>
          </cell>
          <cell r="ES14">
            <v>154762635</v>
          </cell>
          <cell r="ET14">
            <v>154762635</v>
          </cell>
          <cell r="EU14">
            <v>154762635</v>
          </cell>
          <cell r="EV14">
            <v>337469493.0625</v>
          </cell>
          <cell r="EW14">
            <v>324045309.0625</v>
          </cell>
          <cell r="EX14">
            <v>310621132.5625</v>
          </cell>
          <cell r="EY14">
            <v>324045309.0625</v>
          </cell>
          <cell r="EZ14">
            <v>324045309.0625</v>
          </cell>
          <cell r="FA14">
            <v>240719372.625</v>
          </cell>
          <cell r="FB14">
            <v>199056404.53125</v>
          </cell>
          <cell r="FC14">
            <v>324045309.0625</v>
          </cell>
          <cell r="FD14">
            <v>324045309.0625</v>
          </cell>
          <cell r="FE14">
            <v>330757399.3125</v>
          </cell>
          <cell r="FF14">
            <v>8762462.984375</v>
          </cell>
          <cell r="FG14">
            <v>8762462.984375</v>
          </cell>
          <cell r="FH14">
            <v>7475326.5888671875</v>
          </cell>
          <cell r="FI14">
            <v>8762462.984375</v>
          </cell>
          <cell r="FJ14">
            <v>8762462.984375</v>
          </cell>
          <cell r="FK14">
            <v>6509258.1572265625</v>
          </cell>
          <cell r="FL14">
            <v>5382655.6669921875</v>
          </cell>
          <cell r="FM14">
            <v>8762462.984375</v>
          </cell>
          <cell r="FN14">
            <v>8762462.984375</v>
          </cell>
          <cell r="FO14">
            <v>8762462.984375</v>
          </cell>
          <cell r="FP14">
            <v>16097190.58984375</v>
          </cell>
          <cell r="FQ14">
            <v>15300345.58203125</v>
          </cell>
          <cell r="FR14">
            <v>14503500.70703125</v>
          </cell>
          <cell r="FS14">
            <v>15300345.58203125</v>
          </cell>
          <cell r="FT14">
            <v>15300345.58203125</v>
          </cell>
          <cell r="FU14">
            <v>11365970.958984375</v>
          </cell>
          <cell r="FV14">
            <v>9398783.912109375</v>
          </cell>
          <cell r="FW14">
            <v>15300345.58203125</v>
          </cell>
          <cell r="FX14">
            <v>15300345.58203125</v>
          </cell>
          <cell r="FY14">
            <v>15698768.26953125</v>
          </cell>
          <cell r="FZ14">
            <v>753258992.375</v>
          </cell>
          <cell r="GA14">
            <v>661272530.25</v>
          </cell>
          <cell r="GB14">
            <v>647784365.1875</v>
          </cell>
          <cell r="GC14">
            <v>593565485.75</v>
          </cell>
          <cell r="GD14">
            <v>607019137.4375</v>
          </cell>
          <cell r="GE14">
            <v>570156571.40625</v>
          </cell>
          <cell r="GF14">
            <v>409167421.71875</v>
          </cell>
          <cell r="GG14">
            <v>671066945.625</v>
          </cell>
          <cell r="GH14">
            <v>671066945.625</v>
          </cell>
          <cell r="GI14">
            <v>681418290.9375</v>
          </cell>
          <cell r="HO14">
            <v>107730430.14375</v>
          </cell>
          <cell r="HZ14">
            <v>11127917.818359375</v>
          </cell>
          <cell r="IA14">
            <v>9586580.5328125004</v>
          </cell>
          <cell r="IB14">
            <v>9637684.2414062507</v>
          </cell>
          <cell r="IC14">
            <v>8707982.8894531243</v>
          </cell>
          <cell r="ID14">
            <v>8775328.958984375</v>
          </cell>
          <cell r="IE14">
            <v>8059536.4568359377</v>
          </cell>
          <cell r="IF14">
            <v>5824394.5169921871</v>
          </cell>
          <cell r="IG14">
            <v>9711926.7093749996</v>
          </cell>
          <cell r="IH14">
            <v>9711926.7093749996</v>
          </cell>
          <cell r="II14">
            <v>9890937.3394531254</v>
          </cell>
        </row>
        <row r="15">
          <cell r="V15">
            <v>399698647.921875</v>
          </cell>
          <cell r="W15">
            <v>346638044.484375</v>
          </cell>
          <cell r="X15">
            <v>361569025.1015625</v>
          </cell>
          <cell r="Y15">
            <v>297211256.625</v>
          </cell>
          <cell r="Z15">
            <v>318608897.078125</v>
          </cell>
          <cell r="AA15">
            <v>308580974.859375</v>
          </cell>
          <cell r="AB15">
            <v>201684209.171875</v>
          </cell>
          <cell r="AC15">
            <v>353234189.046875</v>
          </cell>
          <cell r="AD15">
            <v>353234189.046875</v>
          </cell>
          <cell r="AE15">
            <v>363111522.65625</v>
          </cell>
          <cell r="AZ15">
            <v>200804824.3125</v>
          </cell>
          <cell r="BA15">
            <v>153756603.1875</v>
          </cell>
          <cell r="BB15">
            <v>158250254.4609375</v>
          </cell>
          <cell r="BC15">
            <v>129727381.40625</v>
          </cell>
          <cell r="BD15">
            <v>124052644.578125</v>
          </cell>
          <cell r="BE15">
            <v>134660438.3359375</v>
          </cell>
          <cell r="BF15">
            <v>90266900.6796875</v>
          </cell>
          <cell r="BG15">
            <v>156779283.390625</v>
          </cell>
          <cell r="BH15">
            <v>156779283.390625</v>
          </cell>
          <cell r="BI15">
            <v>158946040.6875</v>
          </cell>
          <cell r="CD15">
            <v>63645056.13671875</v>
          </cell>
          <cell r="CE15">
            <v>52947009.724609375</v>
          </cell>
          <cell r="CF15">
            <v>55511485.37890625</v>
          </cell>
          <cell r="CG15">
            <v>45085150.908203125</v>
          </cell>
          <cell r="CH15">
            <v>47330751.607421875</v>
          </cell>
          <cell r="CI15">
            <v>44720526.03515625</v>
          </cell>
          <cell r="CJ15">
            <v>29572687.275390625</v>
          </cell>
          <cell r="CK15">
            <v>53967874.958984375</v>
          </cell>
          <cell r="CL15">
            <v>53967874.958984375</v>
          </cell>
          <cell r="CM15">
            <v>55411855.3515625</v>
          </cell>
          <cell r="DH15">
            <v>23547040.470703125</v>
          </cell>
          <cell r="DI15">
            <v>18378407.005859375</v>
          </cell>
          <cell r="DJ15">
            <v>18491478.27734375</v>
          </cell>
          <cell r="DK15">
            <v>16640556.3359375</v>
          </cell>
          <cell r="DL15">
            <v>15140762.236328125</v>
          </cell>
          <cell r="DM15">
            <v>16363997.22265625</v>
          </cell>
          <cell r="DN15">
            <v>10879167.000976563</v>
          </cell>
          <cell r="DO15">
            <v>18590560.24609375</v>
          </cell>
          <cell r="DP15">
            <v>18590560.24609375</v>
          </cell>
          <cell r="DQ15">
            <v>18778979.333984375</v>
          </cell>
          <cell r="EL15">
            <v>155239812.1875</v>
          </cell>
          <cell r="EM15">
            <v>155239812.1875</v>
          </cell>
          <cell r="EN15">
            <v>120949030.4375</v>
          </cell>
          <cell r="EO15">
            <v>155239812.1875</v>
          </cell>
          <cell r="EP15">
            <v>155239812.1875</v>
          </cell>
          <cell r="EQ15">
            <v>111994435.578125</v>
          </cell>
          <cell r="ER15">
            <v>90371746.328125</v>
          </cell>
          <cell r="ES15">
            <v>155239812.1875</v>
          </cell>
          <cell r="ET15">
            <v>155239812.1875</v>
          </cell>
          <cell r="EU15">
            <v>155239812.1875</v>
          </cell>
          <cell r="EV15">
            <v>335515706.875</v>
          </cell>
          <cell r="EW15">
            <v>321013859.1875</v>
          </cell>
          <cell r="EX15">
            <v>306512013.5625</v>
          </cell>
          <cell r="EY15">
            <v>321013859.1875</v>
          </cell>
          <cell r="EZ15">
            <v>321013859.1875</v>
          </cell>
          <cell r="FA15">
            <v>231588568.8125</v>
          </cell>
          <cell r="FB15">
            <v>186875925.53125</v>
          </cell>
          <cell r="FC15">
            <v>321013859.1875</v>
          </cell>
          <cell r="FD15">
            <v>321013859.1875</v>
          </cell>
          <cell r="FE15">
            <v>328264779.4375</v>
          </cell>
          <cell r="FF15">
            <v>8700394.3662109375</v>
          </cell>
          <cell r="FG15">
            <v>8700394.3662109375</v>
          </cell>
          <cell r="FH15">
            <v>7320505.0595703125</v>
          </cell>
          <cell r="FI15">
            <v>8700394.3662109375</v>
          </cell>
          <cell r="FJ15">
            <v>8700394.3662109375</v>
          </cell>
          <cell r="FK15">
            <v>6276713.0771484375</v>
          </cell>
          <cell r="FL15">
            <v>5064872.4487304688</v>
          </cell>
          <cell r="FM15">
            <v>8700394.3662109375</v>
          </cell>
          <cell r="FN15">
            <v>8700394.3662109375</v>
          </cell>
          <cell r="FO15">
            <v>8700394.3662109375</v>
          </cell>
          <cell r="FP15">
            <v>15990619.01171875</v>
          </cell>
          <cell r="FQ15">
            <v>15121272.6875</v>
          </cell>
          <cell r="FR15">
            <v>14251926.48828125</v>
          </cell>
          <cell r="FS15">
            <v>15121272.6875</v>
          </cell>
          <cell r="FT15">
            <v>15121272.6875</v>
          </cell>
          <cell r="FU15">
            <v>10908918.173828125</v>
          </cell>
          <cell r="FV15">
            <v>8802740.791015625</v>
          </cell>
          <cell r="FW15">
            <v>15121272.6875</v>
          </cell>
          <cell r="FX15">
            <v>15121272.6875</v>
          </cell>
          <cell r="FY15">
            <v>15555945.796875</v>
          </cell>
          <cell r="FZ15">
            <v>755743285.0625</v>
          </cell>
          <cell r="GA15">
            <v>655634458.25</v>
          </cell>
          <cell r="GB15">
            <v>640768309.75</v>
          </cell>
          <cell r="GC15">
            <v>582178449.25</v>
          </cell>
          <cell r="GD15">
            <v>597901353.03125</v>
          </cell>
          <cell r="GE15">
            <v>555235850.59375</v>
          </cell>
          <cell r="GF15">
            <v>382322857.71875</v>
          </cell>
          <cell r="GG15">
            <v>665253282.6875</v>
          </cell>
          <cell r="GH15">
            <v>665253282.6875</v>
          </cell>
          <cell r="GI15">
            <v>677297377.9375</v>
          </cell>
          <cell r="HO15">
            <v>107675714.425</v>
          </cell>
          <cell r="HZ15">
            <v>11188311.013671875</v>
          </cell>
          <cell r="IA15">
            <v>9514708.3746093754</v>
          </cell>
          <cell r="IB15">
            <v>9557539.5082031246</v>
          </cell>
          <cell r="IC15">
            <v>8554737.42578125</v>
          </cell>
          <cell r="ID15">
            <v>8629318.0496093743</v>
          </cell>
          <cell r="IE15">
            <v>7827015.4021484377</v>
          </cell>
          <cell r="IF15">
            <v>5431946.7677734373</v>
          </cell>
          <cell r="IG15">
            <v>9638010.2113281246</v>
          </cell>
          <cell r="IH15">
            <v>9638010.2113281246</v>
          </cell>
          <cell r="II15">
            <v>9844717.4781250004</v>
          </cell>
        </row>
        <row r="16">
          <cell r="V16">
            <v>401774262.484375</v>
          </cell>
          <cell r="W16">
            <v>342854701.3515625</v>
          </cell>
          <cell r="X16">
            <v>357479493.8203125</v>
          </cell>
          <cell r="Y16">
            <v>289956557.765625</v>
          </cell>
          <cell r="Z16">
            <v>313781352.2578125</v>
          </cell>
          <cell r="AA16">
            <v>301985163.1796875</v>
          </cell>
          <cell r="AB16">
            <v>187300651.1015625</v>
          </cell>
          <cell r="AC16">
            <v>349314926.9765625</v>
          </cell>
          <cell r="AD16">
            <v>349314926.9765625</v>
          </cell>
          <cell r="AE16">
            <v>360567677.203125</v>
          </cell>
          <cell r="AZ16">
            <v>204132685.34375</v>
          </cell>
          <cell r="BA16">
            <v>154310554.34375</v>
          </cell>
          <cell r="BB16">
            <v>158923737.765625</v>
          </cell>
          <cell r="BC16">
            <v>128416554.90625</v>
          </cell>
          <cell r="BD16">
            <v>122284401.15625</v>
          </cell>
          <cell r="BE16">
            <v>131906777.9140625</v>
          </cell>
          <cell r="BF16">
            <v>84235243.0546875</v>
          </cell>
          <cell r="BG16">
            <v>157285411.03125</v>
          </cell>
          <cell r="BH16">
            <v>157285411.03125</v>
          </cell>
          <cell r="BI16">
            <v>159805198.46875</v>
          </cell>
          <cell r="CD16">
            <v>64577994.5625</v>
          </cell>
          <cell r="CE16">
            <v>52856121.26953125</v>
          </cell>
          <cell r="CF16">
            <v>55432842.208984375</v>
          </cell>
          <cell r="CG16">
            <v>44359065.591796875</v>
          </cell>
          <cell r="CH16">
            <v>46753168.18359375</v>
          </cell>
          <cell r="CI16">
            <v>43792547.462890625</v>
          </cell>
          <cell r="CJ16">
            <v>27550230.53125</v>
          </cell>
          <cell r="CK16">
            <v>53860825.24609375</v>
          </cell>
          <cell r="CL16">
            <v>53860825.24609375</v>
          </cell>
          <cell r="CM16">
            <v>55523690.150390625</v>
          </cell>
          <cell r="DH16">
            <v>23903170.439453125</v>
          </cell>
          <cell r="DI16">
            <v>18451954.56640625</v>
          </cell>
          <cell r="DJ16">
            <v>18562760.017578125</v>
          </cell>
          <cell r="DK16">
            <v>16576214.0703125</v>
          </cell>
          <cell r="DL16">
            <v>14931718.177734375</v>
          </cell>
          <cell r="DM16">
            <v>16024791.137695313</v>
          </cell>
          <cell r="DN16">
            <v>10138080.365234375</v>
          </cell>
          <cell r="DO16">
            <v>18659962.201171875</v>
          </cell>
          <cell r="DP16">
            <v>18659962.201171875</v>
          </cell>
          <cell r="DQ16">
            <v>18878304.80859375</v>
          </cell>
          <cell r="EL16">
            <v>157010218.40625</v>
          </cell>
          <cell r="EM16">
            <v>157010218.40625</v>
          </cell>
          <cell r="EN16">
            <v>120668575.359375</v>
          </cell>
          <cell r="EO16">
            <v>157010218.40625</v>
          </cell>
          <cell r="EP16">
            <v>157010218.40625</v>
          </cell>
          <cell r="EQ16">
            <v>109907152.90625</v>
          </cell>
          <cell r="ER16">
            <v>86355620.109375</v>
          </cell>
          <cell r="ES16">
            <v>157010218.40625</v>
          </cell>
          <cell r="ET16">
            <v>157010218.40625</v>
          </cell>
          <cell r="EU16">
            <v>157010218.40625</v>
          </cell>
          <cell r="EV16">
            <v>335717560.625</v>
          </cell>
          <cell r="EW16">
            <v>320327611.3125</v>
          </cell>
          <cell r="EX16">
            <v>304937664.125</v>
          </cell>
          <cell r="EY16">
            <v>320327611.3125</v>
          </cell>
          <cell r="EZ16">
            <v>320327611.3125</v>
          </cell>
          <cell r="FA16">
            <v>224229331.6875</v>
          </cell>
          <cell r="FB16">
            <v>176180185.96875</v>
          </cell>
          <cell r="FC16">
            <v>320327611.3125</v>
          </cell>
          <cell r="FD16">
            <v>320327611.3125</v>
          </cell>
          <cell r="FE16">
            <v>328022587.0625</v>
          </cell>
          <cell r="FF16">
            <v>8711589.8056640625</v>
          </cell>
          <cell r="FG16">
            <v>8711589.8056640625</v>
          </cell>
          <cell r="FH16">
            <v>7228921.01171875</v>
          </cell>
          <cell r="FI16">
            <v>8711589.8056640625</v>
          </cell>
          <cell r="FJ16">
            <v>8711589.8056640625</v>
          </cell>
          <cell r="FK16">
            <v>6098112.77734375</v>
          </cell>
          <cell r="FL16">
            <v>4791374.2612304688</v>
          </cell>
          <cell r="FM16">
            <v>8711589.8056640625</v>
          </cell>
          <cell r="FN16">
            <v>8711589.8056640625</v>
          </cell>
          <cell r="FO16">
            <v>8711589.8056640625</v>
          </cell>
          <cell r="FP16">
            <v>15982974.83203125</v>
          </cell>
          <cell r="FQ16">
            <v>15039304.28515625</v>
          </cell>
          <cell r="FR16">
            <v>14095633.75</v>
          </cell>
          <cell r="FS16">
            <v>15039304.28515625</v>
          </cell>
          <cell r="FT16">
            <v>15039304.28515625</v>
          </cell>
          <cell r="FU16">
            <v>10527512.990234375</v>
          </cell>
          <cell r="FV16">
            <v>8271617.462890625</v>
          </cell>
          <cell r="FW16">
            <v>15039304.28515625</v>
          </cell>
          <cell r="FX16">
            <v>15039304.28515625</v>
          </cell>
          <cell r="FY16">
            <v>15511139.6796875</v>
          </cell>
          <cell r="FZ16">
            <v>762917168.1875</v>
          </cell>
          <cell r="GA16">
            <v>654175475.0625</v>
          </cell>
          <cell r="GB16">
            <v>637071806.8125</v>
          </cell>
          <cell r="GC16">
            <v>575383332.5</v>
          </cell>
          <cell r="GD16">
            <v>593075972.5625</v>
          </cell>
          <cell r="GE16">
            <v>543799094.375</v>
          </cell>
          <cell r="GF16">
            <v>357891516.96875</v>
          </cell>
          <cell r="GG16">
            <v>663610557.0625</v>
          </cell>
          <cell r="GH16">
            <v>663610557.0625</v>
          </cell>
          <cell r="GI16">
            <v>677383095.4375</v>
          </cell>
          <cell r="HO16">
            <v>108324477.95</v>
          </cell>
          <cell r="HZ16">
            <v>11317572.966796875</v>
          </cell>
          <cell r="IA16">
            <v>9505896.97265625</v>
          </cell>
          <cell r="IB16">
            <v>9532015.7550781257</v>
          </cell>
          <cell r="IC16">
            <v>8468617.3566406257</v>
          </cell>
          <cell r="ID16">
            <v>8543578.0296874996</v>
          </cell>
          <cell r="IE16">
            <v>7644296.4759765621</v>
          </cell>
          <cell r="IF16">
            <v>5075130.2431640625</v>
          </cell>
          <cell r="IG16">
            <v>9627168.1312499996</v>
          </cell>
          <cell r="IH16">
            <v>9627168.1312499996</v>
          </cell>
          <cell r="II16">
            <v>9862472.43359375</v>
          </cell>
        </row>
        <row r="17">
          <cell r="V17">
            <v>398836296.15625</v>
          </cell>
          <cell r="W17">
            <v>334168352.8984375</v>
          </cell>
          <cell r="X17">
            <v>348123017.3203125</v>
          </cell>
          <cell r="Y17">
            <v>277895719.90625</v>
          </cell>
          <cell r="Z17">
            <v>304931320.3046875</v>
          </cell>
          <cell r="AA17">
            <v>291738937.296875</v>
          </cell>
          <cell r="AB17">
            <v>170698044.2890625</v>
          </cell>
          <cell r="AC17">
            <v>340482931.4296875</v>
          </cell>
          <cell r="AD17">
            <v>340482931.4296875</v>
          </cell>
          <cell r="AE17">
            <v>352850278.40625</v>
          </cell>
          <cell r="AZ17">
            <v>205068124.15625</v>
          </cell>
          <cell r="BA17">
            <v>152833133.0234375</v>
          </cell>
          <cell r="BB17">
            <v>157477607.8125</v>
          </cell>
          <cell r="BC17">
            <v>125169342.4453125</v>
          </cell>
          <cell r="BD17">
            <v>119150763.9453125</v>
          </cell>
          <cell r="BE17">
            <v>127654302.8671875</v>
          </cell>
          <cell r="BF17">
            <v>77268824.1328125</v>
          </cell>
          <cell r="BG17">
            <v>155754225.3359375</v>
          </cell>
          <cell r="BH17">
            <v>155754225.3359375</v>
          </cell>
          <cell r="BI17">
            <v>158550812.1328125</v>
          </cell>
          <cell r="CD17">
            <v>64707930.50390625</v>
          </cell>
          <cell r="CE17">
            <v>52047702.119140625</v>
          </cell>
          <cell r="CF17">
            <v>54586025.783203125</v>
          </cell>
          <cell r="CG17">
            <v>42909584.40625</v>
          </cell>
          <cell r="CH17">
            <v>45581595.265625</v>
          </cell>
          <cell r="CI17">
            <v>42333235.408203125</v>
          </cell>
          <cell r="CJ17">
            <v>25198297.657226563</v>
          </cell>
          <cell r="CK17">
            <v>53035972.990234375</v>
          </cell>
          <cell r="CL17">
            <v>53035972.990234375</v>
          </cell>
          <cell r="CM17">
            <v>54881284.171875</v>
          </cell>
          <cell r="DH17">
            <v>23998831.400390625</v>
          </cell>
          <cell r="DI17">
            <v>18307719.544921875</v>
          </cell>
          <cell r="DJ17">
            <v>18412494.4609375</v>
          </cell>
          <cell r="DK17">
            <v>16295200.111328125</v>
          </cell>
          <cell r="DL17">
            <v>14559181.369140625</v>
          </cell>
          <cell r="DM17">
            <v>15507098.682617188</v>
          </cell>
          <cell r="DN17">
            <v>9288052.8974609375</v>
          </cell>
          <cell r="DO17">
            <v>18511624.33984375</v>
          </cell>
          <cell r="DP17">
            <v>18511624.33984375</v>
          </cell>
          <cell r="DQ17">
            <v>18753708.701171875</v>
          </cell>
          <cell r="EL17">
            <v>156426311.75</v>
          </cell>
          <cell r="EM17">
            <v>156426311.75</v>
          </cell>
          <cell r="EN17">
            <v>118708303.703125</v>
          </cell>
          <cell r="EO17">
            <v>156426311.75</v>
          </cell>
          <cell r="EP17">
            <v>156426311.75</v>
          </cell>
          <cell r="EQ17">
            <v>106146425.15625</v>
          </cell>
          <cell r="ER17">
            <v>81006483.25</v>
          </cell>
          <cell r="ES17">
            <v>156426311.75</v>
          </cell>
          <cell r="ET17">
            <v>156426311.75</v>
          </cell>
          <cell r="EU17">
            <v>156426311.75</v>
          </cell>
          <cell r="EV17">
            <v>331642308</v>
          </cell>
          <cell r="EW17">
            <v>315688996.3125</v>
          </cell>
          <cell r="EX17">
            <v>299735678.875</v>
          </cell>
          <cell r="EY17">
            <v>315688996.3125</v>
          </cell>
          <cell r="EZ17">
            <v>315688996.3125</v>
          </cell>
          <cell r="FA17">
            <v>214217533.59375</v>
          </cell>
          <cell r="FB17">
            <v>163481801.1875</v>
          </cell>
          <cell r="FC17">
            <v>315688996.3125</v>
          </cell>
          <cell r="FD17">
            <v>315688996.3125</v>
          </cell>
          <cell r="FE17">
            <v>323665651.1875</v>
          </cell>
          <cell r="FF17">
            <v>8580227.06640625</v>
          </cell>
          <cell r="FG17">
            <v>8580227.06640625</v>
          </cell>
          <cell r="FH17">
            <v>7021474.314453125</v>
          </cell>
          <cell r="FI17">
            <v>8580227.06640625</v>
          </cell>
          <cell r="FJ17">
            <v>8580227.06640625</v>
          </cell>
          <cell r="FK17">
            <v>5822296.8388671875</v>
          </cell>
          <cell r="FL17">
            <v>4443331.8403320313</v>
          </cell>
          <cell r="FM17">
            <v>8580227.06640625</v>
          </cell>
          <cell r="FN17">
            <v>8580227.06640625</v>
          </cell>
          <cell r="FO17">
            <v>8580227.06640625</v>
          </cell>
          <cell r="FP17">
            <v>15779340.9296875</v>
          </cell>
          <cell r="FQ17">
            <v>14775856.6953125</v>
          </cell>
          <cell r="FR17">
            <v>13772372.4140625</v>
          </cell>
          <cell r="FS17">
            <v>14775856.6953125</v>
          </cell>
          <cell r="FT17">
            <v>14775856.6953125</v>
          </cell>
          <cell r="FU17">
            <v>10026474.193359375</v>
          </cell>
          <cell r="FV17">
            <v>7651782.8203125</v>
          </cell>
          <cell r="FW17">
            <v>14775856.6953125</v>
          </cell>
          <cell r="FX17">
            <v>14775856.6953125</v>
          </cell>
          <cell r="FY17">
            <v>15277598.81640625</v>
          </cell>
          <cell r="FZ17">
            <v>760330729.125</v>
          </cell>
          <cell r="GA17">
            <v>643427798.65625</v>
          </cell>
          <cell r="GB17">
            <v>624308930.71875</v>
          </cell>
          <cell r="GC17">
            <v>559491372.9375</v>
          </cell>
          <cell r="GD17">
            <v>580508395.9375</v>
          </cell>
          <cell r="GE17">
            <v>525539666.5</v>
          </cell>
          <cell r="GF17">
            <v>328973349.34375</v>
          </cell>
          <cell r="GG17">
            <v>652663465.46875</v>
          </cell>
          <cell r="GH17">
            <v>652663465.46875</v>
          </cell>
          <cell r="GI17">
            <v>667827401.125</v>
          </cell>
          <cell r="HO17">
            <v>107601972.54375</v>
          </cell>
          <cell r="HZ17">
            <v>11306632.990625</v>
          </cell>
          <cell r="IA17">
            <v>9371150.5324218757</v>
          </cell>
          <cell r="IB17">
            <v>9379236.7015624996</v>
          </cell>
          <cell r="IC17">
            <v>8256086.8742187498</v>
          </cell>
          <cell r="ID17">
            <v>8349686.0667968746</v>
          </cell>
          <cell r="IE17">
            <v>7368910.4626953127</v>
          </cell>
          <cell r="IF17">
            <v>4658146.5390625</v>
          </cell>
          <cell r="IG17">
            <v>9490368.1136718746</v>
          </cell>
          <cell r="IH17">
            <v>9490368.1136718746</v>
          </cell>
          <cell r="II17">
            <v>9749281.8832031246</v>
          </cell>
        </row>
        <row r="18">
          <cell r="V18">
            <v>398212464.46875</v>
          </cell>
          <cell r="W18">
            <v>327907006.9453125</v>
          </cell>
          <cell r="X18">
            <v>340893524.6484375</v>
          </cell>
          <cell r="Y18">
            <v>268382559.25</v>
          </cell>
          <cell r="Z18">
            <v>298423492.65625</v>
          </cell>
          <cell r="AA18">
            <v>283410315.578125</v>
          </cell>
          <cell r="AB18">
            <v>155365257.5</v>
          </cell>
          <cell r="AC18">
            <v>334083448.0703125</v>
          </cell>
          <cell r="AD18">
            <v>334083448.0703125</v>
          </cell>
          <cell r="AE18">
            <v>347503633.59375</v>
          </cell>
          <cell r="AZ18">
            <v>206995343.890625</v>
          </cell>
          <cell r="BA18">
            <v>152145454.6484375</v>
          </cell>
          <cell r="BB18">
            <v>156711747.015625</v>
          </cell>
          <cell r="BC18">
            <v>122862187.9140625</v>
          </cell>
          <cell r="BD18">
            <v>116843588.7578125</v>
          </cell>
          <cell r="BE18">
            <v>124186465.1953125</v>
          </cell>
          <cell r="BF18">
            <v>70832485.3984375</v>
          </cell>
          <cell r="BG18">
            <v>155012887.3515625</v>
          </cell>
          <cell r="BH18">
            <v>155012887.3515625</v>
          </cell>
          <cell r="BI18">
            <v>158090582.4921875</v>
          </cell>
          <cell r="CD18">
            <v>65229974.77734375</v>
          </cell>
          <cell r="CE18">
            <v>51567180.05859375</v>
          </cell>
          <cell r="CF18">
            <v>54053085.9296875</v>
          </cell>
          <cell r="CG18">
            <v>41687962.314453125</v>
          </cell>
          <cell r="CH18">
            <v>44709819.03125</v>
          </cell>
          <cell r="CI18">
            <v>41150297.53125</v>
          </cell>
          <cell r="CJ18">
            <v>23032310.987304688</v>
          </cell>
          <cell r="CK18">
            <v>52549001.07421875</v>
          </cell>
          <cell r="CL18">
            <v>52549001.07421875</v>
          </cell>
          <cell r="CM18">
            <v>54567491.783203125</v>
          </cell>
          <cell r="DH18">
            <v>24213834.1484375</v>
          </cell>
          <cell r="DI18">
            <v>18244280.2421875</v>
          </cell>
          <cell r="DJ18">
            <v>18340760.087890625</v>
          </cell>
          <cell r="DK18">
            <v>16077317.001953125</v>
          </cell>
          <cell r="DL18">
            <v>14275058.522460938</v>
          </cell>
          <cell r="DM18">
            <v>15082275.0859375</v>
          </cell>
          <cell r="DN18">
            <v>8499710.2578125</v>
          </cell>
          <cell r="DO18">
            <v>18446266.62890625</v>
          </cell>
          <cell r="DP18">
            <v>18446266.62890625</v>
          </cell>
          <cell r="DQ18">
            <v>18712341.73046875</v>
          </cell>
          <cell r="EL18">
            <v>157035975.21875</v>
          </cell>
          <cell r="EM18">
            <v>157035975.21875</v>
          </cell>
          <cell r="EN18">
            <v>117594172.953125</v>
          </cell>
          <cell r="EO18">
            <v>157035975.21875</v>
          </cell>
          <cell r="EP18">
            <v>157035975.21875</v>
          </cell>
          <cell r="EQ18">
            <v>103195069.640625</v>
          </cell>
          <cell r="ER18">
            <v>76274617.1171875</v>
          </cell>
          <cell r="ES18">
            <v>157035975.21875</v>
          </cell>
          <cell r="ET18">
            <v>157035975.21875</v>
          </cell>
          <cell r="EU18">
            <v>157035975.21875</v>
          </cell>
          <cell r="EV18">
            <v>329722586.8125</v>
          </cell>
          <cell r="EW18">
            <v>313247521.8125</v>
          </cell>
          <cell r="EX18">
            <v>296772458.3125</v>
          </cell>
          <cell r="EY18">
            <v>313247521.8125</v>
          </cell>
          <cell r="EZ18">
            <v>313247521.8125</v>
          </cell>
          <cell r="FA18">
            <v>205848372.03125</v>
          </cell>
          <cell r="FB18">
            <v>152148797.3125</v>
          </cell>
          <cell r="FC18">
            <v>313247521.8125</v>
          </cell>
          <cell r="FD18">
            <v>313247521.8125</v>
          </cell>
          <cell r="FE18">
            <v>321485056.25</v>
          </cell>
          <cell r="FF18">
            <v>8522084.0302734375</v>
          </cell>
          <cell r="FG18">
            <v>8522084.0302734375</v>
          </cell>
          <cell r="FH18">
            <v>6877044.0732421875</v>
          </cell>
          <cell r="FI18">
            <v>8522084.0302734375</v>
          </cell>
          <cell r="FJ18">
            <v>8522084.0302734375</v>
          </cell>
          <cell r="FK18">
            <v>5600226.6943359375</v>
          </cell>
          <cell r="FL18">
            <v>4139297.9228515625</v>
          </cell>
          <cell r="FM18">
            <v>8522084.0302734375</v>
          </cell>
          <cell r="FN18">
            <v>8522084.0302734375</v>
          </cell>
          <cell r="FO18">
            <v>8522084.0302734375</v>
          </cell>
          <cell r="FP18">
            <v>15674628.9609375</v>
          </cell>
          <cell r="FQ18">
            <v>14609120.203125</v>
          </cell>
          <cell r="FR18">
            <v>13543611.3203125</v>
          </cell>
          <cell r="FS18">
            <v>14609120.203125</v>
          </cell>
          <cell r="FT18">
            <v>14609120.203125</v>
          </cell>
          <cell r="FU18">
            <v>9600278.96875</v>
          </cell>
          <cell r="FV18">
            <v>7095858.4453125</v>
          </cell>
          <cell r="FW18">
            <v>14609120.203125</v>
          </cell>
          <cell r="FX18">
            <v>14609120.203125</v>
          </cell>
          <cell r="FY18">
            <v>15141874.69921875</v>
          </cell>
          <cell r="FZ18">
            <v>762243780.375</v>
          </cell>
          <cell r="GA18">
            <v>637088437.65625</v>
          </cell>
          <cell r="GB18">
            <v>615199449.03125</v>
          </cell>
          <cell r="GC18">
            <v>548280722.6875</v>
          </cell>
          <cell r="GD18">
            <v>572303057.0625</v>
          </cell>
          <cell r="GE18">
            <v>510791854</v>
          </cell>
          <cell r="GF18">
            <v>302472360.59375</v>
          </cell>
          <cell r="GG18">
            <v>646132308.53125</v>
          </cell>
          <cell r="GH18">
            <v>646132308.53125</v>
          </cell>
          <cell r="GI18">
            <v>662630191.375</v>
          </cell>
          <cell r="HO18">
            <v>107549130.21875</v>
          </cell>
          <cell r="HZ18">
            <v>11364052.164843749</v>
          </cell>
          <cell r="IA18">
            <v>9294266.458984375</v>
          </cell>
          <cell r="IB18">
            <v>9281450.1019531246</v>
          </cell>
          <cell r="IC18">
            <v>8089648.3542968752</v>
          </cell>
          <cell r="ID18">
            <v>8211608.2195312502</v>
          </cell>
          <cell r="IE18">
            <v>7143307.806640625</v>
          </cell>
          <cell r="IF18">
            <v>4276717.7503906246</v>
          </cell>
          <cell r="IG18">
            <v>9412647.197265625</v>
          </cell>
          <cell r="IH18">
            <v>9412647.197265625</v>
          </cell>
          <cell r="II18">
            <v>9694379.2121093757</v>
          </cell>
        </row>
        <row r="19">
          <cell r="V19">
            <v>397430407.765625</v>
          </cell>
          <cell r="W19">
            <v>321854168.046875</v>
          </cell>
          <cell r="X19">
            <v>333687068.625</v>
          </cell>
          <cell r="Y19">
            <v>259086198.4921875</v>
          </cell>
          <cell r="Z19">
            <v>292132333.859375</v>
          </cell>
          <cell r="AA19">
            <v>275123608.8203125</v>
          </cell>
          <cell r="AB19">
            <v>140127000.79296875</v>
          </cell>
          <cell r="AC19">
            <v>327901681.015625</v>
          </cell>
          <cell r="AD19">
            <v>327901681.015625</v>
          </cell>
          <cell r="AE19">
            <v>342247624.7421875</v>
          </cell>
          <cell r="AZ19">
            <v>208769425.953125</v>
          </cell>
          <cell r="BA19">
            <v>151569081.96875</v>
          </cell>
          <cell r="BB19">
            <v>156043553.453125</v>
          </cell>
          <cell r="BC19">
            <v>120714270.8125</v>
          </cell>
          <cell r="BD19">
            <v>114646684.609375</v>
          </cell>
          <cell r="BE19">
            <v>120737529.3125</v>
          </cell>
          <cell r="BF19">
            <v>64434105.8515625</v>
          </cell>
          <cell r="BG19">
            <v>154389606.53125</v>
          </cell>
          <cell r="BH19">
            <v>154389606.53125</v>
          </cell>
          <cell r="BI19">
            <v>157735073.375</v>
          </cell>
          <cell r="CD19">
            <v>65745658.38671875</v>
          </cell>
          <cell r="CE19">
            <v>51046852.234375</v>
          </cell>
          <cell r="CF19">
            <v>53488458.51953125</v>
          </cell>
          <cell r="CG19">
            <v>40278084.466796875</v>
          </cell>
          <cell r="CH19">
            <v>43819555.0625</v>
          </cell>
          <cell r="CI19">
            <v>39974444.90234375</v>
          </cell>
          <cell r="CJ19">
            <v>20880420.78515625</v>
          </cell>
          <cell r="CK19">
            <v>52031970.5</v>
          </cell>
          <cell r="CL19">
            <v>52031970.5</v>
          </cell>
          <cell r="CM19">
            <v>54201162.359375</v>
          </cell>
          <cell r="DH19">
            <v>24422407.046875</v>
          </cell>
          <cell r="DI19">
            <v>18185932.978515625</v>
          </cell>
          <cell r="DJ19">
            <v>18281743.119140625</v>
          </cell>
          <cell r="DK19">
            <v>15835427.95703125</v>
          </cell>
          <cell r="DL19">
            <v>13990870.33203125</v>
          </cell>
          <cell r="DM19">
            <v>14659851.436523438</v>
          </cell>
          <cell r="DN19">
            <v>7716162.9052734375</v>
          </cell>
          <cell r="DO19">
            <v>18388247.607421875</v>
          </cell>
          <cell r="DP19">
            <v>18388247.607421875</v>
          </cell>
          <cell r="DQ19">
            <v>18676502.384765625</v>
          </cell>
          <cell r="EL19">
            <v>157650552.96875</v>
          </cell>
          <cell r="EM19">
            <v>157650552.96875</v>
          </cell>
          <cell r="EN19">
            <v>116473637.15625</v>
          </cell>
          <cell r="EO19">
            <v>157650552.96875</v>
          </cell>
          <cell r="EP19">
            <v>157650552.96875</v>
          </cell>
          <cell r="EQ19">
            <v>100220707.3125</v>
          </cell>
          <cell r="ER19">
            <v>71505785.3671875</v>
          </cell>
          <cell r="ES19">
            <v>157650552.96875</v>
          </cell>
          <cell r="ET19">
            <v>157650552.96875</v>
          </cell>
          <cell r="EU19">
            <v>157650552.96875</v>
          </cell>
          <cell r="EV19">
            <v>327814092.4375</v>
          </cell>
          <cell r="EW19">
            <v>310860322.5625</v>
          </cell>
          <cell r="EX19">
            <v>293906558.375</v>
          </cell>
          <cell r="EY19">
            <v>310860322.5625</v>
          </cell>
          <cell r="EZ19">
            <v>310860322.5625</v>
          </cell>
          <cell r="FA19">
            <v>197618352.96875</v>
          </cell>
          <cell r="FB19">
            <v>140997362.53125</v>
          </cell>
          <cell r="FC19">
            <v>310860322.5625</v>
          </cell>
          <cell r="FD19">
            <v>310860322.5625</v>
          </cell>
          <cell r="FE19">
            <v>319337210.375</v>
          </cell>
          <cell r="FF19">
            <v>8464877.8134765625</v>
          </cell>
          <cell r="FG19">
            <v>8464877.8134765625</v>
          </cell>
          <cell r="FH19">
            <v>6735323.109375</v>
          </cell>
          <cell r="FI19">
            <v>8464877.8134765625</v>
          </cell>
          <cell r="FJ19">
            <v>8464877.8134765625</v>
          </cell>
          <cell r="FK19">
            <v>5381243.7431640625</v>
          </cell>
          <cell r="FL19">
            <v>3839426.7416992188</v>
          </cell>
          <cell r="FM19">
            <v>8464877.8134765625</v>
          </cell>
          <cell r="FN19">
            <v>8464877.8134765625</v>
          </cell>
          <cell r="FO19">
            <v>8464877.8134765625</v>
          </cell>
          <cell r="FP19">
            <v>15570529.01171875</v>
          </cell>
          <cell r="FQ19">
            <v>14447639.55859375</v>
          </cell>
          <cell r="FR19">
            <v>13324750.34765625</v>
          </cell>
          <cell r="FS19">
            <v>14447639.55859375</v>
          </cell>
          <cell r="FT19">
            <v>14447639.55859375</v>
          </cell>
          <cell r="FU19">
            <v>9184570.81640625</v>
          </cell>
          <cell r="FV19">
            <v>6553036.505859375</v>
          </cell>
          <cell r="FW19">
            <v>14447639.55859375</v>
          </cell>
          <cell r="FX19">
            <v>14447639.55859375</v>
          </cell>
          <cell r="FY19">
            <v>15009084.40625</v>
          </cell>
          <cell r="FZ19">
            <v>763850383.8125</v>
          </cell>
          <cell r="GA19">
            <v>631073798.5</v>
          </cell>
          <cell r="GB19">
            <v>606204256.53125</v>
          </cell>
          <cell r="GC19">
            <v>537451020.875</v>
          </cell>
          <cell r="GD19">
            <v>564429568.5</v>
          </cell>
          <cell r="GE19">
            <v>496081844.03125</v>
          </cell>
          <cell r="GF19">
            <v>276066890.1875</v>
          </cell>
          <cell r="GG19">
            <v>639941836.3125</v>
          </cell>
          <cell r="GH19">
            <v>639941836.3125</v>
          </cell>
          <cell r="GI19">
            <v>657633247.625</v>
          </cell>
          <cell r="HO19">
            <v>107471070.6375</v>
          </cell>
          <cell r="HZ19">
            <v>11420347.237890625</v>
          </cell>
          <cell r="IA19">
            <v>9214530.2531250007</v>
          </cell>
          <cell r="IB19">
            <v>9183027.5500000007</v>
          </cell>
          <cell r="IC19">
            <v>7902602.9828124996</v>
          </cell>
          <cell r="ID19">
            <v>8072294.2238281248</v>
          </cell>
          <cell r="IE19">
            <v>6920011.0601562504</v>
          </cell>
          <cell r="IF19">
            <v>3898904.6947265626</v>
          </cell>
          <cell r="IG19">
            <v>9333273.5289062504</v>
          </cell>
          <cell r="IH19">
            <v>9333273.5289062504</v>
          </cell>
          <cell r="II19">
            <v>9635162.6882812493</v>
          </cell>
        </row>
        <row r="20">
          <cell r="V20">
            <v>398944790.640625</v>
          </cell>
          <cell r="W20">
            <v>317296572.8828125</v>
          </cell>
          <cell r="X20">
            <v>328184399.3125</v>
          </cell>
          <cell r="Y20">
            <v>249800053.59375</v>
          </cell>
          <cell r="Z20">
            <v>287363724.5</v>
          </cell>
          <cell r="AA20">
            <v>268521688.8046875</v>
          </cell>
          <cell r="AB20">
            <v>125767374.51953125</v>
          </cell>
          <cell r="AC20">
            <v>323333751.2265625</v>
          </cell>
          <cell r="AD20">
            <v>323333751.2265625</v>
          </cell>
          <cell r="AE20">
            <v>338512591.65625</v>
          </cell>
          <cell r="AZ20">
            <v>211644076.78125</v>
          </cell>
          <cell r="BA20">
            <v>151834448.6875</v>
          </cell>
          <cell r="BB20">
            <v>156396148.7109375</v>
          </cell>
          <cell r="BC20">
            <v>118735904.453125</v>
          </cell>
          <cell r="BD20">
            <v>113082416.28125</v>
          </cell>
          <cell r="BE20">
            <v>117979215.6484375</v>
          </cell>
          <cell r="BF20">
            <v>58409241.265625</v>
          </cell>
          <cell r="BG20">
            <v>154668834.84375</v>
          </cell>
          <cell r="BH20">
            <v>154668834.84375</v>
          </cell>
          <cell r="BI20">
            <v>158288194.984375</v>
          </cell>
          <cell r="CD20">
            <v>66652266.265625</v>
          </cell>
          <cell r="CE20">
            <v>50924142.63671875</v>
          </cell>
          <cell r="CF20">
            <v>53251040.82421875</v>
          </cell>
          <cell r="CG20">
            <v>39405411.0390625</v>
          </cell>
          <cell r="CH20">
            <v>43260742.58203125</v>
          </cell>
          <cell r="CI20">
            <v>39037113.306640625</v>
          </cell>
          <cell r="CJ20">
            <v>18857143.02734375</v>
          </cell>
          <cell r="CK20">
            <v>51902580.80078125</v>
          </cell>
          <cell r="CL20">
            <v>51902580.80078125</v>
          </cell>
          <cell r="CM20">
            <v>54227443.744140625</v>
          </cell>
          <cell r="DH20">
            <v>24754350.095703125</v>
          </cell>
          <cell r="DI20">
            <v>18264463.958984375</v>
          </cell>
          <cell r="DJ20">
            <v>18349570.9453125</v>
          </cell>
          <cell r="DK20">
            <v>15759789.4609375</v>
          </cell>
          <cell r="DL20">
            <v>13810842.178710938</v>
          </cell>
          <cell r="DM20">
            <v>14317510.958007813</v>
          </cell>
          <cell r="DN20">
            <v>6974654.2861328125</v>
          </cell>
          <cell r="DO20">
            <v>18465170.978515625</v>
          </cell>
          <cell r="DP20">
            <v>18465170.978515625</v>
          </cell>
          <cell r="DQ20">
            <v>18778340.962890625</v>
          </cell>
          <cell r="EL20">
            <v>159494203.75</v>
          </cell>
          <cell r="EM20">
            <v>159494203.75</v>
          </cell>
          <cell r="EN20">
            <v>116194986.234375</v>
          </cell>
          <cell r="EO20">
            <v>159494203.75</v>
          </cell>
          <cell r="EP20">
            <v>159494203.75</v>
          </cell>
          <cell r="EQ20">
            <v>97975011.203125</v>
          </cell>
          <cell r="ER20">
            <v>67215414.6875</v>
          </cell>
          <cell r="ES20">
            <v>159494203.75</v>
          </cell>
          <cell r="ET20">
            <v>159494203.75</v>
          </cell>
          <cell r="EU20">
            <v>159494203.75</v>
          </cell>
          <cell r="EV20">
            <v>328011520.5</v>
          </cell>
          <cell r="EW20">
            <v>310640675.125</v>
          </cell>
          <cell r="EX20">
            <v>293269828</v>
          </cell>
          <cell r="EY20">
            <v>310640675.125</v>
          </cell>
          <cell r="EZ20">
            <v>310640675.125</v>
          </cell>
          <cell r="FA20">
            <v>190822130.875</v>
          </cell>
          <cell r="FB20">
            <v>130912856.34375</v>
          </cell>
          <cell r="FC20">
            <v>310640675.125</v>
          </cell>
          <cell r="FD20">
            <v>310640675.125</v>
          </cell>
          <cell r="FE20">
            <v>319326098.75</v>
          </cell>
          <cell r="FF20">
            <v>8478655.8544921875</v>
          </cell>
          <cell r="FG20">
            <v>8478655.8544921875</v>
          </cell>
          <cell r="FH20">
            <v>6651233.779296875</v>
          </cell>
          <cell r="FI20">
            <v>8478655.8544921875</v>
          </cell>
          <cell r="FJ20">
            <v>8478655.8544921875</v>
          </cell>
          <cell r="FK20">
            <v>5208317.1396484375</v>
          </cell>
          <cell r="FL20">
            <v>3573147.8271484375</v>
          </cell>
          <cell r="FM20">
            <v>8478655.8544921875</v>
          </cell>
          <cell r="FN20">
            <v>8478655.8544921875</v>
          </cell>
          <cell r="FO20">
            <v>8478655.8544921875</v>
          </cell>
          <cell r="FP20">
            <v>15562920.8203125</v>
          </cell>
          <cell r="FQ20">
            <v>14379377.40625</v>
          </cell>
          <cell r="FR20">
            <v>13195833.689453125</v>
          </cell>
          <cell r="FS20">
            <v>14379377.40625</v>
          </cell>
          <cell r="FT20">
            <v>14379377.40625</v>
          </cell>
          <cell r="FU20">
            <v>8833046.04296875</v>
          </cell>
          <cell r="FV20">
            <v>6059880.5400390625</v>
          </cell>
          <cell r="FW20">
            <v>14379377.40625</v>
          </cell>
          <cell r="FX20">
            <v>14379377.40625</v>
          </cell>
          <cell r="FY20">
            <v>14971149.0546875</v>
          </cell>
          <cell r="FZ20">
            <v>770083066.5</v>
          </cell>
          <cell r="GA20">
            <v>628625223.5</v>
          </cell>
          <cell r="GB20">
            <v>600775538.03125</v>
          </cell>
          <cell r="GC20">
            <v>528030159.1875</v>
          </cell>
          <cell r="GD20">
            <v>559940341.40625</v>
          </cell>
          <cell r="GE20">
            <v>484475912.625</v>
          </cell>
          <cell r="GF20">
            <v>251392031.125</v>
          </cell>
          <cell r="GG20">
            <v>637496787.9375</v>
          </cell>
          <cell r="GH20">
            <v>637496787.9375</v>
          </cell>
          <cell r="GI20">
            <v>656294989</v>
          </cell>
          <cell r="HO20">
            <v>108072374.16249999</v>
          </cell>
          <cell r="HZ20">
            <v>11544819.29296875</v>
          </cell>
          <cell r="IA20">
            <v>9204663.9691406246</v>
          </cell>
          <cell r="IB20">
            <v>9144767.9435546882</v>
          </cell>
          <cell r="IC20">
            <v>7802323.369140625</v>
          </cell>
          <cell r="ID20">
            <v>7992961.7531249998</v>
          </cell>
          <cell r="IE20">
            <v>6739598.7699218746</v>
          </cell>
          <cell r="IF20">
            <v>3546482.5731445313</v>
          </cell>
          <cell r="IG20">
            <v>9322578.4527343754</v>
          </cell>
          <cell r="IH20">
            <v>9322578.4527343754</v>
          </cell>
          <cell r="II20">
            <v>9645558.927734375</v>
          </cell>
        </row>
        <row r="21">
          <cell r="V21">
            <v>395586171.078125</v>
          </cell>
          <cell r="W21">
            <v>309662074.203125</v>
          </cell>
          <cell r="X21">
            <v>318956929.0625</v>
          </cell>
          <cell r="Y21">
            <v>239643663.0234375</v>
          </cell>
          <cell r="Z21">
            <v>279788407.0234375</v>
          </cell>
          <cell r="AA21">
            <v>258716885.828125</v>
          </cell>
          <cell r="AB21">
            <v>109957840.69140625</v>
          </cell>
          <cell r="AC21">
            <v>315517543.578125</v>
          </cell>
          <cell r="AD21">
            <v>315517543.578125</v>
          </cell>
          <cell r="AE21">
            <v>331267928.9609375</v>
          </cell>
          <cell r="AZ21">
            <v>212173267.390625</v>
          </cell>
          <cell r="BA21">
            <v>150852734.7734375</v>
          </cell>
          <cell r="BB21">
            <v>155289373.90625</v>
          </cell>
          <cell r="BC21">
            <v>116464176.3984375</v>
          </cell>
          <cell r="BD21">
            <v>110547582.7578125</v>
          </cell>
          <cell r="BE21">
            <v>113901033.9609375</v>
          </cell>
          <cell r="BF21">
            <v>51756547.73046875</v>
          </cell>
          <cell r="BG21">
            <v>153626173.7421875</v>
          </cell>
          <cell r="BH21">
            <v>153626173.7421875</v>
          </cell>
          <cell r="BI21">
            <v>157470261.4609375</v>
          </cell>
          <cell r="CD21">
            <v>66740628.47265625</v>
          </cell>
          <cell r="CE21">
            <v>50177387.759765625</v>
          </cell>
          <cell r="CF21">
            <v>52356720.37109375</v>
          </cell>
          <cell r="CG21">
            <v>37999140.283203125</v>
          </cell>
          <cell r="CH21">
            <v>42191109.904296875</v>
          </cell>
          <cell r="CI21">
            <v>37634496.2109375</v>
          </cell>
          <cell r="CJ21">
            <v>16614556.462890625</v>
          </cell>
          <cell r="CK21">
            <v>51140485.302734375</v>
          </cell>
          <cell r="CL21">
            <v>51140485.302734375</v>
          </cell>
          <cell r="CM21">
            <v>53574090.78515625</v>
          </cell>
          <cell r="DH21">
            <v>24831939.7578125</v>
          </cell>
          <cell r="DI21">
            <v>18176484.310546875</v>
          </cell>
          <cell r="DJ21">
            <v>18252073.595703125</v>
          </cell>
          <cell r="DK21">
            <v>15539004.083984375</v>
          </cell>
          <cell r="DL21">
            <v>13492422.836914063</v>
          </cell>
          <cell r="DM21">
            <v>13819240.287109375</v>
          </cell>
          <cell r="DN21">
            <v>6162203.2783203125</v>
          </cell>
          <cell r="DO21">
            <v>18373804.041015625</v>
          </cell>
          <cell r="DP21">
            <v>18373804.041015625</v>
          </cell>
          <cell r="DQ21">
            <v>18705214.255859375</v>
          </cell>
          <cell r="EL21">
            <v>158946063.59375</v>
          </cell>
          <cell r="EM21">
            <v>158946063.59375</v>
          </cell>
          <cell r="EN21">
            <v>114295021.3125</v>
          </cell>
          <cell r="EO21">
            <v>158946063.59375</v>
          </cell>
          <cell r="EP21">
            <v>158946063.59375</v>
          </cell>
          <cell r="EQ21">
            <v>94232309.921875</v>
          </cell>
          <cell r="ER21">
            <v>61875431.6328125</v>
          </cell>
          <cell r="ES21">
            <v>158946063.59375</v>
          </cell>
          <cell r="ET21">
            <v>158946063.59375</v>
          </cell>
          <cell r="EU21">
            <v>158946063.59375</v>
          </cell>
          <cell r="EV21">
            <v>324030527</v>
          </cell>
          <cell r="EW21">
            <v>306461151.125</v>
          </cell>
          <cell r="EX21">
            <v>288891773.375</v>
          </cell>
          <cell r="EY21">
            <v>306461151.125</v>
          </cell>
          <cell r="EZ21">
            <v>306461151.125</v>
          </cell>
          <cell r="FA21">
            <v>181687683.4375</v>
          </cell>
          <cell r="FB21">
            <v>119300948.03125</v>
          </cell>
          <cell r="FC21">
            <v>306461151.125</v>
          </cell>
          <cell r="FD21">
            <v>306461151.125</v>
          </cell>
          <cell r="FE21">
            <v>315245838.0625</v>
          </cell>
          <cell r="FF21">
            <v>8353192.0634765625</v>
          </cell>
          <cell r="FG21">
            <v>8353192.0634765625</v>
          </cell>
          <cell r="FH21">
            <v>6459679.2421875</v>
          </cell>
          <cell r="FI21">
            <v>8353192.0634765625</v>
          </cell>
          <cell r="FJ21">
            <v>8353192.0634765625</v>
          </cell>
          <cell r="FK21">
            <v>4952249.6171875</v>
          </cell>
          <cell r="FL21">
            <v>3251778.3388671875</v>
          </cell>
          <cell r="FM21">
            <v>8353192.0634765625</v>
          </cell>
          <cell r="FN21">
            <v>8353192.0634765625</v>
          </cell>
          <cell r="FO21">
            <v>8353192.0634765625</v>
          </cell>
          <cell r="FP21">
            <v>15364151.29296875</v>
          </cell>
          <cell r="FQ21">
            <v>14138063.89453125</v>
          </cell>
          <cell r="FR21">
            <v>12911976.263671875</v>
          </cell>
          <cell r="FS21">
            <v>14138063.89453125</v>
          </cell>
          <cell r="FT21">
            <v>14138063.89453125</v>
          </cell>
          <cell r="FU21">
            <v>8381852.107421875</v>
          </cell>
          <cell r="FV21">
            <v>5503746.2392578125</v>
          </cell>
          <cell r="FW21">
            <v>14138063.89453125</v>
          </cell>
          <cell r="FX21">
            <v>14138063.89453125</v>
          </cell>
          <cell r="FY21">
            <v>14751107.5078125</v>
          </cell>
          <cell r="FZ21">
            <v>766705500.4375</v>
          </cell>
          <cell r="GA21">
            <v>619460872.25</v>
          </cell>
          <cell r="GB21">
            <v>588541330.375</v>
          </cell>
          <cell r="GC21">
            <v>515053905.4375</v>
          </cell>
          <cell r="GD21">
            <v>549282051.6875</v>
          </cell>
          <cell r="GE21">
            <v>466850229.125</v>
          </cell>
          <cell r="GF21">
            <v>223589819.796875</v>
          </cell>
          <cell r="GG21">
            <v>628089781.5</v>
          </cell>
          <cell r="GH21">
            <v>628089781.5</v>
          </cell>
          <cell r="GI21">
            <v>647684252.25</v>
          </cell>
          <cell r="HO21">
            <v>107316665.15625</v>
          </cell>
          <cell r="HZ21">
            <v>11528991.098046875</v>
          </cell>
          <cell r="IA21">
            <v>9084512.7605468743</v>
          </cell>
          <cell r="IB21">
            <v>8998044.9615234379</v>
          </cell>
          <cell r="IC21">
            <v>7602940.01953125</v>
          </cell>
          <cell r="ID21">
            <v>7817478.8253906248</v>
          </cell>
          <cell r="IE21">
            <v>6478783.8220703127</v>
          </cell>
          <cell r="IF21">
            <v>3153228.4272460938</v>
          </cell>
          <cell r="IG21">
            <v>9200554.4996093754</v>
          </cell>
          <cell r="IH21">
            <v>9200554.4996093754</v>
          </cell>
          <cell r="II21">
            <v>9538360.4089843743</v>
          </cell>
        </row>
        <row r="22">
          <cell r="V22">
            <v>394586566.8125</v>
          </cell>
          <cell r="W22">
            <v>304612182.828125</v>
          </cell>
          <cell r="X22">
            <v>312567800.6953125</v>
          </cell>
          <cell r="Y22">
            <v>231213299.703125</v>
          </cell>
          <cell r="Z22">
            <v>274117226.453125</v>
          </cell>
          <cell r="AA22">
            <v>250571919.9921875</v>
          </cell>
          <cell r="AB22">
            <v>95014938.5078125</v>
          </cell>
          <cell r="AC22">
            <v>310361284.515625</v>
          </cell>
          <cell r="AD22">
            <v>310361284.515625</v>
          </cell>
          <cell r="AE22">
            <v>326654543.109375</v>
          </cell>
          <cell r="AZ22">
            <v>213866371.875</v>
          </cell>
          <cell r="BA22">
            <v>150882017.1171875</v>
          </cell>
          <cell r="BB22">
            <v>155289971.6640625</v>
          </cell>
          <cell r="BC22">
            <v>114872345.2890625</v>
          </cell>
          <cell r="BD22">
            <v>108784683.8828125</v>
          </cell>
          <cell r="BE22">
            <v>110507390.640625</v>
          </cell>
          <cell r="BF22">
            <v>45473758.44140625</v>
          </cell>
          <cell r="BG22">
            <v>153624630.0859375</v>
          </cell>
          <cell r="BH22">
            <v>153624630.0859375</v>
          </cell>
          <cell r="BI22">
            <v>157712084.0078125</v>
          </cell>
          <cell r="CD22">
            <v>67235875.62109375</v>
          </cell>
          <cell r="CE22">
            <v>49842530.236328125</v>
          </cell>
          <cell r="CF22">
            <v>51865687.900390625</v>
          </cell>
          <cell r="CG22">
            <v>37013426.123046875</v>
          </cell>
          <cell r="CH22">
            <v>41440401.74609375</v>
          </cell>
          <cell r="CI22">
            <v>36479551.58984375</v>
          </cell>
          <cell r="CJ22">
            <v>14505179.86328125</v>
          </cell>
          <cell r="CK22">
            <v>50791489.384765625</v>
          </cell>
          <cell r="CL22">
            <v>50791489.384765625</v>
          </cell>
          <cell r="CM22">
            <v>53336430.98046875</v>
          </cell>
          <cell r="DH22">
            <v>25041196.513671875</v>
          </cell>
          <cell r="DI22">
            <v>18220702.4296875</v>
          </cell>
          <cell r="DJ22">
            <v>18286522.0390625</v>
          </cell>
          <cell r="DK22">
            <v>15452769.19921875</v>
          </cell>
          <cell r="DL22">
            <v>13280471.116210938</v>
          </cell>
          <cell r="DM22">
            <v>13403929.826171875</v>
          </cell>
          <cell r="DN22">
            <v>5393132.8959960938</v>
          </cell>
          <cell r="DO22">
            <v>18414958.52734375</v>
          </cell>
          <cell r="DP22">
            <v>18414958.52734375</v>
          </cell>
          <cell r="DQ22">
            <v>18766890.10546875</v>
          </cell>
          <cell r="EL22">
            <v>159654408.8125</v>
          </cell>
          <cell r="EM22">
            <v>159654408.8125</v>
          </cell>
          <cell r="EN22">
            <v>113277542.8125</v>
          </cell>
          <cell r="EO22">
            <v>159654408.8125</v>
          </cell>
          <cell r="EP22">
            <v>159654408.8125</v>
          </cell>
          <cell r="EQ22">
            <v>91231090.5</v>
          </cell>
          <cell r="ER22">
            <v>57019432.5078125</v>
          </cell>
          <cell r="ES22">
            <v>159654408.8125</v>
          </cell>
          <cell r="ET22">
            <v>159654408.8125</v>
          </cell>
          <cell r="EU22">
            <v>159654408.8125</v>
          </cell>
          <cell r="EV22">
            <v>322155304.0625</v>
          </cell>
          <cell r="EW22">
            <v>304305903.9375</v>
          </cell>
          <cell r="EX22">
            <v>286456499.9375</v>
          </cell>
          <cell r="EY22">
            <v>304305903.9375</v>
          </cell>
          <cell r="EZ22">
            <v>304305903.9375</v>
          </cell>
          <cell r="FA22">
            <v>173889087.78125</v>
          </cell>
          <cell r="FB22">
            <v>108680680</v>
          </cell>
          <cell r="FC22">
            <v>304305903.9375</v>
          </cell>
          <cell r="FD22">
            <v>304305903.9375</v>
          </cell>
          <cell r="FE22">
            <v>313230604.9375</v>
          </cell>
          <cell r="FF22">
            <v>8304625.734375</v>
          </cell>
          <cell r="FG22">
            <v>8304625.734375</v>
          </cell>
          <cell r="FH22">
            <v>6334952.1123046875</v>
          </cell>
          <cell r="FI22">
            <v>8304625.734375</v>
          </cell>
          <cell r="FJ22">
            <v>8304625.734375</v>
          </cell>
          <cell r="FK22">
            <v>4745500.4326171875</v>
          </cell>
          <cell r="FL22">
            <v>2965937.7709960938</v>
          </cell>
          <cell r="FM22">
            <v>8304625.734375</v>
          </cell>
          <cell r="FN22">
            <v>8304625.734375</v>
          </cell>
          <cell r="FO22">
            <v>8304625.734375</v>
          </cell>
          <cell r="FP22">
            <v>15261865.69140625</v>
          </cell>
          <cell r="FQ22">
            <v>13988995.05078125</v>
          </cell>
          <cell r="FR22">
            <v>12716124.291015625</v>
          </cell>
          <cell r="FS22">
            <v>13988995.05078125</v>
          </cell>
          <cell r="FT22">
            <v>13988995.05078125</v>
          </cell>
          <cell r="FU22">
            <v>7993711.421875</v>
          </cell>
          <cell r="FV22">
            <v>4996069.666015625</v>
          </cell>
          <cell r="FW22">
            <v>13988995.05078125</v>
          </cell>
          <cell r="FX22">
            <v>13988995.05078125</v>
          </cell>
          <cell r="FY22">
            <v>14625430.546875</v>
          </cell>
          <cell r="FZ22">
            <v>768107346.8125</v>
          </cell>
          <cell r="GA22">
            <v>615148610.71875</v>
          </cell>
          <cell r="GB22">
            <v>581135318.75</v>
          </cell>
          <cell r="GC22">
            <v>505740053.25</v>
          </cell>
          <cell r="GD22">
            <v>542556321.21875</v>
          </cell>
          <cell r="GE22">
            <v>452310398.84375</v>
          </cell>
          <cell r="GF22">
            <v>197508130.671875</v>
          </cell>
          <cell r="GG22">
            <v>623640326.34375</v>
          </cell>
          <cell r="GH22">
            <v>623640326.34375</v>
          </cell>
          <cell r="GI22">
            <v>644021036.125</v>
          </cell>
          <cell r="HO22">
            <v>107241325.075</v>
          </cell>
          <cell r="HZ22">
            <v>11584356.344140625</v>
          </cell>
          <cell r="IA22">
            <v>9035685.34375</v>
          </cell>
          <cell r="IB22">
            <v>8920328.6564453132</v>
          </cell>
          <cell r="IC22">
            <v>7475981.5730468752</v>
          </cell>
          <cell r="ID22">
            <v>7701449.3765625004</v>
          </cell>
          <cell r="IE22">
            <v>6262269.3546874998</v>
          </cell>
          <cell r="IF22">
            <v>2786032.0261718752</v>
          </cell>
          <cell r="IG22">
            <v>9150006.8640624993</v>
          </cell>
          <cell r="IH22">
            <v>9150006.8640624993</v>
          </cell>
          <cell r="II22">
            <v>9503337.7203125004</v>
          </cell>
        </row>
        <row r="23">
          <cell r="V23">
            <v>393501997.1015625</v>
          </cell>
          <cell r="W23">
            <v>299612261.546875</v>
          </cell>
          <cell r="X23">
            <v>306649869.1171875</v>
          </cell>
          <cell r="Y23">
            <v>221836884.3828125</v>
          </cell>
          <cell r="Z23">
            <v>268270765.140625</v>
          </cell>
          <cell r="AA23">
            <v>242426907.7109375</v>
          </cell>
          <cell r="AB23">
            <v>80155989.263671875</v>
          </cell>
          <cell r="AC23">
            <v>305324266.421875</v>
          </cell>
          <cell r="AD23">
            <v>305324266.421875</v>
          </cell>
          <cell r="AE23">
            <v>322079677.2890625</v>
          </cell>
          <cell r="AZ23">
            <v>215541768.515625</v>
          </cell>
          <cell r="BA23">
            <v>150925742.046875</v>
          </cell>
          <cell r="BB23">
            <v>155444746.390625</v>
          </cell>
          <cell r="BC23">
            <v>112881941.421875</v>
          </cell>
          <cell r="BD23">
            <v>107029919.6484375</v>
          </cell>
          <cell r="BE23">
            <v>107110905.5390625</v>
          </cell>
          <cell r="BF23">
            <v>39222917.19921875</v>
          </cell>
          <cell r="BG23">
            <v>153665390.453125</v>
          </cell>
          <cell r="BH23">
            <v>153665390.453125</v>
          </cell>
          <cell r="BI23">
            <v>157977472.125</v>
          </cell>
          <cell r="CD23">
            <v>67724330.6484375</v>
          </cell>
          <cell r="CE23">
            <v>49545032.03125</v>
          </cell>
          <cell r="CF23">
            <v>51424308.751953125</v>
          </cell>
          <cell r="CG23">
            <v>36064060.138671875</v>
          </cell>
          <cell r="CH23">
            <v>40710344.0546875</v>
          </cell>
          <cell r="CI23">
            <v>35331485.00390625</v>
          </cell>
          <cell r="CJ23">
            <v>12409854.444824219</v>
          </cell>
          <cell r="CK23">
            <v>50480914.8125</v>
          </cell>
          <cell r="CL23">
            <v>50480914.8125</v>
          </cell>
          <cell r="CM23">
            <v>53129757.966796875</v>
          </cell>
          <cell r="DH23">
            <v>25252601.451171875</v>
          </cell>
          <cell r="DI23">
            <v>18290363.943359375</v>
          </cell>
          <cell r="DJ23">
            <v>18349760.0703125</v>
          </cell>
          <cell r="DK23">
            <v>15391558.322265625</v>
          </cell>
          <cell r="DL23">
            <v>13085050.001953125</v>
          </cell>
          <cell r="DM23">
            <v>12990954.606445313</v>
          </cell>
          <cell r="DN23">
            <v>4628846.9809570313</v>
          </cell>
          <cell r="DO23">
            <v>18481808.021484375</v>
          </cell>
          <cell r="DP23">
            <v>18481808.021484375</v>
          </cell>
          <cell r="DQ23">
            <v>18853347.091796875</v>
          </cell>
          <cell r="EL23">
            <v>160391305.5625</v>
          </cell>
          <cell r="EM23">
            <v>160391305.5625</v>
          </cell>
          <cell r="EN23">
            <v>112286373.53125</v>
          </cell>
          <cell r="EO23">
            <v>160391305.5625</v>
          </cell>
          <cell r="EP23">
            <v>160391305.5625</v>
          </cell>
          <cell r="EQ23">
            <v>88215218.265625</v>
          </cell>
          <cell r="ER23">
            <v>52127174.84375</v>
          </cell>
          <cell r="ES23">
            <v>160391305.5625</v>
          </cell>
          <cell r="ET23">
            <v>160391305.5625</v>
          </cell>
          <cell r="EU23">
            <v>160391305.5625</v>
          </cell>
          <cell r="EV23">
            <v>320291060.6875</v>
          </cell>
          <cell r="EW23">
            <v>302125278.625</v>
          </cell>
          <cell r="EX23">
            <v>283959490.9375</v>
          </cell>
          <cell r="EY23">
            <v>302125278.625</v>
          </cell>
          <cell r="EZ23">
            <v>302125278.625</v>
          </cell>
          <cell r="FA23">
            <v>166168902.375</v>
          </cell>
          <cell r="FB23">
            <v>98190714.171875</v>
          </cell>
          <cell r="FC23">
            <v>302125278.625</v>
          </cell>
          <cell r="FD23">
            <v>302125278.625</v>
          </cell>
          <cell r="FE23">
            <v>311208171.5625</v>
          </cell>
          <cell r="FF23">
            <v>8256291.25</v>
          </cell>
          <cell r="FG23">
            <v>8256291.25</v>
          </cell>
          <cell r="FH23">
            <v>6211394.2578125</v>
          </cell>
          <cell r="FI23">
            <v>8256291.25</v>
          </cell>
          <cell r="FJ23">
            <v>8256291.25</v>
          </cell>
          <cell r="FK23">
            <v>4540960.3012695313</v>
          </cell>
          <cell r="FL23">
            <v>2683294.6525878906</v>
          </cell>
          <cell r="FM23">
            <v>8256291.25</v>
          </cell>
          <cell r="FN23">
            <v>8256291.25</v>
          </cell>
          <cell r="FO23">
            <v>8256291.25</v>
          </cell>
          <cell r="FP23">
            <v>15160180.44921875</v>
          </cell>
          <cell r="FQ23">
            <v>13843547.73046875</v>
          </cell>
          <cell r="FR23">
            <v>12526915.1875</v>
          </cell>
          <cell r="FS23">
            <v>13843547.73046875</v>
          </cell>
          <cell r="FT23">
            <v>13843547.73046875</v>
          </cell>
          <cell r="FU23">
            <v>7613951.302734375</v>
          </cell>
          <cell r="FV23">
            <v>4499153.029296875</v>
          </cell>
          <cell r="FW23">
            <v>13843547.73046875</v>
          </cell>
          <cell r="FX23">
            <v>13843547.73046875</v>
          </cell>
          <cell r="FY23">
            <v>14501864.12109375</v>
          </cell>
          <cell r="FZ23">
            <v>769435068.75</v>
          </cell>
          <cell r="GA23">
            <v>610929310</v>
          </cell>
          <cell r="GB23">
            <v>574380982.15625</v>
          </cell>
          <cell r="GC23">
            <v>495110128.4375</v>
          </cell>
          <cell r="GD23">
            <v>535691990</v>
          </cell>
          <cell r="GE23">
            <v>437753034.03125</v>
          </cell>
          <cell r="GF23">
            <v>171506082.046875</v>
          </cell>
          <cell r="GG23">
            <v>619380964.3125</v>
          </cell>
          <cell r="GH23">
            <v>619380964.3125</v>
          </cell>
          <cell r="GI23">
            <v>640448453.0625</v>
          </cell>
          <cell r="HO23">
            <v>107156034.7375</v>
          </cell>
          <cell r="HZ23">
            <v>11639340.499609375</v>
          </cell>
          <cell r="IA23">
            <v>8993523.5460937507</v>
          </cell>
          <cell r="IB23">
            <v>8851237.8406249993</v>
          </cell>
          <cell r="IC23">
            <v>7355545.7660156246</v>
          </cell>
          <cell r="ID23">
            <v>7589523.2999999998</v>
          </cell>
          <cell r="IE23">
            <v>6047735.1345703127</v>
          </cell>
          <cell r="IF23">
            <v>2422114.9183593751</v>
          </cell>
          <cell r="IG23">
            <v>9106256.23828125</v>
          </cell>
          <cell r="IH23">
            <v>9106256.23828125</v>
          </cell>
          <cell r="II23">
            <v>9474126.0886718743</v>
          </cell>
        </row>
        <row r="24">
          <cell r="V24">
            <v>394861428.375</v>
          </cell>
          <cell r="W24">
            <v>296077839.6875</v>
          </cell>
          <cell r="X24">
            <v>302415342</v>
          </cell>
          <cell r="Y24">
            <v>213107179.3984375</v>
          </cell>
          <cell r="Z24">
            <v>263968420.1015625</v>
          </cell>
          <cell r="AA24">
            <v>235833500.2109375</v>
          </cell>
          <cell r="AB24">
            <v>65835810.771484375</v>
          </cell>
          <cell r="AC24">
            <v>301801545.0625</v>
          </cell>
          <cell r="AD24">
            <v>301801545.0625</v>
          </cell>
          <cell r="AE24">
            <v>319066392.1796875</v>
          </cell>
          <cell r="AZ24">
            <v>218488711.546875</v>
          </cell>
          <cell r="BA24">
            <v>151740712.875</v>
          </cell>
          <cell r="BB24">
            <v>156444212.3515625</v>
          </cell>
          <cell r="BC24">
            <v>111238122.359375</v>
          </cell>
          <cell r="BD24">
            <v>105865349.484375</v>
          </cell>
          <cell r="BE24">
            <v>104357260.4765625</v>
          </cell>
          <cell r="BF24">
            <v>33211781.3125</v>
          </cell>
          <cell r="BG24">
            <v>154502403.34375</v>
          </cell>
          <cell r="BH24">
            <v>154502403.34375</v>
          </cell>
          <cell r="BI24">
            <v>159062772.203125</v>
          </cell>
          <cell r="CD24">
            <v>68634471.4921875</v>
          </cell>
          <cell r="CE24">
            <v>49593260.48046875</v>
          </cell>
          <cell r="CF24">
            <v>51317906.9375</v>
          </cell>
          <cell r="CG24">
            <v>35504291.005859375</v>
          </cell>
          <cell r="CH24">
            <v>40264383.662109375</v>
          </cell>
          <cell r="CI24">
            <v>34403352.1875</v>
          </cell>
          <cell r="CJ24">
            <v>10396387.850585938</v>
          </cell>
          <cell r="CK24">
            <v>50515808.5625</v>
          </cell>
          <cell r="CL24">
            <v>50515808.5625</v>
          </cell>
          <cell r="CM24">
            <v>53285888.64453125</v>
          </cell>
          <cell r="DH24">
            <v>25598173.953125</v>
          </cell>
          <cell r="DI24">
            <v>18462150.892578125</v>
          </cell>
          <cell r="DJ24">
            <v>18509250.642578125</v>
          </cell>
          <cell r="DK24">
            <v>15438675.712890625</v>
          </cell>
          <cell r="DL24">
            <v>12973884.651367188</v>
          </cell>
          <cell r="DM24">
            <v>12651448.915039063</v>
          </cell>
          <cell r="DN24">
            <v>3890156.7041015625</v>
          </cell>
          <cell r="DO24">
            <v>18650835.298828125</v>
          </cell>
          <cell r="DP24">
            <v>18650835.298828125</v>
          </cell>
          <cell r="DQ24">
            <v>19045014.787109375</v>
          </cell>
          <cell r="EL24">
            <v>162363875.125</v>
          </cell>
          <cell r="EM24">
            <v>162363875.125</v>
          </cell>
          <cell r="EN24">
            <v>112079405.46875</v>
          </cell>
          <cell r="EO24">
            <v>162363875.125</v>
          </cell>
          <cell r="EP24">
            <v>162363875.125</v>
          </cell>
          <cell r="EQ24">
            <v>85820906.296875</v>
          </cell>
          <cell r="ER24">
            <v>47549421.1640625</v>
          </cell>
          <cell r="ES24">
            <v>162363875.125</v>
          </cell>
          <cell r="ET24">
            <v>162363875.125</v>
          </cell>
          <cell r="EU24">
            <v>162363875.125</v>
          </cell>
          <cell r="EV24">
            <v>320484158.1875</v>
          </cell>
          <cell r="EW24">
            <v>302014983.6875</v>
          </cell>
          <cell r="EX24">
            <v>283545801.375</v>
          </cell>
          <cell r="EY24">
            <v>302014983.6875</v>
          </cell>
          <cell r="EZ24">
            <v>302014983.6875</v>
          </cell>
          <cell r="FA24">
            <v>159636490.1875</v>
          </cell>
          <cell r="FB24">
            <v>88447244.375</v>
          </cell>
          <cell r="FC24">
            <v>302014983.6875</v>
          </cell>
          <cell r="FD24">
            <v>302014983.6875</v>
          </cell>
          <cell r="FE24">
            <v>311249570.9375</v>
          </cell>
          <cell r="FF24">
            <v>8276616.3525390625</v>
          </cell>
          <cell r="FG24">
            <v>8276616.3525390625</v>
          </cell>
          <cell r="FH24">
            <v>6139837.501953125</v>
          </cell>
          <cell r="FI24">
            <v>8276616.3525390625</v>
          </cell>
          <cell r="FJ24">
            <v>8276616.3525390625</v>
          </cell>
          <cell r="FK24">
            <v>4374782.9453125</v>
          </cell>
          <cell r="FL24">
            <v>2423866.2084960938</v>
          </cell>
          <cell r="FM24">
            <v>8276616.3525390625</v>
          </cell>
          <cell r="FN24">
            <v>8276616.3525390625</v>
          </cell>
          <cell r="FO24">
            <v>8276616.3525390625</v>
          </cell>
          <cell r="FP24">
            <v>15152603.89453125</v>
          </cell>
          <cell r="FQ24">
            <v>13786024.6171875</v>
          </cell>
          <cell r="FR24">
            <v>12419445.630859375</v>
          </cell>
          <cell r="FS24">
            <v>13786024.6171875</v>
          </cell>
          <cell r="FT24">
            <v>13786024.6171875</v>
          </cell>
          <cell r="FU24">
            <v>7286898.76171875</v>
          </cell>
          <cell r="FV24">
            <v>4037335.8056640625</v>
          </cell>
          <cell r="FW24">
            <v>13786024.6171875</v>
          </cell>
          <cell r="FX24">
            <v>13786024.6171875</v>
          </cell>
          <cell r="FY24">
            <v>14469314.375</v>
          </cell>
          <cell r="FZ24">
            <v>775714012.3125</v>
          </cell>
          <cell r="GA24">
            <v>610182428.6875</v>
          </cell>
          <cell r="GB24">
            <v>570938962.25</v>
          </cell>
          <cell r="GC24">
            <v>486709178.0625</v>
          </cell>
          <cell r="GD24">
            <v>532197644.40625</v>
          </cell>
          <cell r="GE24">
            <v>426011665.8125</v>
          </cell>
          <cell r="GF24">
            <v>146597012.875</v>
          </cell>
          <cell r="GG24">
            <v>618667822.5625</v>
          </cell>
          <cell r="GH24">
            <v>618667822.5625</v>
          </cell>
          <cell r="GI24">
            <v>640493038.9375</v>
          </cell>
          <cell r="HO24">
            <v>107772899.59999999</v>
          </cell>
          <cell r="HZ24">
            <v>11766186.651171874</v>
          </cell>
          <cell r="IA24">
            <v>9011805.271484375</v>
          </cell>
          <cell r="IB24">
            <v>8838644.1365234368</v>
          </cell>
          <cell r="IC24">
            <v>7300560.7718749996</v>
          </cell>
          <cell r="ID24">
            <v>7530090.9402343752</v>
          </cell>
          <cell r="IE24">
            <v>5871648.2570312498</v>
          </cell>
          <cell r="IF24">
            <v>2074774.6752929688</v>
          </cell>
          <cell r="IG24">
            <v>9122928.5355468746</v>
          </cell>
          <cell r="IH24">
            <v>9122928.5355468746</v>
          </cell>
          <cell r="II24">
            <v>9507683.4789062496</v>
          </cell>
        </row>
        <row r="25">
          <cell r="V25">
            <v>391331275.8984375</v>
          </cell>
          <cell r="W25">
            <v>288584184.578125</v>
          </cell>
          <cell r="X25">
            <v>294273204.75</v>
          </cell>
          <cell r="Y25">
            <v>201237956.984375</v>
          </cell>
          <cell r="Z25">
            <v>256339036.71875</v>
          </cell>
          <cell r="AA25">
            <v>226379427.3125</v>
          </cell>
          <cell r="AB25">
            <v>50776222.609375</v>
          </cell>
          <cell r="AC25">
            <v>294260882.890625</v>
          </cell>
          <cell r="AD25">
            <v>294260882.890625</v>
          </cell>
          <cell r="AE25">
            <v>311776093.515625</v>
          </cell>
          <cell r="AZ25">
            <v>218994409.59375</v>
          </cell>
          <cell r="BA25">
            <v>150824016.171875</v>
          </cell>
          <cell r="BB25">
            <v>155692006.6484375</v>
          </cell>
          <cell r="BC25">
            <v>108199967.75</v>
          </cell>
          <cell r="BD25">
            <v>103526757.828125</v>
          </cell>
          <cell r="BE25">
            <v>100415831.28125</v>
          </cell>
          <cell r="BF25">
            <v>26855252.380859375</v>
          </cell>
          <cell r="BG25">
            <v>153581127.078125</v>
          </cell>
          <cell r="BH25">
            <v>153581127.078125</v>
          </cell>
          <cell r="BI25">
            <v>158298813.890625</v>
          </cell>
          <cell r="CD25">
            <v>68678496.71484375</v>
          </cell>
          <cell r="CE25">
            <v>48925538.533203125</v>
          </cell>
          <cell r="CF25">
            <v>50540594.177734375</v>
          </cell>
          <cell r="CG25">
            <v>34207807.271484375</v>
          </cell>
          <cell r="CH25">
            <v>39273804.314453125</v>
          </cell>
          <cell r="CI25">
            <v>33054957.8359375</v>
          </cell>
          <cell r="CJ25">
            <v>8261177.8842773438</v>
          </cell>
          <cell r="CK25">
            <v>49834613.376953125</v>
          </cell>
          <cell r="CL25">
            <v>49834613.376953125</v>
          </cell>
          <cell r="CM25">
            <v>52678893.390625</v>
          </cell>
          <cell r="DH25">
            <v>25679447.150390625</v>
          </cell>
          <cell r="DI25">
            <v>18432755.833984375</v>
          </cell>
          <cell r="DJ25">
            <v>18477460.513671875</v>
          </cell>
          <cell r="DK25">
            <v>15279650.236328125</v>
          </cell>
          <cell r="DL25">
            <v>12709801.606445313</v>
          </cell>
          <cell r="DM25">
            <v>12171651.557617188</v>
          </cell>
          <cell r="DN25">
            <v>3114584.802734375</v>
          </cell>
          <cell r="DO25">
            <v>18618689.990234375</v>
          </cell>
          <cell r="DP25">
            <v>18618689.990234375</v>
          </cell>
          <cell r="DQ25">
            <v>19026380.669921875</v>
          </cell>
          <cell r="EL25">
            <v>161881819.71875</v>
          </cell>
          <cell r="EM25">
            <v>161881819.71875</v>
          </cell>
          <cell r="EN25">
            <v>110272425.875</v>
          </cell>
          <cell r="EO25">
            <v>161881819.71875</v>
          </cell>
          <cell r="EP25">
            <v>161881819.71875</v>
          </cell>
          <cell r="EQ25">
            <v>82097208.265625</v>
          </cell>
          <cell r="ER25">
            <v>42204903.3046875</v>
          </cell>
          <cell r="ES25">
            <v>161881819.71875</v>
          </cell>
          <cell r="ET25">
            <v>161881819.71875</v>
          </cell>
          <cell r="EU25">
            <v>161881819.71875</v>
          </cell>
          <cell r="EV25">
            <v>316595220.375</v>
          </cell>
          <cell r="EW25">
            <v>298327578.875</v>
          </cell>
          <cell r="EX25">
            <v>280059939.125</v>
          </cell>
          <cell r="EY25">
            <v>298327578.875</v>
          </cell>
          <cell r="EZ25">
            <v>298327578.875</v>
          </cell>
          <cell r="FA25">
            <v>151294703.21875</v>
          </cell>
          <cell r="FB25">
            <v>77778262.15625</v>
          </cell>
          <cell r="FC25">
            <v>298327578.875</v>
          </cell>
          <cell r="FD25">
            <v>298327578.875</v>
          </cell>
          <cell r="FE25">
            <v>307461402.5</v>
          </cell>
          <cell r="FF25">
            <v>8160768.8779296875</v>
          </cell>
          <cell r="FG25">
            <v>8160768.8779296875</v>
          </cell>
          <cell r="FH25">
            <v>5968447.8505859375</v>
          </cell>
          <cell r="FI25">
            <v>8160768.8779296875</v>
          </cell>
          <cell r="FJ25">
            <v>8160768.8779296875</v>
          </cell>
          <cell r="FK25">
            <v>4138675.6508789063</v>
          </cell>
          <cell r="FL25">
            <v>2127629.0085449219</v>
          </cell>
          <cell r="FM25">
            <v>8160768.8779296875</v>
          </cell>
          <cell r="FN25">
            <v>8160768.8779296875</v>
          </cell>
          <cell r="FO25">
            <v>8160768.8779296875</v>
          </cell>
          <cell r="FP25">
            <v>14958585.94140625</v>
          </cell>
          <cell r="FQ25">
            <v>13589618.265625</v>
          </cell>
          <cell r="FR25">
            <v>12220650.826171875</v>
          </cell>
          <cell r="FS25">
            <v>13589618.265625</v>
          </cell>
          <cell r="FT25">
            <v>13589618.265625</v>
          </cell>
          <cell r="FU25">
            <v>6891877.9140625</v>
          </cell>
          <cell r="FV25">
            <v>3543007.708984375</v>
          </cell>
          <cell r="FW25">
            <v>13589618.265625</v>
          </cell>
          <cell r="FX25">
            <v>13589618.265625</v>
          </cell>
          <cell r="FY25">
            <v>14274101.9921875</v>
          </cell>
          <cell r="FZ25">
            <v>772207497.375</v>
          </cell>
          <cell r="GA25">
            <v>601290017.71875</v>
          </cell>
          <cell r="GB25">
            <v>560237633.1875</v>
          </cell>
          <cell r="GC25">
            <v>471319743.5625</v>
          </cell>
          <cell r="GD25">
            <v>521747614.65625</v>
          </cell>
          <cell r="GE25">
            <v>408892467.21875</v>
          </cell>
          <cell r="GF25">
            <v>119836378.4765625</v>
          </cell>
          <cell r="GG25">
            <v>609723826.78125</v>
          </cell>
          <cell r="GH25">
            <v>609723826.78125</v>
          </cell>
          <cell r="GI25">
            <v>631956721.6875</v>
          </cell>
          <cell r="HO25">
            <v>107053507.625</v>
          </cell>
          <cell r="HZ25">
            <v>11747729.817578126</v>
          </cell>
          <cell r="IA25">
            <v>8910868.1285156254</v>
          </cell>
          <cell r="IB25">
            <v>8720715.3814453129</v>
          </cell>
          <cell r="IC25">
            <v>7123784.4546875004</v>
          </cell>
          <cell r="ID25">
            <v>7373399.318359375</v>
          </cell>
          <cell r="IE25">
            <v>5625716.294921875</v>
          </cell>
          <cell r="IF25">
            <v>1704639.9457031251</v>
          </cell>
          <cell r="IG25">
            <v>9020369.0316406246</v>
          </cell>
          <cell r="IH25">
            <v>9020369.0316406246</v>
          </cell>
          <cell r="II25">
            <v>9414014.46484375</v>
          </cell>
        </row>
        <row r="26">
          <cell r="V26">
            <v>390169492.265625</v>
          </cell>
          <cell r="W26">
            <v>283403164.09375</v>
          </cell>
          <cell r="X26">
            <v>288095362.4765625</v>
          </cell>
          <cell r="Y26">
            <v>192991320.234375</v>
          </cell>
          <cell r="Z26">
            <v>250955685.59375</v>
          </cell>
          <cell r="AA26">
            <v>218435237.2890625</v>
          </cell>
          <cell r="AB26">
            <v>37930818.298828125</v>
          </cell>
          <cell r="AC26">
            <v>288973164.125</v>
          </cell>
          <cell r="AD26">
            <v>288973164.125</v>
          </cell>
          <cell r="AE26">
            <v>306867495.765625</v>
          </cell>
          <cell r="AZ26">
            <v>220710141.640625</v>
          </cell>
          <cell r="BA26">
            <v>151090410.671875</v>
          </cell>
          <cell r="BB26">
            <v>155969968.078125</v>
          </cell>
          <cell r="BC26">
            <v>106819284.328125</v>
          </cell>
          <cell r="BD26">
            <v>102027447.9921875</v>
          </cell>
          <cell r="BE26">
            <v>97099808.65625</v>
          </cell>
          <cell r="BF26">
            <v>21451945.6796875</v>
          </cell>
          <cell r="BG26">
            <v>153819367.78125</v>
          </cell>
          <cell r="BH26">
            <v>153819367.78125</v>
          </cell>
          <cell r="BI26">
            <v>158743380.71875</v>
          </cell>
          <cell r="CD26">
            <v>69147376.6171875</v>
          </cell>
          <cell r="CE26">
            <v>48530162.861328125</v>
          </cell>
          <cell r="CF26">
            <v>50080541.89453125</v>
          </cell>
          <cell r="CG26">
            <v>33034939.994140625</v>
          </cell>
          <cell r="CH26">
            <v>38517403.880859375</v>
          </cell>
          <cell r="CI26">
            <v>31928104.310546875</v>
          </cell>
          <cell r="CJ26">
            <v>6446680.4069824219</v>
          </cell>
          <cell r="CK26">
            <v>49434416.212890625</v>
          </cell>
          <cell r="CL26">
            <v>49434416.212890625</v>
          </cell>
          <cell r="CM26">
            <v>52362560.798828125</v>
          </cell>
          <cell r="DH26">
            <v>25894790.546875</v>
          </cell>
          <cell r="DI26">
            <v>18496124.1796875</v>
          </cell>
          <cell r="DJ26">
            <v>18544867.71875</v>
          </cell>
          <cell r="DK26">
            <v>15176646.8515625</v>
          </cell>
          <cell r="DL26">
            <v>12519123.865234375</v>
          </cell>
          <cell r="DM26">
            <v>11765948.965820313</v>
          </cell>
          <cell r="DN26">
            <v>2453120.2485351563</v>
          </cell>
          <cell r="DO26">
            <v>18681388.5859375</v>
          </cell>
          <cell r="DP26">
            <v>18681388.5859375</v>
          </cell>
          <cell r="DQ26">
            <v>19104713.97265625</v>
          </cell>
          <cell r="EL26">
            <v>162635372.4375</v>
          </cell>
          <cell r="EM26">
            <v>162635372.4375</v>
          </cell>
          <cell r="EN26">
            <v>109249186.578125</v>
          </cell>
          <cell r="EO26">
            <v>162635372.4375</v>
          </cell>
          <cell r="EP26">
            <v>162635372.4375</v>
          </cell>
          <cell r="EQ26">
            <v>78994323.5625</v>
          </cell>
          <cell r="ER26">
            <v>37173799.70703125</v>
          </cell>
          <cell r="ES26">
            <v>162635372.4375</v>
          </cell>
          <cell r="ET26">
            <v>162635372.4375</v>
          </cell>
          <cell r="EU26">
            <v>162635372.4375</v>
          </cell>
          <cell r="EV26">
            <v>314763479.3125</v>
          </cell>
          <cell r="EW26">
            <v>296581403.4375</v>
          </cell>
          <cell r="EX26">
            <v>278399333.25</v>
          </cell>
          <cell r="EY26">
            <v>296581403.4375</v>
          </cell>
          <cell r="EZ26">
            <v>296581403.4375</v>
          </cell>
          <cell r="FA26">
            <v>144053826.5625</v>
          </cell>
          <cell r="FB26">
            <v>67790035.796875</v>
          </cell>
          <cell r="FC26">
            <v>296581403.4375</v>
          </cell>
          <cell r="FD26">
            <v>296581403.4375</v>
          </cell>
          <cell r="FE26">
            <v>305672442.375</v>
          </cell>
          <cell r="FF26">
            <v>8113469.3388671875</v>
          </cell>
          <cell r="FG26">
            <v>8113469.3388671875</v>
          </cell>
          <cell r="FH26">
            <v>5848864.837890625</v>
          </cell>
          <cell r="FI26">
            <v>8113469.3388671875</v>
          </cell>
          <cell r="FJ26">
            <v>8113469.3388671875</v>
          </cell>
          <cell r="FK26">
            <v>3940828.0673828125</v>
          </cell>
          <cell r="FL26">
            <v>1854507.3149414063</v>
          </cell>
          <cell r="FM26">
            <v>8113469.3388671875</v>
          </cell>
          <cell r="FN26">
            <v>8113469.3388671875</v>
          </cell>
          <cell r="FO26">
            <v>8113469.3388671875</v>
          </cell>
          <cell r="FP26">
            <v>14858673.2265625</v>
          </cell>
          <cell r="FQ26">
            <v>13480356.3828125</v>
          </cell>
          <cell r="FR26">
            <v>12102039.427734375</v>
          </cell>
          <cell r="FS26">
            <v>13480356.3828125</v>
          </cell>
          <cell r="FT26">
            <v>13480356.3828125</v>
          </cell>
          <cell r="FU26">
            <v>6547601.5556640625</v>
          </cell>
          <cell r="FV26">
            <v>3081224.2885742188</v>
          </cell>
          <cell r="FW26">
            <v>13480356.3828125</v>
          </cell>
          <cell r="FX26">
            <v>13480356.3828125</v>
          </cell>
          <cell r="FY26">
            <v>14169514.71484375</v>
          </cell>
          <cell r="FZ26">
            <v>773515007.6875</v>
          </cell>
          <cell r="GA26">
            <v>597128949.15625</v>
          </cell>
          <cell r="GB26">
            <v>553314516.0625</v>
          </cell>
          <cell r="GC26">
            <v>462445977.125</v>
          </cell>
          <cell r="GD26">
            <v>515618505.875</v>
          </cell>
          <cell r="GE26">
            <v>394529370.5625</v>
          </cell>
          <cell r="GF26">
            <v>96556563.5</v>
          </cell>
          <cell r="GG26">
            <v>605427907.40625</v>
          </cell>
          <cell r="GH26">
            <v>605427907.40625</v>
          </cell>
          <cell r="GI26">
            <v>628246252.3125</v>
          </cell>
          <cell r="HO26">
            <v>107009641.1125</v>
          </cell>
          <cell r="HZ26">
            <v>11801430.981249999</v>
          </cell>
          <cell r="IA26">
            <v>8862011.2976562493</v>
          </cell>
          <cell r="IB26">
            <v>8657631.4326171875</v>
          </cell>
          <cell r="IC26">
            <v>6980541.2374999998</v>
          </cell>
          <cell r="ID26">
            <v>7263035.3527343748</v>
          </cell>
          <cell r="IE26">
            <v>5418248.2668945314</v>
          </cell>
          <cell r="IF26">
            <v>1383553.2303222655</v>
          </cell>
          <cell r="IG26">
            <v>8970963.0562500004</v>
          </cell>
          <cell r="IH26">
            <v>8970963.0562500004</v>
          </cell>
          <cell r="II26">
            <v>9375025.9066406246</v>
          </cell>
        </row>
        <row r="27">
          <cell r="V27">
            <v>388954779.3515625</v>
          </cell>
          <cell r="W27">
            <v>278245329.25</v>
          </cell>
          <cell r="X27">
            <v>282040848.3984375</v>
          </cell>
          <cell r="Y27">
            <v>184915520.875</v>
          </cell>
          <cell r="Z27">
            <v>245665456.4296875</v>
          </cell>
          <cell r="AA27">
            <v>210548367.125</v>
          </cell>
          <cell r="AB27">
            <v>32124155.509765625</v>
          </cell>
          <cell r="AC27">
            <v>283708767.28125</v>
          </cell>
          <cell r="AD27">
            <v>283708767.28125</v>
          </cell>
          <cell r="AE27">
            <v>301953228.03125</v>
          </cell>
          <cell r="AZ27">
            <v>222422998.703125</v>
          </cell>
          <cell r="BA27">
            <v>151370489.03125</v>
          </cell>
          <cell r="BB27">
            <v>156252939.7421875</v>
          </cell>
          <cell r="BC27">
            <v>105495805.09375</v>
          </cell>
          <cell r="BD27">
            <v>100574957.4375</v>
          </cell>
          <cell r="BE27">
            <v>93805057.390625</v>
          </cell>
          <cell r="BF27">
            <v>19027281.328125</v>
          </cell>
          <cell r="BG27">
            <v>154070643.515625</v>
          </cell>
          <cell r="BH27">
            <v>154070643.515625</v>
          </cell>
          <cell r="BI27">
            <v>159192102.21875</v>
          </cell>
          <cell r="CD27">
            <v>69605975.859375</v>
          </cell>
          <cell r="CE27">
            <v>48131203.13671875</v>
          </cell>
          <cell r="CF27">
            <v>49632830.912109375</v>
          </cell>
          <cell r="CG27">
            <v>31868311.234375</v>
          </cell>
          <cell r="CH27">
            <v>37765859.357421875</v>
          </cell>
          <cell r="CI27">
            <v>30806548.34375</v>
          </cell>
          <cell r="CJ27">
            <v>5623293.9545898438</v>
          </cell>
          <cell r="CK27">
            <v>49030563.55078125</v>
          </cell>
          <cell r="CL27">
            <v>49030563.55078125</v>
          </cell>
          <cell r="CM27">
            <v>52038457.4140625</v>
          </cell>
          <cell r="DH27">
            <v>26109882.8515625</v>
          </cell>
          <cell r="DI27">
            <v>18559817.013671875</v>
          </cell>
          <cell r="DJ27">
            <v>18612610.271484375</v>
          </cell>
          <cell r="DK27">
            <v>15074483.923828125</v>
          </cell>
          <cell r="DL27">
            <v>12332331.173828125</v>
          </cell>
          <cell r="DM27">
            <v>11362255.17578125</v>
          </cell>
          <cell r="DN27">
            <v>2157066.373046875</v>
          </cell>
          <cell r="DO27">
            <v>18744409.349609375</v>
          </cell>
          <cell r="DP27">
            <v>18744409.349609375</v>
          </cell>
          <cell r="DQ27">
            <v>19182339.943359375</v>
          </cell>
          <cell r="EL27">
            <v>163394225.8125</v>
          </cell>
          <cell r="EM27">
            <v>163394225.8125</v>
          </cell>
          <cell r="EN27">
            <v>108214535.9375</v>
          </cell>
          <cell r="EO27">
            <v>163394225.8125</v>
          </cell>
          <cell r="EP27">
            <v>163394225.8125</v>
          </cell>
          <cell r="EQ27">
            <v>75861604.7109375</v>
          </cell>
          <cell r="ER27">
            <v>32095294.18359375</v>
          </cell>
          <cell r="ES27">
            <v>163394225.8125</v>
          </cell>
          <cell r="ET27">
            <v>163394225.8125</v>
          </cell>
          <cell r="EU27">
            <v>163394225.8125</v>
          </cell>
          <cell r="EV27">
            <v>312942455.6875</v>
          </cell>
          <cell r="EW27">
            <v>294790771.875</v>
          </cell>
          <cell r="EX27">
            <v>276639080.5625</v>
          </cell>
          <cell r="EY27">
            <v>294790771.875</v>
          </cell>
          <cell r="EZ27">
            <v>294790771.875</v>
          </cell>
          <cell r="FA27">
            <v>136867143.5625</v>
          </cell>
          <cell r="FB27">
            <v>57905329.953125</v>
          </cell>
          <cell r="FC27">
            <v>294790771.875</v>
          </cell>
          <cell r="FD27">
            <v>294790771.875</v>
          </cell>
          <cell r="FE27">
            <v>303866614.6875</v>
          </cell>
          <cell r="FF27">
            <v>8066637.705078125</v>
          </cell>
          <cell r="FG27">
            <v>8066637.705078125</v>
          </cell>
          <cell r="FH27">
            <v>5730763.4482421875</v>
          </cell>
          <cell r="FI27">
            <v>8066637.705078125</v>
          </cell>
          <cell r="FJ27">
            <v>8066637.705078125</v>
          </cell>
          <cell r="FK27">
            <v>3745224.6518554688</v>
          </cell>
          <cell r="FL27">
            <v>1584518.1206054688</v>
          </cell>
          <cell r="FM27">
            <v>8066637.705078125</v>
          </cell>
          <cell r="FN27">
            <v>8066637.705078125</v>
          </cell>
          <cell r="FO27">
            <v>8066637.705078125</v>
          </cell>
          <cell r="FP27">
            <v>14759344.24609375</v>
          </cell>
          <cell r="FQ27">
            <v>13373538.80078125</v>
          </cell>
          <cell r="FR27">
            <v>11987733.763671875</v>
          </cell>
          <cell r="FS27">
            <v>13373538.80078125</v>
          </cell>
          <cell r="FT27">
            <v>13373538.80078125</v>
          </cell>
          <cell r="FU27">
            <v>6209143.1181640625</v>
          </cell>
          <cell r="FV27">
            <v>2626945.1323242188</v>
          </cell>
          <cell r="FW27">
            <v>13373538.80078125</v>
          </cell>
          <cell r="FX27">
            <v>13373538.80078125</v>
          </cell>
          <cell r="FY27">
            <v>14066441.40625</v>
          </cell>
          <cell r="FZ27">
            <v>774772002.375</v>
          </cell>
          <cell r="GA27">
            <v>593010045.125</v>
          </cell>
          <cell r="GB27">
            <v>546508327</v>
          </cell>
          <cell r="GC27">
            <v>453805550.375</v>
          </cell>
          <cell r="GD27">
            <v>509634638.59375</v>
          </cell>
          <cell r="GE27">
            <v>380215028.375</v>
          </cell>
          <cell r="GF27">
            <v>83246730.9921875</v>
          </cell>
          <cell r="GG27">
            <v>601173636.0625</v>
          </cell>
          <cell r="GH27">
            <v>601173636.0625</v>
          </cell>
          <cell r="GI27">
            <v>624539555.6875</v>
          </cell>
          <cell r="HO27">
            <v>106956277.425</v>
          </cell>
          <cell r="HZ27">
            <v>11854184.005078126</v>
          </cell>
          <cell r="IA27">
            <v>8813119.6984375007</v>
          </cell>
          <cell r="IB27">
            <v>8596393.9162109382</v>
          </cell>
          <cell r="IC27">
            <v>6838297.1863281252</v>
          </cell>
          <cell r="ID27">
            <v>7153836.74609375</v>
          </cell>
          <cell r="IE27">
            <v>5212317.1270507816</v>
          </cell>
          <cell r="IF27">
            <v>1199182.356591797</v>
          </cell>
          <cell r="IG27">
            <v>8921514.9671874996</v>
          </cell>
          <cell r="IH27">
            <v>8921514.9671874996</v>
          </cell>
          <cell r="II27">
            <v>9335387.6351562496</v>
          </cell>
        </row>
        <row r="28">
          <cell r="V28">
            <v>390178497.109375</v>
          </cell>
          <cell r="W28">
            <v>274708125.7265625</v>
          </cell>
          <cell r="X28">
            <v>277869647.484375</v>
          </cell>
          <cell r="Y28">
            <v>177565843.1328125</v>
          </cell>
          <cell r="Z28">
            <v>241892745.5703125</v>
          </cell>
          <cell r="AA28">
            <v>203988880.28125</v>
          </cell>
          <cell r="AB28">
            <v>32213669.456054688</v>
          </cell>
          <cell r="AC28">
            <v>280118603.9765625</v>
          </cell>
          <cell r="AD28">
            <v>280118603.9765625</v>
          </cell>
          <cell r="AE28">
            <v>298783379.3828125</v>
          </cell>
          <cell r="AZ28">
            <v>225400630.484375</v>
          </cell>
          <cell r="BA28">
            <v>152443281.234375</v>
          </cell>
          <cell r="BB28">
            <v>157398260.609375</v>
          </cell>
          <cell r="BC28">
            <v>104645813.765625</v>
          </cell>
          <cell r="BD28">
            <v>99684233.3515625</v>
          </cell>
          <cell r="BE28">
            <v>91062597.9921875</v>
          </cell>
          <cell r="BF28">
            <v>19081225.15234375</v>
          </cell>
          <cell r="BG28">
            <v>155139399.359375</v>
          </cell>
          <cell r="BH28">
            <v>155139399.359375</v>
          </cell>
          <cell r="BI28">
            <v>160489750.109375</v>
          </cell>
          <cell r="CD28">
            <v>70503434.56640625</v>
          </cell>
          <cell r="CE28">
            <v>48094357.52734375</v>
          </cell>
          <cell r="CF28">
            <v>49541671.693359375</v>
          </cell>
          <cell r="CG28">
            <v>31139365.998046875</v>
          </cell>
          <cell r="CH28">
            <v>37294264.162109375</v>
          </cell>
          <cell r="CI28">
            <v>29879179.76171875</v>
          </cell>
          <cell r="CJ28">
            <v>5637977.9909667969</v>
          </cell>
          <cell r="CK28">
            <v>48988913.03515625</v>
          </cell>
          <cell r="CL28">
            <v>48988913.03515625</v>
          </cell>
          <cell r="CM28">
            <v>52097993.271484375</v>
          </cell>
          <cell r="DH28">
            <v>26460914.6640625</v>
          </cell>
          <cell r="DI28">
            <v>18728915.0859375</v>
          </cell>
          <cell r="DJ28">
            <v>18780272.220703125</v>
          </cell>
          <cell r="DK28">
            <v>15093182.65625</v>
          </cell>
          <cell r="DL28">
            <v>12227198.643554688</v>
          </cell>
          <cell r="DM28">
            <v>11022981.478515625</v>
          </cell>
          <cell r="DN28">
            <v>2162789.6433105469</v>
          </cell>
          <cell r="DO28">
            <v>18912873.4375</v>
          </cell>
          <cell r="DP28">
            <v>18912873.4375</v>
          </cell>
          <cell r="DQ28">
            <v>19369207.34375</v>
          </cell>
          <cell r="EL28">
            <v>165411564.0625</v>
          </cell>
          <cell r="EM28">
            <v>165411564.0625</v>
          </cell>
          <cell r="EN28">
            <v>107934508.859375</v>
          </cell>
          <cell r="EO28">
            <v>165411564.0625</v>
          </cell>
          <cell r="EP28">
            <v>165411564.0625</v>
          </cell>
          <cell r="EQ28">
            <v>73253692.34375</v>
          </cell>
          <cell r="ER28">
            <v>27174756.96484375</v>
          </cell>
          <cell r="ES28">
            <v>165411564.0625</v>
          </cell>
          <cell r="ET28">
            <v>165411564.0625</v>
          </cell>
          <cell r="EU28">
            <v>165411564.0625</v>
          </cell>
          <cell r="EV28">
            <v>313131339.125</v>
          </cell>
          <cell r="EW28">
            <v>295010191.5</v>
          </cell>
          <cell r="EX28">
            <v>276889049.625</v>
          </cell>
          <cell r="EY28">
            <v>295010191.5</v>
          </cell>
          <cell r="EZ28">
            <v>295010191.5</v>
          </cell>
          <cell r="FA28">
            <v>130647370.84375</v>
          </cell>
          <cell r="FB28">
            <v>48465959.5390625</v>
          </cell>
          <cell r="FC28">
            <v>295010191.5</v>
          </cell>
          <cell r="FD28">
            <v>295010191.5</v>
          </cell>
          <cell r="FE28">
            <v>304070763.4375</v>
          </cell>
          <cell r="FF28">
            <v>8086790.4013671875</v>
          </cell>
          <cell r="FG28">
            <v>8086790.4013671875</v>
          </cell>
          <cell r="FH28">
            <v>5660513.484375</v>
          </cell>
          <cell r="FI28">
            <v>8086790.4013671875</v>
          </cell>
          <cell r="FJ28">
            <v>8086790.4013671875</v>
          </cell>
          <cell r="FK28">
            <v>3581292.8999023438</v>
          </cell>
          <cell r="FL28">
            <v>1328544.1365966797</v>
          </cell>
          <cell r="FM28">
            <v>8086790.4013671875</v>
          </cell>
          <cell r="FN28">
            <v>8086790.4013671875</v>
          </cell>
          <cell r="FO28">
            <v>8086790.4013671875</v>
          </cell>
          <cell r="FP28">
            <v>14751801.953125</v>
          </cell>
          <cell r="FQ28">
            <v>13352182.58203125</v>
          </cell>
          <cell r="FR28">
            <v>11952562.974609375</v>
          </cell>
          <cell r="FS28">
            <v>13352182.58203125</v>
          </cell>
          <cell r="FT28">
            <v>13352182.58203125</v>
          </cell>
          <cell r="FU28">
            <v>5913109.3642578125</v>
          </cell>
          <cell r="FV28">
            <v>2193572.8461914063</v>
          </cell>
          <cell r="FW28">
            <v>13352182.58203125</v>
          </cell>
          <cell r="FX28">
            <v>13352182.58203125</v>
          </cell>
          <cell r="FY28">
            <v>14051992.12109375</v>
          </cell>
          <cell r="FZ28">
            <v>780990688.8125</v>
          </cell>
          <cell r="GA28">
            <v>592562970.6875</v>
          </cell>
          <cell r="GB28">
            <v>543202413.25</v>
          </cell>
          <cell r="GC28">
            <v>447623221.3125</v>
          </cell>
          <cell r="GD28">
            <v>506988541.90625</v>
          </cell>
          <cell r="GE28">
            <v>368305169.46875</v>
          </cell>
          <cell r="GF28">
            <v>78469651.2265625</v>
          </cell>
          <cell r="GG28">
            <v>600669566.25</v>
          </cell>
          <cell r="GH28">
            <v>600669566.25</v>
          </cell>
          <cell r="GI28">
            <v>624684692.4375</v>
          </cell>
          <cell r="HO28">
            <v>107600088.03125</v>
          </cell>
          <cell r="HZ28">
            <v>11980294.20859375</v>
          </cell>
          <cell r="IA28">
            <v>8826224.6058593746</v>
          </cell>
          <cell r="IB28">
            <v>8593502.0623046868</v>
          </cell>
          <cell r="IC28">
            <v>6767152.169921875</v>
          </cell>
          <cell r="ID28">
            <v>7096043.5695312498</v>
          </cell>
          <cell r="IE28">
            <v>5039656.3083007811</v>
          </cell>
          <cell r="IF28">
            <v>1132288.4602050781</v>
          </cell>
          <cell r="IG28">
            <v>8934075.9636718743</v>
          </cell>
          <cell r="IH28">
            <v>8934075.9636718743</v>
          </cell>
          <cell r="II28">
            <v>9360598.3511718754</v>
          </cell>
        </row>
        <row r="29">
          <cell r="V29">
            <v>386631695.53125</v>
          </cell>
          <cell r="W29">
            <v>268207895.8125</v>
          </cell>
          <cell r="X29">
            <v>270306913.84375</v>
          </cell>
          <cell r="Y29">
            <v>169136238.9375</v>
          </cell>
          <cell r="Z29">
            <v>235799949.671875</v>
          </cell>
          <cell r="AA29">
            <v>194938264.21875</v>
          </cell>
          <cell r="AB29">
            <v>31906956.619140625</v>
          </cell>
          <cell r="AC29">
            <v>273180927.5625</v>
          </cell>
          <cell r="AD29">
            <v>273180927.5625</v>
          </cell>
          <cell r="AE29">
            <v>292034393.6875</v>
          </cell>
          <cell r="AZ29">
            <v>225835146.59375</v>
          </cell>
          <cell r="BA29">
            <v>152175242.0625</v>
          </cell>
          <cell r="BB29">
            <v>156973750.703125</v>
          </cell>
          <cell r="BC29">
            <v>103481077.015625</v>
          </cell>
          <cell r="BD29">
            <v>97928216.7265625</v>
          </cell>
          <cell r="BE29">
            <v>87279443.515625</v>
          </cell>
          <cell r="BF29">
            <v>18925950.34375</v>
          </cell>
          <cell r="BG29">
            <v>154684288.640625</v>
          </cell>
          <cell r="BH29">
            <v>154684288.640625</v>
          </cell>
          <cell r="BI29">
            <v>160176986.828125</v>
          </cell>
          <cell r="CD29">
            <v>70500782.53125</v>
          </cell>
          <cell r="CE29">
            <v>47440790.14453125</v>
          </cell>
          <cell r="CF29">
            <v>48826032.99609375</v>
          </cell>
          <cell r="CG29">
            <v>30063909.08984375</v>
          </cell>
          <cell r="CH29">
            <v>36384769.818359375</v>
          </cell>
          <cell r="CI29">
            <v>28584028.185546875</v>
          </cell>
          <cell r="CJ29">
            <v>5579268.7197265625</v>
          </cell>
          <cell r="CK29">
            <v>48303383.10546875</v>
          </cell>
          <cell r="CL29">
            <v>48303383.10546875</v>
          </cell>
          <cell r="CM29">
            <v>51467170.2734375</v>
          </cell>
          <cell r="DH29">
            <v>26541381.94921875</v>
          </cell>
          <cell r="DI29">
            <v>18731885.146484375</v>
          </cell>
          <cell r="DJ29">
            <v>18774708.25390625</v>
          </cell>
          <cell r="DK29">
            <v>14999157.669921875</v>
          </cell>
          <cell r="DL29">
            <v>11998983.895507813</v>
          </cell>
          <cell r="DM29">
            <v>10561890.897460938</v>
          </cell>
          <cell r="DN29">
            <v>2148459.3481445313</v>
          </cell>
          <cell r="DO29">
            <v>18900176.689453125</v>
          </cell>
          <cell r="DP29">
            <v>18900176.689453125</v>
          </cell>
          <cell r="DQ29">
            <v>19365367.150390625</v>
          </cell>
          <cell r="EL29">
            <v>164927180.53125</v>
          </cell>
          <cell r="EM29">
            <v>164927180.53125</v>
          </cell>
          <cell r="EN29">
            <v>106109363.9375</v>
          </cell>
          <cell r="EO29">
            <v>164927180.53125</v>
          </cell>
          <cell r="EP29">
            <v>164927180.53125</v>
          </cell>
          <cell r="EQ29">
            <v>69505026.9140625</v>
          </cell>
          <cell r="ER29">
            <v>21793948.90234375</v>
          </cell>
          <cell r="ES29">
            <v>164927180.53125</v>
          </cell>
          <cell r="ET29">
            <v>164927180.53125</v>
          </cell>
          <cell r="EU29">
            <v>164927180.53125</v>
          </cell>
          <cell r="EV29">
            <v>309332306.5</v>
          </cell>
          <cell r="EW29">
            <v>291420354.125</v>
          </cell>
          <cell r="EX29">
            <v>273508407.3125</v>
          </cell>
          <cell r="EY29">
            <v>291420354.125</v>
          </cell>
          <cell r="EZ29">
            <v>291420354.125</v>
          </cell>
          <cell r="FA29">
            <v>122812864.15625</v>
          </cell>
          <cell r="FB29">
            <v>38509118.46875</v>
          </cell>
          <cell r="FC29">
            <v>291420354.125</v>
          </cell>
          <cell r="FD29">
            <v>291420354.125</v>
          </cell>
          <cell r="FE29">
            <v>300376332.1875</v>
          </cell>
          <cell r="FF29">
            <v>7973867.322265625</v>
          </cell>
          <cell r="FG29">
            <v>7973867.322265625</v>
          </cell>
          <cell r="FH29">
            <v>5498201.09765625</v>
          </cell>
          <cell r="FI29">
            <v>7973867.322265625</v>
          </cell>
          <cell r="FJ29">
            <v>7973867.322265625</v>
          </cell>
          <cell r="FK29">
            <v>3360415.45703125</v>
          </cell>
          <cell r="FL29">
            <v>1053689.6160888672</v>
          </cell>
          <cell r="FM29">
            <v>7973867.322265625</v>
          </cell>
          <cell r="FN29">
            <v>7973867.322265625</v>
          </cell>
          <cell r="FO29">
            <v>7973867.322265625</v>
          </cell>
          <cell r="FP29">
            <v>14562425.54296875</v>
          </cell>
          <cell r="FQ29">
            <v>13165453.736328125</v>
          </cell>
          <cell r="FR29">
            <v>11768482.537109375</v>
          </cell>
          <cell r="FS29">
            <v>13165453.736328125</v>
          </cell>
          <cell r="FT29">
            <v>13165453.736328125</v>
          </cell>
          <cell r="FU29">
            <v>5548298.484375</v>
          </cell>
          <cell r="FV29">
            <v>1739720.6923828125</v>
          </cell>
          <cell r="FW29">
            <v>13165453.736328125</v>
          </cell>
          <cell r="FX29">
            <v>13165453.736328125</v>
          </cell>
          <cell r="FY29">
            <v>13863939.796875</v>
          </cell>
          <cell r="FZ29">
            <v>777394026.1875</v>
          </cell>
          <cell r="GA29">
            <v>585310320</v>
          </cell>
          <cell r="GB29">
            <v>533390026.625</v>
          </cell>
          <cell r="GC29">
            <v>437544498.8125</v>
          </cell>
          <cell r="GD29">
            <v>498655348.03125</v>
          </cell>
          <cell r="GE29">
            <v>351722733.875</v>
          </cell>
          <cell r="GF29">
            <v>72626856.3125</v>
          </cell>
          <cell r="GG29">
            <v>592792401</v>
          </cell>
          <cell r="GH29">
            <v>592792401</v>
          </cell>
          <cell r="GI29">
            <v>617138566.5</v>
          </cell>
          <cell r="HO29">
            <v>106881438.03125</v>
          </cell>
          <cell r="HZ29">
            <v>11957845.741015624</v>
          </cell>
          <cell r="IA29">
            <v>8731199.6486328132</v>
          </cell>
          <cell r="IB29">
            <v>8486742.4693359379</v>
          </cell>
          <cell r="IC29">
            <v>6620238.7806640621</v>
          </cell>
          <cell r="ID29">
            <v>6952307.4900390627</v>
          </cell>
          <cell r="IE29">
            <v>4805463.3167968746</v>
          </cell>
          <cell r="IF29">
            <v>1052113.8388671875</v>
          </cell>
          <cell r="IG29">
            <v>8834288.1009765621</v>
          </cell>
          <cell r="IH29">
            <v>8834288.1009765621</v>
          </cell>
          <cell r="II29">
            <v>9267034.4781250004</v>
          </cell>
        </row>
        <row r="30">
          <cell r="V30">
            <v>385388160.1328125</v>
          </cell>
          <cell r="W30">
            <v>263789392.921875</v>
          </cell>
          <cell r="X30">
            <v>264456555.26171875</v>
          </cell>
          <cell r="Y30">
            <v>163683850.9375</v>
          </cell>
          <cell r="Z30">
            <v>231899057.2734375</v>
          </cell>
          <cell r="AA30">
            <v>187191610.2734375</v>
          </cell>
          <cell r="AB30">
            <v>31795441.318359375</v>
          </cell>
          <cell r="AC30">
            <v>267561488.765625</v>
          </cell>
          <cell r="AD30">
            <v>267561488.765625</v>
          </cell>
          <cell r="AE30">
            <v>286666607.28125</v>
          </cell>
          <cell r="AZ30">
            <v>227508601.453125</v>
          </cell>
          <cell r="BA30">
            <v>152946564.65625</v>
          </cell>
          <cell r="BB30">
            <v>157467347.390625</v>
          </cell>
          <cell r="BC30">
            <v>103222900.296875</v>
          </cell>
          <cell r="BD30">
            <v>96983419.9609375</v>
          </cell>
          <cell r="BE30">
            <v>84041230.984375</v>
          </cell>
          <cell r="BF30">
            <v>18873785.716796875</v>
          </cell>
          <cell r="BG30">
            <v>155069009.921875</v>
          </cell>
          <cell r="BH30">
            <v>155069009.921875</v>
          </cell>
          <cell r="BI30">
            <v>160760043.6875</v>
          </cell>
          <cell r="CD30">
            <v>70943633.2421875</v>
          </cell>
          <cell r="CE30">
            <v>47068552.197265625</v>
          </cell>
          <cell r="CF30">
            <v>48418139.953125</v>
          </cell>
          <cell r="CG30">
            <v>28923985.9765625</v>
          </cell>
          <cell r="CH30">
            <v>35739706.064453125</v>
          </cell>
          <cell r="CI30">
            <v>27485592.813476563</v>
          </cell>
          <cell r="CJ30">
            <v>5557691.9909667969</v>
          </cell>
          <cell r="CK30">
            <v>47830499.923828125</v>
          </cell>
          <cell r="CL30">
            <v>47830499.923828125</v>
          </cell>
          <cell r="CM30">
            <v>51065084.783203125</v>
          </cell>
          <cell r="DH30">
            <v>26759324.84375</v>
          </cell>
          <cell r="DI30">
            <v>18833231.546875</v>
          </cell>
          <cell r="DJ30">
            <v>18863294.3828125</v>
          </cell>
          <cell r="DK30">
            <v>14940585.2265625</v>
          </cell>
          <cell r="DL30">
            <v>11850639.151367188</v>
          </cell>
          <cell r="DM30">
            <v>10165820.021484375</v>
          </cell>
          <cell r="DN30">
            <v>2144230.8869628906</v>
          </cell>
          <cell r="DO30">
            <v>18964035.4296875</v>
          </cell>
          <cell r="DP30">
            <v>18964035.4296875</v>
          </cell>
          <cell r="DQ30">
            <v>19442609.41796875</v>
          </cell>
          <cell r="EL30">
            <v>165700935.09375</v>
          </cell>
          <cell r="EM30">
            <v>165700935.09375</v>
          </cell>
          <cell r="EN30">
            <v>105038049.9375</v>
          </cell>
          <cell r="EO30">
            <v>165700935.09375</v>
          </cell>
          <cell r="EP30">
            <v>165700935.09375</v>
          </cell>
          <cell r="EQ30">
            <v>66280374.171875</v>
          </cell>
          <cell r="ER30">
            <v>16570093.54296875</v>
          </cell>
          <cell r="ES30">
            <v>165700935.09375</v>
          </cell>
          <cell r="ET30">
            <v>165700935.09375</v>
          </cell>
          <cell r="EU30">
            <v>165700935.09375</v>
          </cell>
          <cell r="EV30">
            <v>307543040.625</v>
          </cell>
          <cell r="EW30">
            <v>289738208.6875</v>
          </cell>
          <cell r="EX30">
            <v>271933371.125</v>
          </cell>
          <cell r="EY30">
            <v>289738208.6875</v>
          </cell>
          <cell r="EZ30">
            <v>289738208.6875</v>
          </cell>
          <cell r="FA30">
            <v>115895283.6875</v>
          </cell>
          <cell r="FB30">
            <v>28973820.921875</v>
          </cell>
          <cell r="FC30">
            <v>289738208.6875</v>
          </cell>
          <cell r="FD30">
            <v>289738208.6875</v>
          </cell>
          <cell r="FE30">
            <v>298640625.5625</v>
          </cell>
          <cell r="FF30">
            <v>7927745.498046875</v>
          </cell>
          <cell r="FG30">
            <v>7927745.498046875</v>
          </cell>
          <cell r="FH30">
            <v>5383465.4604492188</v>
          </cell>
          <cell r="FI30">
            <v>7927745.498046875</v>
          </cell>
          <cell r="FJ30">
            <v>7927745.498046875</v>
          </cell>
          <cell r="FK30">
            <v>3171098.23046875</v>
          </cell>
          <cell r="FL30">
            <v>792774.5576171875</v>
          </cell>
          <cell r="FM30">
            <v>7927745.498046875</v>
          </cell>
          <cell r="FN30">
            <v>7927745.498046875</v>
          </cell>
          <cell r="FO30">
            <v>7927745.498046875</v>
          </cell>
          <cell r="FP30">
            <v>14464829.390625</v>
          </cell>
          <cell r="FQ30">
            <v>13063733.40234375</v>
          </cell>
          <cell r="FR30">
            <v>11662637.767578125</v>
          </cell>
          <cell r="FS30">
            <v>13063733.40234375</v>
          </cell>
          <cell r="FT30">
            <v>13063733.40234375</v>
          </cell>
          <cell r="FU30">
            <v>5225493.4873046875</v>
          </cell>
          <cell r="FV30">
            <v>1306373.3718261719</v>
          </cell>
          <cell r="FW30">
            <v>13063733.40234375</v>
          </cell>
          <cell r="FX30">
            <v>13063733.40234375</v>
          </cell>
          <cell r="FY30">
            <v>13764281.15625</v>
          </cell>
          <cell r="FZ30">
            <v>778597695</v>
          </cell>
          <cell r="GA30">
            <v>582436893.1875</v>
          </cell>
          <cell r="GB30">
            <v>526961953.21875</v>
          </cell>
          <cell r="GC30">
            <v>432607685.375</v>
          </cell>
          <cell r="GD30">
            <v>494583412.0625</v>
          </cell>
          <cell r="GE30">
            <v>337513215.375</v>
          </cell>
          <cell r="GF30">
            <v>67239320.75390625</v>
          </cell>
          <cell r="GG30">
            <v>588331432.9375</v>
          </cell>
          <cell r="GH30">
            <v>588331432.9375</v>
          </cell>
          <cell r="GI30">
            <v>613127587.0625</v>
          </cell>
          <cell r="HO30">
            <v>106833590.36875001</v>
          </cell>
          <cell r="HZ30">
            <v>12009553.25</v>
          </cell>
          <cell r="IA30">
            <v>8689326.2878906243</v>
          </cell>
          <cell r="IB30">
            <v>8432753.7330078129</v>
          </cell>
          <cell r="IC30">
            <v>6485604.998046875</v>
          </cell>
          <cell r="ID30">
            <v>6858182.4113281248</v>
          </cell>
          <cell r="IE30">
            <v>4604800.4336914066</v>
          </cell>
          <cell r="IF30">
            <v>980107.07517089846</v>
          </cell>
          <cell r="IG30">
            <v>8778601.4417968746</v>
          </cell>
          <cell r="IH30">
            <v>8778601.4417968746</v>
          </cell>
          <cell r="II30">
            <v>9219972.1085937507</v>
          </cell>
        </row>
      </sheetData>
      <sheetData sheetId="2"/>
      <sheetData sheetId="3"/>
      <sheetData sheetId="4"/>
      <sheetData sheetId="5"/>
      <sheetData sheetId="6">
        <row r="2">
          <cell r="W2">
            <v>2046.6403453325595</v>
          </cell>
        </row>
      </sheetData>
      <sheetData sheetId="7">
        <row r="2">
          <cell r="V2">
            <v>627.75040502933007</v>
          </cell>
          <cell r="W2">
            <v>627.60240518996636</v>
          </cell>
          <cell r="X2">
            <v>627.46197683175603</v>
          </cell>
          <cell r="Y2">
            <v>627.60240518996636</v>
          </cell>
          <cell r="Z2">
            <v>627.60240518996636</v>
          </cell>
          <cell r="AA2">
            <v>628.68262085003812</v>
          </cell>
          <cell r="AB2">
            <v>628.68262085003812</v>
          </cell>
          <cell r="AC2">
            <v>627.60240518996636</v>
          </cell>
          <cell r="AD2">
            <v>627.60240518996636</v>
          </cell>
          <cell r="AE2">
            <v>627.60240518996636</v>
          </cell>
          <cell r="AZ2">
            <v>2746.3791808740943</v>
          </cell>
          <cell r="BA2">
            <v>2730.4580412795563</v>
          </cell>
          <cell r="BB2">
            <v>2728.3882931589164</v>
          </cell>
          <cell r="BC2">
            <v>2730.4580412795563</v>
          </cell>
          <cell r="BD2">
            <v>2730.4580412795563</v>
          </cell>
          <cell r="BE2">
            <v>2746.3791808740943</v>
          </cell>
          <cell r="BF2">
            <v>2746.3791808740943</v>
          </cell>
          <cell r="BG2">
            <v>2730.4580412795563</v>
          </cell>
          <cell r="BH2">
            <v>2730.4580412795563</v>
          </cell>
          <cell r="BI2">
            <v>2730.4580412795563</v>
          </cell>
        </row>
        <row r="3">
          <cell r="V3">
            <v>620.83832892042471</v>
          </cell>
          <cell r="W3">
            <v>620.26593691898199</v>
          </cell>
          <cell r="X3">
            <v>619.77320886613734</v>
          </cell>
          <cell r="Y3">
            <v>619.28910389773625</v>
          </cell>
          <cell r="Z3">
            <v>620.26593691898199</v>
          </cell>
          <cell r="AA3">
            <v>624.05615895693927</v>
          </cell>
          <cell r="AB3">
            <v>613.03294193730198</v>
          </cell>
          <cell r="AC3">
            <v>620.26593691898199</v>
          </cell>
          <cell r="AD3">
            <v>620.26593691898199</v>
          </cell>
          <cell r="AE3">
            <v>620.26593691898199</v>
          </cell>
          <cell r="AZ3">
            <v>2801.5352816678505</v>
          </cell>
          <cell r="BA3">
            <v>2746.3635506227274</v>
          </cell>
          <cell r="BB3">
            <v>2739.1912350983384</v>
          </cell>
          <cell r="BC3">
            <v>2741.9132742381703</v>
          </cell>
          <cell r="BD3">
            <v>2746.3635506227274</v>
          </cell>
          <cell r="BE3">
            <v>2801.5352816678505</v>
          </cell>
          <cell r="BF3">
            <v>2754.9249270559844</v>
          </cell>
          <cell r="BG3">
            <v>2746.3635506227274</v>
          </cell>
          <cell r="BH3">
            <v>2746.3635506227274</v>
          </cell>
          <cell r="BI3">
            <v>2746.3635506227274</v>
          </cell>
        </row>
        <row r="4">
          <cell r="V4">
            <v>617.41733792979107</v>
          </cell>
          <cell r="W4">
            <v>616.39031127115959</v>
          </cell>
          <cell r="X4">
            <v>615.46187215585201</v>
          </cell>
          <cell r="Y4">
            <v>612.02785504516601</v>
          </cell>
          <cell r="Z4">
            <v>616.39031127115959</v>
          </cell>
          <cell r="AA4">
            <v>623.53216559772852</v>
          </cell>
          <cell r="AB4">
            <v>612.16849206034681</v>
          </cell>
          <cell r="AC4">
            <v>616.39031127115959</v>
          </cell>
          <cell r="AD4">
            <v>616.39031127115959</v>
          </cell>
          <cell r="AE4">
            <v>616.39031127115959</v>
          </cell>
          <cell r="AZ4">
            <v>2832.1772709398147</v>
          </cell>
          <cell r="BA4">
            <v>2731.7317208993095</v>
          </cell>
          <cell r="BB4">
            <v>2718.6737922771699</v>
          </cell>
          <cell r="BC4">
            <v>2711.5220071903877</v>
          </cell>
          <cell r="BD4">
            <v>2731.7317208993095</v>
          </cell>
          <cell r="BE4">
            <v>2832.1772709398147</v>
          </cell>
          <cell r="BF4">
            <v>2787.6781252266669</v>
          </cell>
          <cell r="BG4">
            <v>2731.7317208993095</v>
          </cell>
          <cell r="BH4">
            <v>2731.7317208993095</v>
          </cell>
          <cell r="BI4">
            <v>2731.7317208993095</v>
          </cell>
        </row>
        <row r="5">
          <cell r="V5">
            <v>605.72331551469085</v>
          </cell>
          <cell r="W5">
            <v>602.0456847098759</v>
          </cell>
          <cell r="X5">
            <v>602.05511452671033</v>
          </cell>
          <cell r="Y5">
            <v>593.88853749577595</v>
          </cell>
          <cell r="Z5">
            <v>599.21231243748923</v>
          </cell>
          <cell r="AA5">
            <v>606.27857774745985</v>
          </cell>
          <cell r="AB5">
            <v>599.15360045707723</v>
          </cell>
          <cell r="AC5">
            <v>603.63344806381986</v>
          </cell>
          <cell r="AD5">
            <v>603.63344806381986</v>
          </cell>
          <cell r="AE5">
            <v>603.52809668705299</v>
          </cell>
          <cell r="AZ5">
            <v>2833.9073131830769</v>
          </cell>
          <cell r="BA5">
            <v>2679.1604949053899</v>
          </cell>
          <cell r="BB5">
            <v>2666.9001630932662</v>
          </cell>
          <cell r="BC5">
            <v>2640.4755529708159</v>
          </cell>
          <cell r="BD5">
            <v>2651.9863973388487</v>
          </cell>
          <cell r="BE5">
            <v>2781.7222421503066</v>
          </cell>
          <cell r="BF5">
            <v>2758.521438131188</v>
          </cell>
          <cell r="BG5">
            <v>2686.8840376800431</v>
          </cell>
          <cell r="BH5">
            <v>2686.8840376800431</v>
          </cell>
          <cell r="BI5">
            <v>2685.9658053059138</v>
          </cell>
        </row>
        <row r="6">
          <cell r="V6">
            <v>598.29456339879073</v>
          </cell>
          <cell r="W6">
            <v>588.78695293780027</v>
          </cell>
          <cell r="X6">
            <v>591.76398168302092</v>
          </cell>
          <cell r="Y6">
            <v>576.84218931293219</v>
          </cell>
          <cell r="Z6">
            <v>589.88129463692019</v>
          </cell>
          <cell r="AA6">
            <v>604.13911905317877</v>
          </cell>
          <cell r="AB6">
            <v>596.39826029499977</v>
          </cell>
          <cell r="AC6">
            <v>593.86423182999886</v>
          </cell>
          <cell r="AD6">
            <v>593.86423182999886</v>
          </cell>
          <cell r="AE6">
            <v>593.64840197514445</v>
          </cell>
          <cell r="AZ6">
            <v>2853.077691570752</v>
          </cell>
          <cell r="BA6">
            <v>2630.3190773509964</v>
          </cell>
          <cell r="BB6">
            <v>2628.9106020932823</v>
          </cell>
          <cell r="BC6">
            <v>2571.3504030835306</v>
          </cell>
          <cell r="BD6">
            <v>2585.7077317649146</v>
          </cell>
          <cell r="BE6">
            <v>2774.8451026256271</v>
          </cell>
          <cell r="BF6">
            <v>2751.9439992053781</v>
          </cell>
          <cell r="BG6">
            <v>2655.4802432178153</v>
          </cell>
          <cell r="BH6">
            <v>2655.4802432178153</v>
          </cell>
          <cell r="BI6">
            <v>2652.7757415870606</v>
          </cell>
        </row>
        <row r="7">
          <cell r="V7">
            <v>590.66751811017059</v>
          </cell>
          <cell r="W7">
            <v>574.99021423477996</v>
          </cell>
          <cell r="X7">
            <v>581.01779830327223</v>
          </cell>
          <cell r="Y7">
            <v>556.56830626820647</v>
          </cell>
          <cell r="Z7">
            <v>580.07980667944162</v>
          </cell>
          <cell r="AA7">
            <v>601.96869159850178</v>
          </cell>
          <cell r="AB7">
            <v>593.54602472360637</v>
          </cell>
          <cell r="AC7">
            <v>582.67973902591575</v>
          </cell>
          <cell r="AD7">
            <v>582.67973902591575</v>
          </cell>
          <cell r="AE7">
            <v>582.78010737162242</v>
          </cell>
          <cell r="AZ7">
            <v>2869.0376741119121</v>
          </cell>
          <cell r="BA7">
            <v>2580.507983070037</v>
          </cell>
          <cell r="BB7">
            <v>2590.4205893685362</v>
          </cell>
          <cell r="BC7">
            <v>2487.0106467374444</v>
          </cell>
          <cell r="BD7">
            <v>2520.3731761776917</v>
          </cell>
          <cell r="BE7">
            <v>2767.9318063384444</v>
          </cell>
          <cell r="BF7">
            <v>2745.4091163758112</v>
          </cell>
          <cell r="BG7">
            <v>2618.7589311709198</v>
          </cell>
          <cell r="BH7">
            <v>2618.7589311709198</v>
          </cell>
          <cell r="BI7">
            <v>2615.624206613023</v>
          </cell>
        </row>
        <row r="8">
          <cell r="V8">
            <v>586.65034767556403</v>
          </cell>
          <cell r="W8">
            <v>564.47757417745345</v>
          </cell>
          <cell r="X8">
            <v>573.53371993434735</v>
          </cell>
          <cell r="Y8">
            <v>538.33066286477344</v>
          </cell>
          <cell r="Z8">
            <v>573.29523310855393</v>
          </cell>
          <cell r="AA8">
            <v>603.39054786028885</v>
          </cell>
          <cell r="AB8">
            <v>594.17454544875261</v>
          </cell>
          <cell r="AC8">
            <v>573.92048221068546</v>
          </cell>
          <cell r="AD8">
            <v>573.92048221068546</v>
          </cell>
          <cell r="AE8">
            <v>574.74620039502179</v>
          </cell>
          <cell r="AZ8">
            <v>2898.894151991949</v>
          </cell>
          <cell r="BA8">
            <v>2546.117726132994</v>
          </cell>
          <cell r="BB8">
            <v>2566.7738169048566</v>
          </cell>
          <cell r="BC8">
            <v>2412.2332943622587</v>
          </cell>
          <cell r="BD8">
            <v>2470.1750966382469</v>
          </cell>
          <cell r="BE8">
            <v>2776.5972197291126</v>
          </cell>
          <cell r="BF8">
            <v>2754.4870514420618</v>
          </cell>
          <cell r="BG8">
            <v>2592.8659731762987</v>
          </cell>
          <cell r="BH8">
            <v>2592.8659731762987</v>
          </cell>
          <cell r="BI8">
            <v>2590.6141692313772</v>
          </cell>
        </row>
        <row r="9">
          <cell r="V9">
            <v>575.6523551320995</v>
          </cell>
          <cell r="W9">
            <v>546.91244986135007</v>
          </cell>
          <cell r="X9">
            <v>558.83752687598383</v>
          </cell>
          <cell r="Y9">
            <v>513.15831204596316</v>
          </cell>
          <cell r="Z9">
            <v>559.09992122830477</v>
          </cell>
          <cell r="AA9">
            <v>597.44922620297552</v>
          </cell>
          <cell r="AB9">
            <v>587.42348438117313</v>
          </cell>
          <cell r="AC9">
            <v>557.21084203345549</v>
          </cell>
          <cell r="AD9">
            <v>557.21084203345549</v>
          </cell>
          <cell r="AE9">
            <v>559.10803705841136</v>
          </cell>
          <cell r="AZ9">
            <v>2894.2880014718194</v>
          </cell>
          <cell r="BA9">
            <v>2483.7770184843653</v>
          </cell>
          <cell r="BB9">
            <v>2514.4705909694057</v>
          </cell>
          <cell r="BC9">
            <v>2310.4330036905289</v>
          </cell>
          <cell r="BD9">
            <v>2392.6870039806872</v>
          </cell>
          <cell r="BE9">
            <v>2753.533704174914</v>
          </cell>
          <cell r="BF9">
            <v>2732.0713423669695</v>
          </cell>
          <cell r="BG9">
            <v>2534.5598743662486</v>
          </cell>
          <cell r="BH9">
            <v>2534.5598743662486</v>
          </cell>
          <cell r="BI9">
            <v>2534.2349736590181</v>
          </cell>
        </row>
        <row r="10">
          <cell r="V10">
            <v>568.41993937912912</v>
          </cell>
          <cell r="W10">
            <v>532.75937248490629</v>
          </cell>
          <cell r="X10">
            <v>547.37760887120112</v>
          </cell>
          <cell r="Y10">
            <v>492.2772040234716</v>
          </cell>
          <cell r="Z10">
            <v>548.35726621221545</v>
          </cell>
          <cell r="AA10">
            <v>595.21206285821143</v>
          </cell>
          <cell r="AB10">
            <v>584.23608505016125</v>
          </cell>
          <cell r="AC10">
            <v>543.15071584969132</v>
          </cell>
          <cell r="AD10">
            <v>543.15071584969132</v>
          </cell>
          <cell r="AE10">
            <v>546.74384125705296</v>
          </cell>
          <cell r="AZ10">
            <v>2906.0068157397977</v>
          </cell>
          <cell r="BA10">
            <v>2438.6007825395754</v>
          </cell>
          <cell r="BB10">
            <v>2478.5274010614789</v>
          </cell>
          <cell r="BC10">
            <v>2229.7105084834207</v>
          </cell>
          <cell r="BD10">
            <v>2331.4486898462637</v>
          </cell>
          <cell r="BE10">
            <v>2746.5772897386528</v>
          </cell>
          <cell r="BF10">
            <v>2725.8266325229415</v>
          </cell>
          <cell r="BG10">
            <v>2489.8156624009234</v>
          </cell>
          <cell r="BH10">
            <v>2489.8156624009234</v>
          </cell>
          <cell r="BI10">
            <v>2493.7586248293601</v>
          </cell>
        </row>
        <row r="11">
          <cell r="V11">
            <v>561.34726871971623</v>
          </cell>
          <cell r="W11">
            <v>518.65794956674074</v>
          </cell>
          <cell r="X11">
            <v>535.58649135627218</v>
          </cell>
          <cell r="Y11">
            <v>472.10093123669259</v>
          </cell>
          <cell r="Z11">
            <v>537.65101219016037</v>
          </cell>
          <cell r="AA11">
            <v>592.90325037858167</v>
          </cell>
          <cell r="AB11">
            <v>580.85738286861408</v>
          </cell>
          <cell r="AC11">
            <v>528.71955466079669</v>
          </cell>
          <cell r="AD11">
            <v>528.71955466079669</v>
          </cell>
          <cell r="AE11">
            <v>534.51232414139315</v>
          </cell>
          <cell r="AZ11">
            <v>2916.8369068781894</v>
          </cell>
          <cell r="BA11">
            <v>2395.2686251833834</v>
          </cell>
          <cell r="BB11">
            <v>2443.3143476878054</v>
          </cell>
          <cell r="BC11">
            <v>2153.6551136906887</v>
          </cell>
          <cell r="BD11">
            <v>2273.1751564793794</v>
          </cell>
          <cell r="BE11">
            <v>2739.3909602755721</v>
          </cell>
          <cell r="BF11">
            <v>2719.5167252937626</v>
          </cell>
          <cell r="BG11">
            <v>2444.9161796407807</v>
          </cell>
          <cell r="BH11">
            <v>2444.9161796407807</v>
          </cell>
          <cell r="BI11">
            <v>2455.3162187955131</v>
          </cell>
        </row>
        <row r="12">
          <cell r="V12">
            <v>558.03645536109809</v>
          </cell>
          <cell r="W12">
            <v>508.01655000429128</v>
          </cell>
          <cell r="X12">
            <v>526.60972290992265</v>
          </cell>
          <cell r="Y12">
            <v>455.91503592534048</v>
          </cell>
          <cell r="Z12">
            <v>530.56784944999902</v>
          </cell>
          <cell r="AA12">
            <v>594.38786575752135</v>
          </cell>
          <cell r="AB12">
            <v>581.07019876054073</v>
          </cell>
          <cell r="AC12">
            <v>517.75477351761651</v>
          </cell>
          <cell r="AD12">
            <v>517.75477351761651</v>
          </cell>
          <cell r="AE12">
            <v>525.67214787291778</v>
          </cell>
          <cell r="AZ12">
            <v>2943.7967069584715</v>
          </cell>
          <cell r="BA12">
            <v>2369.4081817319466</v>
          </cell>
          <cell r="BB12">
            <v>2423.6991005719487</v>
          </cell>
          <cell r="BC12">
            <v>2097.4924403970285</v>
          </cell>
          <cell r="BD12">
            <v>2232.7070193744034</v>
          </cell>
          <cell r="BE12">
            <v>2748.8294119251018</v>
          </cell>
          <cell r="BF12">
            <v>2729.9676686490957</v>
          </cell>
          <cell r="BG12">
            <v>2417.5576482934321</v>
          </cell>
          <cell r="BH12">
            <v>2417.5576482934321</v>
          </cell>
          <cell r="BI12">
            <v>2434.1879848148205</v>
          </cell>
        </row>
        <row r="13">
          <cell r="V13">
            <v>548.00000016814613</v>
          </cell>
          <cell r="W13">
            <v>490.58589763914455</v>
          </cell>
          <cell r="X13">
            <v>510.14943684062274</v>
          </cell>
          <cell r="Y13">
            <v>433.39312853983017</v>
          </cell>
          <cell r="Z13">
            <v>516.61811623606991</v>
          </cell>
          <cell r="AA13">
            <v>588.48286530930022</v>
          </cell>
          <cell r="AB13">
            <v>573.83716474552716</v>
          </cell>
          <cell r="AC13">
            <v>499.99739223727789</v>
          </cell>
          <cell r="AD13">
            <v>499.99739223727789</v>
          </cell>
          <cell r="AE13">
            <v>509.76105524792382</v>
          </cell>
          <cell r="AZ13">
            <v>2935.9188322741447</v>
          </cell>
          <cell r="BA13">
            <v>2318.2998095311054</v>
          </cell>
          <cell r="BB13">
            <v>2377.6691089114638</v>
          </cell>
          <cell r="BC13">
            <v>2017.8033742967466</v>
          </cell>
          <cell r="BD13">
            <v>2169.4866302877736</v>
          </cell>
          <cell r="BE13">
            <v>2726.1869078475884</v>
          </cell>
          <cell r="BF13">
            <v>2708.6746727719619</v>
          </cell>
          <cell r="BG13">
            <v>2365.0637411348825</v>
          </cell>
          <cell r="BH13">
            <v>2365.0637411348825</v>
          </cell>
          <cell r="BI13">
            <v>2386.9684426076233</v>
          </cell>
        </row>
        <row r="14">
          <cell r="V14">
            <v>541.60506561517002</v>
          </cell>
          <cell r="W14">
            <v>477.10753261929767</v>
          </cell>
          <cell r="X14">
            <v>497.10968734379315</v>
          </cell>
          <cell r="Y14">
            <v>415.30032137725476</v>
          </cell>
          <cell r="Z14">
            <v>506.17137703234226</v>
          </cell>
          <cell r="AA14">
            <v>586.05192086459067</v>
          </cell>
          <cell r="AB14">
            <v>569.81825487821004</v>
          </cell>
          <cell r="AC14">
            <v>486.21478409371429</v>
          </cell>
          <cell r="AD14">
            <v>486.21478409371429</v>
          </cell>
          <cell r="AE14">
            <v>497.76413583013004</v>
          </cell>
          <cell r="AZ14">
            <v>2943.2463398913528</v>
          </cell>
          <cell r="BA14">
            <v>2285.7170108086884</v>
          </cell>
          <cell r="BB14">
            <v>2348.7755532837232</v>
          </cell>
          <cell r="BC14">
            <v>1958.6204312010957</v>
          </cell>
          <cell r="BD14">
            <v>2123.7237576752432</v>
          </cell>
          <cell r="BE14">
            <v>2718.9081026724884</v>
          </cell>
          <cell r="BF14">
            <v>2702.9820657106497</v>
          </cell>
          <cell r="BG14">
            <v>2331.2142569986013</v>
          </cell>
          <cell r="BH14">
            <v>2331.2142569986013</v>
          </cell>
          <cell r="BI14">
            <v>2358.2376418603244</v>
          </cell>
        </row>
        <row r="15">
          <cell r="V15">
            <v>535.77528889476298</v>
          </cell>
          <cell r="W15">
            <v>464.65030385349854</v>
          </cell>
          <cell r="X15">
            <v>484.66450862612243</v>
          </cell>
          <cell r="Y15">
            <v>398.3962594800164</v>
          </cell>
          <cell r="Z15">
            <v>496.1443001008584</v>
          </cell>
          <cell r="AA15">
            <v>583.80202566803655</v>
          </cell>
          <cell r="AB15">
            <v>565.72557023918739</v>
          </cell>
          <cell r="AC15">
            <v>473.49209299798815</v>
          </cell>
          <cell r="AD15">
            <v>473.49209299798815</v>
          </cell>
          <cell r="AE15">
            <v>486.73214601275612</v>
          </cell>
          <cell r="AZ15">
            <v>2951.1841205234332</v>
          </cell>
          <cell r="BA15">
            <v>2259.7268122254759</v>
          </cell>
          <cell r="BB15">
            <v>2325.7690267354942</v>
          </cell>
          <cell r="BC15">
            <v>1906.5746591340353</v>
          </cell>
          <cell r="BD15">
            <v>2083.6751913691019</v>
          </cell>
          <cell r="BE15">
            <v>2712.4723831122387</v>
          </cell>
          <cell r="BF15">
            <v>2698.483680954062</v>
          </cell>
          <cell r="BG15">
            <v>2304.1504844787228</v>
          </cell>
          <cell r="BH15">
            <v>2304.1504844787228</v>
          </cell>
          <cell r="BI15">
            <v>2335.9948322353507</v>
          </cell>
        </row>
        <row r="16">
          <cell r="V16">
            <v>533.21252076764483</v>
          </cell>
          <cell r="W16">
            <v>455.01774728850592</v>
          </cell>
          <cell r="X16">
            <v>474.42696199518275</v>
          </cell>
          <cell r="Y16">
            <v>384.81426488846347</v>
          </cell>
          <cell r="Z16">
            <v>489.28468053496152</v>
          </cell>
          <cell r="AA16">
            <v>585.01418874111653</v>
          </cell>
          <cell r="AB16">
            <v>564.702532058207</v>
          </cell>
          <cell r="AC16">
            <v>463.59140055259866</v>
          </cell>
          <cell r="AD16">
            <v>463.59140055259866</v>
          </cell>
          <cell r="AE16">
            <v>478.52542742910259</v>
          </cell>
          <cell r="AZ16">
            <v>2974.8876181737432</v>
          </cell>
          <cell r="BA16">
            <v>2248.8145710878998</v>
          </cell>
          <cell r="BB16">
            <v>2316.0438968010994</v>
          </cell>
          <cell r="BC16">
            <v>1871.4534527837593</v>
          </cell>
          <cell r="BD16">
            <v>2059.4502045178888</v>
          </cell>
          <cell r="BE16">
            <v>2721.3296257619609</v>
          </cell>
          <cell r="BF16">
            <v>2709.7480360807849</v>
          </cell>
          <cell r="BG16">
            <v>2292.1680674390464</v>
          </cell>
          <cell r="BH16">
            <v>2292.1680674390464</v>
          </cell>
          <cell r="BI16">
            <v>2328.8896920117868</v>
          </cell>
        </row>
        <row r="17">
          <cell r="V17">
            <v>524.26832926594852</v>
          </cell>
          <cell r="W17">
            <v>439.26264146324439</v>
          </cell>
          <cell r="X17">
            <v>457.6059771231113</v>
          </cell>
          <cell r="Y17">
            <v>365.29254362776464</v>
          </cell>
          <cell r="Z17">
            <v>476.11844420311542</v>
          </cell>
          <cell r="AA17">
            <v>579.04056451674967</v>
          </cell>
          <cell r="AB17">
            <v>556.28237956073451</v>
          </cell>
          <cell r="AC17">
            <v>447.56312401142628</v>
          </cell>
          <cell r="AD17">
            <v>447.56312401142628</v>
          </cell>
          <cell r="AE17">
            <v>463.81993986552436</v>
          </cell>
          <cell r="AZ17">
            <v>2963.8514807049473</v>
          </cell>
          <cell r="BA17">
            <v>2208.8986840200487</v>
          </cell>
          <cell r="BB17">
            <v>2276.0253219325709</v>
          </cell>
          <cell r="BC17">
            <v>1809.0736555194612</v>
          </cell>
          <cell r="BD17">
            <v>2011.9906316133199</v>
          </cell>
          <cell r="BE17">
            <v>2698.9376012075081</v>
          </cell>
          <cell r="BF17">
            <v>2690.3212387617332</v>
          </cell>
          <cell r="BG17">
            <v>2251.1172571525549</v>
          </cell>
          <cell r="BH17">
            <v>2251.1172571525549</v>
          </cell>
          <cell r="BI17">
            <v>2291.5363506389035</v>
          </cell>
        </row>
        <row r="18">
          <cell r="V18">
            <v>518.80922764480044</v>
          </cell>
          <cell r="W18">
            <v>427.21209565597377</v>
          </cell>
          <cell r="X18">
            <v>444.13151921559461</v>
          </cell>
          <cell r="Y18">
            <v>349.66095041771473</v>
          </cell>
          <cell r="Z18">
            <v>466.55043742643596</v>
          </cell>
          <cell r="AA18">
            <v>576.66807225117191</v>
          </cell>
          <cell r="AB18">
            <v>550.88231891864291</v>
          </cell>
          <cell r="AC18">
            <v>435.25904341877703</v>
          </cell>
          <cell r="AD18">
            <v>435.25904341877703</v>
          </cell>
          <cell r="AE18">
            <v>452.74346827566075</v>
          </cell>
          <cell r="AZ18">
            <v>2968.6231442062317</v>
          </cell>
          <cell r="BA18">
            <v>2181.9936186385112</v>
          </cell>
          <cell r="BB18">
            <v>2247.4810889083788</v>
          </cell>
          <cell r="BC18">
            <v>1762.0277256929337</v>
          </cell>
          <cell r="BD18">
            <v>1977.9762297749428</v>
          </cell>
          <cell r="BE18">
            <v>2692.4174983921102</v>
          </cell>
          <cell r="BF18">
            <v>2687.5203216181512</v>
          </cell>
          <cell r="BG18">
            <v>2223.1168969227369</v>
          </cell>
          <cell r="BH18">
            <v>2223.1168969227369</v>
          </cell>
          <cell r="BI18">
            <v>2267.2556513034829</v>
          </cell>
        </row>
        <row r="19">
          <cell r="V19">
            <v>513.47743823737699</v>
          </cell>
          <cell r="W19">
            <v>415.83343814260542</v>
          </cell>
          <cell r="X19">
            <v>431.12146825017555</v>
          </cell>
          <cell r="Y19">
            <v>334.73764111086246</v>
          </cell>
          <cell r="Z19">
            <v>457.27797359505126</v>
          </cell>
          <cell r="AA19">
            <v>574.26055833220698</v>
          </cell>
          <cell r="AB19">
            <v>544.80736532826222</v>
          </cell>
          <cell r="AC19">
            <v>423.64678479927807</v>
          </cell>
          <cell r="AD19">
            <v>423.64678479927807</v>
          </cell>
          <cell r="AE19">
            <v>442.18164814777674</v>
          </cell>
          <cell r="AZ19">
            <v>2972.4558914498639</v>
          </cell>
          <cell r="BA19">
            <v>2158.0382720481398</v>
          </cell>
          <cell r="BB19">
            <v>2221.7457342509483</v>
          </cell>
          <cell r="BC19">
            <v>1718.7279380874145</v>
          </cell>
          <cell r="BD19">
            <v>1945.3899532287578</v>
          </cell>
          <cell r="BE19">
            <v>2685.9774846471569</v>
          </cell>
          <cell r="BF19">
            <v>2685.7494123079755</v>
          </cell>
          <cell r="BG19">
            <v>2198.1968553664324</v>
          </cell>
          <cell r="BH19">
            <v>2198.1968553664324</v>
          </cell>
          <cell r="BI19">
            <v>2245.829562474567</v>
          </cell>
        </row>
        <row r="20">
          <cell r="V20">
            <v>511.26570300774637</v>
          </cell>
          <cell r="W20">
            <v>406.62983826815594</v>
          </cell>
          <cell r="X20">
            <v>420.58307635830795</v>
          </cell>
          <cell r="Y20">
            <v>320.13000976418692</v>
          </cell>
          <cell r="Z20">
            <v>450.37034841640445</v>
          </cell>
          <cell r="AA20">
            <v>575.33525643722169</v>
          </cell>
          <cell r="AB20">
            <v>541.21545056179889</v>
          </cell>
          <cell r="AC20">
            <v>414.36675414951043</v>
          </cell>
          <cell r="AD20">
            <v>414.36675414951043</v>
          </cell>
          <cell r="AE20">
            <v>433.81911987563899</v>
          </cell>
          <cell r="AZ20">
            <v>2992.8774390720064</v>
          </cell>
          <cell r="BA20">
            <v>2147.1042440383835</v>
          </cell>
          <cell r="BB20">
            <v>2211.6116494373414</v>
          </cell>
          <cell r="BC20">
            <v>1679.0548309685419</v>
          </cell>
          <cell r="BD20">
            <v>1923.1858758573901</v>
          </cell>
          <cell r="BE20">
            <v>2694.9679130299091</v>
          </cell>
          <cell r="BF20">
            <v>2700.8626193773648</v>
          </cell>
          <cell r="BG20">
            <v>2187.1855447601397</v>
          </cell>
          <cell r="BH20">
            <v>2187.1855447601397</v>
          </cell>
          <cell r="BI20">
            <v>2238.3672371902971</v>
          </cell>
        </row>
        <row r="21">
          <cell r="V21">
            <v>502.98213655839754</v>
          </cell>
          <cell r="W21">
            <v>393.73088187980005</v>
          </cell>
          <cell r="X21">
            <v>405.54915711259787</v>
          </cell>
          <cell r="Y21">
            <v>304.70347614578264</v>
          </cell>
          <cell r="Z21">
            <v>439.04280077929684</v>
          </cell>
          <cell r="AA21">
            <v>569.41913242716043</v>
          </cell>
          <cell r="AB21">
            <v>529.77861459811731</v>
          </cell>
          <cell r="AC21">
            <v>401.17602739748452</v>
          </cell>
          <cell r="AD21">
            <v>401.17602739748452</v>
          </cell>
          <cell r="AE21">
            <v>421.20241582437939</v>
          </cell>
          <cell r="AZ21">
            <v>2980.0540006766923</v>
          </cell>
          <cell r="BA21">
            <v>2118.7838657305056</v>
          </cell>
          <cell r="BB21">
            <v>2181.0981352202484</v>
          </cell>
          <cell r="BC21">
            <v>1635.7835217049417</v>
          </cell>
          <cell r="BD21">
            <v>1884.3428432069834</v>
          </cell>
          <cell r="BE21">
            <v>2673.4737837962525</v>
          </cell>
          <cell r="BF21">
            <v>2687.0916118097275</v>
          </cell>
          <cell r="BG21">
            <v>2157.737859846844</v>
          </cell>
          <cell r="BH21">
            <v>2157.737859846844</v>
          </cell>
          <cell r="BI21">
            <v>2211.7295330425372</v>
          </cell>
        </row>
        <row r="22">
          <cell r="V22">
            <v>497.87630810630833</v>
          </cell>
          <cell r="W22">
            <v>384.34959889908447</v>
          </cell>
          <cell r="X22">
            <v>394.38773579606914</v>
          </cell>
          <cell r="Y22">
            <v>291.7373114010345</v>
          </cell>
          <cell r="Z22">
            <v>430.68208990809211</v>
          </cell>
          <cell r="AA22">
            <v>566.92729554456378</v>
          </cell>
          <cell r="AB22">
            <v>519.97692479206626</v>
          </cell>
          <cell r="AC22">
            <v>391.60362627948928</v>
          </cell>
          <cell r="AD22">
            <v>391.60362627948928</v>
          </cell>
          <cell r="AE22">
            <v>412.16192245290125</v>
          </cell>
          <cell r="AZ22">
            <v>2983.6432845236181</v>
          </cell>
          <cell r="BA22">
            <v>2104.9504531004923</v>
          </cell>
          <cell r="BB22">
            <v>2166.4456989093719</v>
          </cell>
          <cell r="BC22">
            <v>1602.5806053241643</v>
          </cell>
          <cell r="BD22">
            <v>1858.5101479320333</v>
          </cell>
          <cell r="BE22">
            <v>2667.2845799941474</v>
          </cell>
          <cell r="BF22">
            <v>2691.3582647591088</v>
          </cell>
          <cell r="BG22">
            <v>2143.2125693185826</v>
          </cell>
          <cell r="BH22">
            <v>2143.2125693185826</v>
          </cell>
          <cell r="BI22">
            <v>2200.2365052913206</v>
          </cell>
        </row>
        <row r="23">
          <cell r="V23">
            <v>492.78627518434189</v>
          </cell>
          <cell r="W23">
            <v>375.20727027301348</v>
          </cell>
          <cell r="X23">
            <v>384.02053211369372</v>
          </cell>
          <cell r="Y23">
            <v>277.8084292492448</v>
          </cell>
          <cell r="Z23">
            <v>422.03175999447751</v>
          </cell>
          <cell r="AA23">
            <v>564.29185520104215</v>
          </cell>
          <cell r="AB23">
            <v>507.62491917752442</v>
          </cell>
          <cell r="AC23">
            <v>382.36046770113387</v>
          </cell>
          <cell r="AD23">
            <v>382.36046770113387</v>
          </cell>
          <cell r="AE23">
            <v>403.34342690492542</v>
          </cell>
          <cell r="AZ23">
            <v>2986.6612410725402</v>
          </cell>
          <cell r="BA23">
            <v>2091.307249554085</v>
          </cell>
          <cell r="BB23">
            <v>2153.9249799527079</v>
          </cell>
          <cell r="BC23">
            <v>1564.1521442209107</v>
          </cell>
          <cell r="BD23">
            <v>1832.7552282412612</v>
          </cell>
          <cell r="BE23">
            <v>2660.6639659754069</v>
          </cell>
          <cell r="BF23">
            <v>2699.2122813165256</v>
          </cell>
          <cell r="BG23">
            <v>2129.2692778686701</v>
          </cell>
          <cell r="BH23">
            <v>2129.2692778686701</v>
          </cell>
          <cell r="BI23">
            <v>2189.0197708270366</v>
          </cell>
        </row>
        <row r="24">
          <cell r="V24">
            <v>490.86520526035451</v>
          </cell>
          <cell r="W24">
            <v>368.06408320088462</v>
          </cell>
          <cell r="X24">
            <v>375.9424408489599</v>
          </cell>
          <cell r="Y24">
            <v>264.92053107340462</v>
          </cell>
          <cell r="Z24">
            <v>415.79705163066325</v>
          </cell>
          <cell r="AA24">
            <v>565.21886096603191</v>
          </cell>
          <cell r="AB24">
            <v>494.71301807638037</v>
          </cell>
          <cell r="AC24">
            <v>375.17940882661554</v>
          </cell>
          <cell r="AD24">
            <v>375.17940882661554</v>
          </cell>
          <cell r="AE24">
            <v>396.64190745835327</v>
          </cell>
          <cell r="AZ24">
            <v>3006.8868322653448</v>
          </cell>
          <cell r="BA24">
            <v>2088.2870670719531</v>
          </cell>
          <cell r="BB24">
            <v>2153.0176094282851</v>
          </cell>
          <cell r="BC24">
            <v>1530.8820461508449</v>
          </cell>
          <cell r="BD24">
            <v>1817.0613845156663</v>
          </cell>
          <cell r="BE24">
            <v>2670.0935546588853</v>
          </cell>
          <cell r="BF24">
            <v>2729.8221815628663</v>
          </cell>
          <cell r="BG24">
            <v>2126.2940220129335</v>
          </cell>
          <cell r="BH24">
            <v>2126.2940220129335</v>
          </cell>
          <cell r="BI24">
            <v>2189.0547629898838</v>
          </cell>
        </row>
        <row r="25">
          <cell r="V25">
            <v>483.01803819994808</v>
          </cell>
          <cell r="W25">
            <v>356.19786832950462</v>
          </cell>
          <cell r="X25">
            <v>363.21979625940173</v>
          </cell>
          <cell r="Y25">
            <v>248.38690142810415</v>
          </cell>
          <cell r="Z25">
            <v>404.30043905200625</v>
          </cell>
          <cell r="AA25">
            <v>559.13692398868875</v>
          </cell>
          <cell r="AB25">
            <v>469.04874771671268</v>
          </cell>
          <cell r="AC25">
            <v>363.20458700243842</v>
          </cell>
          <cell r="AD25">
            <v>363.20458700243842</v>
          </cell>
          <cell r="AE25">
            <v>384.82351380881238</v>
          </cell>
          <cell r="AZ25">
            <v>2993.2411499234131</v>
          </cell>
          <cell r="BA25">
            <v>2061.4802579560592</v>
          </cell>
          <cell r="BB25">
            <v>2128.0165173323785</v>
          </cell>
          <cell r="BC25">
            <v>1478.8897890560977</v>
          </cell>
          <cell r="BD25">
            <v>1781.1413098255275</v>
          </cell>
          <cell r="BE25">
            <v>2648.7754564902807</v>
          </cell>
          <cell r="BF25">
            <v>2739.9643772255436</v>
          </cell>
          <cell r="BG25">
            <v>2099.1647621868965</v>
          </cell>
          <cell r="BH25">
            <v>2099.1647621868965</v>
          </cell>
          <cell r="BI25">
            <v>2163.6466644338147</v>
          </cell>
        </row>
        <row r="26">
          <cell r="V26">
            <v>478.26222383922493</v>
          </cell>
          <cell r="W26">
            <v>347.39012287689252</v>
          </cell>
          <cell r="X26">
            <v>353.14172852874088</v>
          </cell>
          <cell r="Y26">
            <v>236.56503141331575</v>
          </cell>
          <cell r="Z26">
            <v>396.32282062343756</v>
          </cell>
          <cell r="AA26">
            <v>556.51844418860799</v>
          </cell>
          <cell r="AB26">
            <v>454.65094108384551</v>
          </cell>
          <cell r="AC26">
            <v>354.2177211616148</v>
          </cell>
          <cell r="AD26">
            <v>354.2177211616148</v>
          </cell>
          <cell r="AE26">
            <v>376.15224645740562</v>
          </cell>
          <cell r="AZ26">
            <v>2996.2592979679066</v>
          </cell>
          <cell r="BA26">
            <v>2051.1338668758208</v>
          </cell>
          <cell r="BB26">
            <v>2117.3764969971967</v>
          </cell>
          <cell r="BC26">
            <v>1450.1294412233865</v>
          </cell>
          <cell r="BD26">
            <v>1759.513474426918</v>
          </cell>
          <cell r="BE26">
            <v>2643.1194265445702</v>
          </cell>
          <cell r="BF26">
            <v>2884.741747375183</v>
          </cell>
          <cell r="BG26">
            <v>2088.1809392886134</v>
          </cell>
          <cell r="BH26">
            <v>2088.1809392886134</v>
          </cell>
          <cell r="BI26">
            <v>2155.0270762873233</v>
          </cell>
        </row>
        <row r="27">
          <cell r="V27">
            <v>473.58443998825737</v>
          </cell>
          <cell r="W27">
            <v>338.78657596517485</v>
          </cell>
          <cell r="X27">
            <v>343.40793325638396</v>
          </cell>
          <cell r="Y27">
            <v>225.1498576552531</v>
          </cell>
          <cell r="Z27">
            <v>388.47327657804203</v>
          </cell>
          <cell r="AA27">
            <v>553.88033853294166</v>
          </cell>
          <cell r="AB27">
            <v>495.67004099316915</v>
          </cell>
          <cell r="AC27">
            <v>345.43876176870162</v>
          </cell>
          <cell r="AD27">
            <v>345.43876176870162</v>
          </cell>
          <cell r="AE27">
            <v>367.65289332183539</v>
          </cell>
          <cell r="AZ27">
            <v>2999.1722616191896</v>
          </cell>
          <cell r="BA27">
            <v>2041.0936580035866</v>
          </cell>
          <cell r="BB27">
            <v>2106.9290734175015</v>
          </cell>
          <cell r="BC27">
            <v>1422.5151780738868</v>
          </cell>
          <cell r="BD27">
            <v>1738.5973425504444</v>
          </cell>
          <cell r="BE27">
            <v>2637.6882622413345</v>
          </cell>
          <cell r="BF27">
            <v>3360.1524332065519</v>
          </cell>
          <cell r="BG27">
            <v>2077.5027902644997</v>
          </cell>
          <cell r="BH27">
            <v>2077.5027902644997</v>
          </cell>
          <cell r="BI27">
            <v>2146.561015103156</v>
          </cell>
        </row>
        <row r="28">
          <cell r="V28">
            <v>471.99427289129466</v>
          </cell>
          <cell r="W28">
            <v>332.311140767003</v>
          </cell>
          <cell r="X28">
            <v>336.13559546351166</v>
          </cell>
          <cell r="Y28">
            <v>214.79928165510572</v>
          </cell>
          <cell r="Z28">
            <v>383.0076215401026</v>
          </cell>
          <cell r="AA28">
            <v>554.67410690387578</v>
          </cell>
          <cell r="AB28">
            <v>497.05122551181711</v>
          </cell>
          <cell r="AC28">
            <v>338.85613258200101</v>
          </cell>
          <cell r="AD28">
            <v>338.85613258200101</v>
          </cell>
          <cell r="AE28">
            <v>361.43468778674179</v>
          </cell>
          <cell r="AZ28">
            <v>3018.9864595365661</v>
          </cell>
          <cell r="BA28">
            <v>2041.8052979083661</v>
          </cell>
          <cell r="BB28">
            <v>2108.1716399424381</v>
          </cell>
          <cell r="BC28">
            <v>1401.6122985610391</v>
          </cell>
          <cell r="BD28">
            <v>1727.3155143966976</v>
          </cell>
          <cell r="BE28">
            <v>2647.9461584193796</v>
          </cell>
          <cell r="BF28">
            <v>3369.6787189829952</v>
          </cell>
          <cell r="BG28">
            <v>2077.9167497833059</v>
          </cell>
          <cell r="BH28">
            <v>2077.9167497833059</v>
          </cell>
          <cell r="BI28">
            <v>2149.5786507128673</v>
          </cell>
        </row>
        <row r="29">
          <cell r="V29">
            <v>464.76560082130271</v>
          </cell>
          <cell r="W29">
            <v>322.40968524301502</v>
          </cell>
          <cell r="X29">
            <v>324.93289202369641</v>
          </cell>
          <cell r="Y29">
            <v>203.31676460651838</v>
          </cell>
          <cell r="Z29">
            <v>373.85077542678169</v>
          </cell>
          <cell r="AA29">
            <v>548.51363492244479</v>
          </cell>
          <cell r="AB29">
            <v>492.3187003842703</v>
          </cell>
          <cell r="AC29">
            <v>328.38771054321398</v>
          </cell>
          <cell r="AD29">
            <v>328.38771054321398</v>
          </cell>
          <cell r="AE29">
            <v>351.05125020273709</v>
          </cell>
          <cell r="AZ29">
            <v>3004.6759868742643</v>
          </cell>
          <cell r="BA29">
            <v>2024.6507330974894</v>
          </cell>
          <cell r="BB29">
            <v>2088.4936020820028</v>
          </cell>
          <cell r="BC29">
            <v>1376.7879402670071</v>
          </cell>
          <cell r="BD29">
            <v>1700.9552875748559</v>
          </cell>
          <cell r="BE29">
            <v>2627.5981153549096</v>
          </cell>
          <cell r="BF29">
            <v>3342.2577357116138</v>
          </cell>
          <cell r="BG29">
            <v>2058.0329233441253</v>
          </cell>
          <cell r="BH29">
            <v>2058.0329233441253</v>
          </cell>
          <cell r="BI29">
            <v>2131.1117987244247</v>
          </cell>
        </row>
        <row r="30">
          <cell r="V30">
            <v>460.45141296098137</v>
          </cell>
          <cell r="W30">
            <v>315.16847403483018</v>
          </cell>
          <cell r="X30">
            <v>315.96558123021958</v>
          </cell>
          <cell r="Y30">
            <v>195.56506342565672</v>
          </cell>
          <cell r="Z30">
            <v>368.1511913732989</v>
          </cell>
          <cell r="AA30">
            <v>545.71023407646078</v>
          </cell>
          <cell r="AB30">
            <v>490.59803894160336</v>
          </cell>
          <cell r="AC30">
            <v>319.67527301759316</v>
          </cell>
          <cell r="AD30">
            <v>319.67527301759316</v>
          </cell>
          <cell r="AE30">
            <v>342.5015536329592</v>
          </cell>
          <cell r="AZ30">
            <v>3006.9802462802745</v>
          </cell>
          <cell r="BA30">
            <v>2021.4941043526419</v>
          </cell>
          <cell r="BB30">
            <v>2081.2452732894835</v>
          </cell>
          <cell r="BC30">
            <v>1364.2966422972688</v>
          </cell>
          <cell r="BD30">
            <v>1688.5822905566829</v>
          </cell>
          <cell r="BE30">
            <v>2622.7663138956759</v>
          </cell>
          <cell r="BF30">
            <v>3333.0456409979975</v>
          </cell>
          <cell r="BG30">
            <v>2049.54646361598</v>
          </cell>
          <cell r="BH30">
            <v>2049.54646361598</v>
          </cell>
          <cell r="BI30">
            <v>2124.7648250507955</v>
          </cell>
        </row>
      </sheetData>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 1_Customers"/>
      <sheetName val="Alt 2_Customers"/>
      <sheetName val="Customers"/>
      <sheetName val="Use per Customer"/>
      <sheetName val="Load Summary"/>
      <sheetName val="End Use Breakdown"/>
      <sheetName val="Energy Efficiency"/>
      <sheetName val="Renewable Supply Costs"/>
      <sheetName val="Historical Data and Rate De-WA"/>
      <sheetName val="Historical Data and Rate Detail"/>
      <sheetName val="Oregon Emissions"/>
      <sheetName val="Draft Rules"/>
      <sheetName val="Customer Moratorium Scenario"/>
      <sheetName val="RNG Availability Scenario"/>
      <sheetName val="No CCI Scenario"/>
      <sheetName val="Aggresive Timeline Scenario"/>
      <sheetName val="Federal RNG Policy Scenario"/>
      <sheetName val="Smart Energy Scenario"/>
      <sheetName val="Alt1-Assumed Electrification"/>
      <sheetName val="Alt2-Assumed Rapid Electrific"/>
      <sheetName val="Scenario Comparison"/>
      <sheetName val="System Hourly Load Forecasts"/>
      <sheetName val="Electrified Loads"/>
      <sheetName val="Final Rules"/>
      <sheetName val="Washington Emissions"/>
      <sheetName val="IRP Draft Load Scenarios"/>
      <sheetName val="Scenario Loads by State"/>
    </sheetNames>
    <sheetDataSet>
      <sheetData sheetId="0"/>
      <sheetData sheetId="1"/>
      <sheetData sheetId="2"/>
      <sheetData sheetId="3"/>
      <sheetData sheetId="4"/>
      <sheetData sheetId="5"/>
      <sheetData sheetId="6">
        <row r="9">
          <cell r="BR9">
            <v>5.0570424634620501</v>
          </cell>
        </row>
      </sheetData>
      <sheetData sheetId="7"/>
      <sheetData sheetId="8"/>
      <sheetData sheetId="9"/>
      <sheetData sheetId="10">
        <row r="3">
          <cell r="B3">
            <v>5931657</v>
          </cell>
        </row>
        <row r="4">
          <cell r="B4">
            <v>5703516.346153846</v>
          </cell>
        </row>
        <row r="5">
          <cell r="B5">
            <v>5475375.692307692</v>
          </cell>
        </row>
        <row r="6">
          <cell r="B6">
            <v>5247235.038461538</v>
          </cell>
        </row>
        <row r="7">
          <cell r="B7">
            <v>5019094.384615384</v>
          </cell>
        </row>
        <row r="8">
          <cell r="B8">
            <v>4790953.7307692301</v>
          </cell>
        </row>
        <row r="9">
          <cell r="B9">
            <v>4562813.0769230761</v>
          </cell>
        </row>
        <row r="10">
          <cell r="B10">
            <v>4334672.4230769221</v>
          </cell>
        </row>
        <row r="11">
          <cell r="B11">
            <v>4106531.7692307681</v>
          </cell>
        </row>
        <row r="12">
          <cell r="B12">
            <v>3878391.1153846141</v>
          </cell>
        </row>
        <row r="13">
          <cell r="B13">
            <v>3650250.4615384601</v>
          </cell>
        </row>
        <row r="14">
          <cell r="B14">
            <v>3422109.8076923061</v>
          </cell>
        </row>
        <row r="15">
          <cell r="B15">
            <v>3193969.1538461521</v>
          </cell>
        </row>
        <row r="16">
          <cell r="B16">
            <v>2965828.5</v>
          </cell>
        </row>
        <row r="17">
          <cell r="B17">
            <v>2807650.98</v>
          </cell>
        </row>
        <row r="18">
          <cell r="B18">
            <v>2649473.46</v>
          </cell>
        </row>
        <row r="19">
          <cell r="B19">
            <v>2491295.94</v>
          </cell>
        </row>
        <row r="20">
          <cell r="B20">
            <v>2333118.42</v>
          </cell>
        </row>
        <row r="21">
          <cell r="B21">
            <v>2174940.9</v>
          </cell>
        </row>
        <row r="22">
          <cell r="B22">
            <v>2016763.38</v>
          </cell>
        </row>
        <row r="23">
          <cell r="B23">
            <v>1858585.8599999999</v>
          </cell>
        </row>
        <row r="24">
          <cell r="B24">
            <v>1700408.3399999999</v>
          </cell>
        </row>
        <row r="25">
          <cell r="B25">
            <v>1542230.8199999998</v>
          </cell>
        </row>
        <row r="26">
          <cell r="B26">
            <v>1384053.2999999998</v>
          </cell>
        </row>
        <row r="27">
          <cell r="B27">
            <v>1225875.7799999998</v>
          </cell>
        </row>
        <row r="28">
          <cell r="B28">
            <v>1067698.2599999998</v>
          </cell>
        </row>
        <row r="29">
          <cell r="B29">
            <v>909520.73999999976</v>
          </cell>
        </row>
        <row r="30">
          <cell r="B30">
            <v>751343.21999999974</v>
          </cell>
        </row>
        <row r="31">
          <cell r="B31">
            <v>593165.70000000007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E16">
            <v>462168.25570496992</v>
          </cell>
        </row>
        <row r="17">
          <cell r="E17">
            <v>429816.47780562204</v>
          </cell>
        </row>
        <row r="18">
          <cell r="E18">
            <v>399729.32435922854</v>
          </cell>
        </row>
        <row r="19">
          <cell r="E19">
            <v>371748.27165408258</v>
          </cell>
        </row>
        <row r="20">
          <cell r="E20">
            <v>345725.89263829682</v>
          </cell>
        </row>
        <row r="21">
          <cell r="E21">
            <v>321525.08015361609</v>
          </cell>
        </row>
        <row r="22">
          <cell r="E22">
            <v>299018.324542863</v>
          </cell>
        </row>
        <row r="23">
          <cell r="E23">
            <v>278087.04182486259</v>
          </cell>
        </row>
        <row r="24">
          <cell r="E24">
            <v>273081.47507201508</v>
          </cell>
        </row>
        <row r="25">
          <cell r="E25">
            <v>268166.00852071878</v>
          </cell>
        </row>
        <row r="26">
          <cell r="E26">
            <v>263339.02036734583</v>
          </cell>
        </row>
        <row r="27">
          <cell r="E27">
            <v>258598.9180007336</v>
          </cell>
        </row>
        <row r="28">
          <cell r="E28">
            <v>253944.13747672038</v>
          </cell>
        </row>
        <row r="29">
          <cell r="E29">
            <v>249373.1430021394</v>
          </cell>
        </row>
        <row r="30">
          <cell r="E30">
            <v>244884.42642810088</v>
          </cell>
        </row>
        <row r="31">
          <cell r="E31">
            <v>240476.50675239507</v>
          </cell>
        </row>
        <row r="32">
          <cell r="E32">
            <v>236147.92963085196</v>
          </cell>
        </row>
        <row r="33">
          <cell r="E33">
            <v>231897.26689749662</v>
          </cell>
        </row>
        <row r="34">
          <cell r="E34">
            <v>227723.11609334167</v>
          </cell>
        </row>
        <row r="35">
          <cell r="E35">
            <v>223624.1000036615</v>
          </cell>
        </row>
        <row r="36">
          <cell r="E36">
            <v>217809.87340356631</v>
          </cell>
        </row>
        <row r="37">
          <cell r="E37">
            <v>212146.81669507359</v>
          </cell>
        </row>
        <row r="38">
          <cell r="E38">
            <v>206630.99946100166</v>
          </cell>
        </row>
        <row r="39">
          <cell r="E39">
            <v>201258.5934750156</v>
          </cell>
        </row>
        <row r="40">
          <cell r="E40">
            <v>196025.87004466518</v>
          </cell>
        </row>
        <row r="41">
          <cell r="E41">
            <v>190929.19742350388</v>
          </cell>
        </row>
        <row r="42">
          <cell r="E42">
            <v>185965.03829049278</v>
          </cell>
        </row>
        <row r="43">
          <cell r="E43">
            <v>181129.94729493998</v>
          </cell>
        </row>
      </sheetData>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Residential-Annual"/>
      <sheetName val="OR-Commercial-Annual"/>
      <sheetName val="Oregon Res-Com Total"/>
      <sheetName val="OR-IndComSales-Annual"/>
      <sheetName val="OR-Sales-Total"/>
      <sheetName val="OR-Transport-Annual"/>
      <sheetName val="OR-Deliveries-Total"/>
      <sheetName val="WA-Residential-Annual"/>
      <sheetName val="WA-Commercial-Annual"/>
      <sheetName val="Washington Res-Com Total"/>
      <sheetName val="WA-IndComSales-Annual"/>
      <sheetName val="WA-Sales-Total"/>
      <sheetName val="WA-Transport-Annual"/>
      <sheetName val="WA-Deliveries-Total"/>
      <sheetName val="System-Deliveries"/>
      <sheetName val="Summaries"/>
      <sheetName val="Load Graphs"/>
      <sheetName val="OR-Residential-UPC"/>
      <sheetName val="OR-Commercial-UPC"/>
      <sheetName val="WA-Residential-UPC"/>
      <sheetName val="WA-Commercial-UPC"/>
      <sheetName val="UPC Summaries"/>
    </sheetNames>
    <sheetDataSet>
      <sheetData sheetId="0"/>
      <sheetData sheetId="1"/>
      <sheetData sheetId="2"/>
      <sheetData sheetId="3">
        <row r="4">
          <cell r="TF4">
            <v>0</v>
          </cell>
          <cell r="TG4">
            <v>0</v>
          </cell>
          <cell r="TH4">
            <v>0</v>
          </cell>
          <cell r="TI4">
            <v>0</v>
          </cell>
          <cell r="TJ4">
            <v>0</v>
          </cell>
          <cell r="TK4">
            <v>0</v>
          </cell>
          <cell r="TL4">
            <v>0</v>
          </cell>
          <cell r="TM4">
            <v>0</v>
          </cell>
          <cell r="TN4">
            <v>0</v>
          </cell>
          <cell r="TO4">
            <v>0</v>
          </cell>
        </row>
        <row r="5">
          <cell r="TF5">
            <v>0</v>
          </cell>
          <cell r="TG5">
            <v>0</v>
          </cell>
          <cell r="TH5">
            <v>1517310.4149999321</v>
          </cell>
          <cell r="TI5">
            <v>0</v>
          </cell>
          <cell r="TJ5">
            <v>0</v>
          </cell>
          <cell r="TK5">
            <v>0</v>
          </cell>
          <cell r="TL5">
            <v>0</v>
          </cell>
          <cell r="TM5">
            <v>0</v>
          </cell>
          <cell r="TN5">
            <v>0</v>
          </cell>
          <cell r="TO5">
            <v>0</v>
          </cell>
        </row>
        <row r="6">
          <cell r="TF6">
            <v>0</v>
          </cell>
          <cell r="TG6">
            <v>0</v>
          </cell>
          <cell r="TH6">
            <v>1710169.0839999914</v>
          </cell>
          <cell r="TI6">
            <v>0</v>
          </cell>
          <cell r="TJ6">
            <v>0</v>
          </cell>
          <cell r="TK6">
            <v>0</v>
          </cell>
          <cell r="TL6">
            <v>0</v>
          </cell>
          <cell r="TM6">
            <v>0</v>
          </cell>
          <cell r="TN6">
            <v>0</v>
          </cell>
          <cell r="TO6">
            <v>0</v>
          </cell>
        </row>
        <row r="7">
          <cell r="TF7">
            <v>0</v>
          </cell>
          <cell r="TG7">
            <v>0</v>
          </cell>
          <cell r="TH7">
            <v>1781641.4889999628</v>
          </cell>
          <cell r="TI7">
            <v>0</v>
          </cell>
          <cell r="TJ7">
            <v>0</v>
          </cell>
          <cell r="TK7">
            <v>0</v>
          </cell>
          <cell r="TL7">
            <v>0</v>
          </cell>
          <cell r="TM7">
            <v>0</v>
          </cell>
          <cell r="TN7">
            <v>0</v>
          </cell>
          <cell r="TO7">
            <v>0</v>
          </cell>
        </row>
        <row r="8">
          <cell r="TF8">
            <v>0</v>
          </cell>
          <cell r="TG8">
            <v>0</v>
          </cell>
          <cell r="TH8">
            <v>1866671.724999994</v>
          </cell>
          <cell r="TI8">
            <v>0</v>
          </cell>
          <cell r="TJ8">
            <v>0</v>
          </cell>
          <cell r="TK8">
            <v>0</v>
          </cell>
          <cell r="TL8">
            <v>0</v>
          </cell>
          <cell r="TM8">
            <v>0</v>
          </cell>
          <cell r="TN8">
            <v>0</v>
          </cell>
          <cell r="TO8">
            <v>0</v>
          </cell>
        </row>
        <row r="9">
          <cell r="TF9">
            <v>0</v>
          </cell>
          <cell r="TG9">
            <v>0</v>
          </cell>
          <cell r="TH9">
            <v>1671589.0299999416</v>
          </cell>
          <cell r="TI9">
            <v>0</v>
          </cell>
          <cell r="TJ9">
            <v>0</v>
          </cell>
          <cell r="TK9">
            <v>0</v>
          </cell>
          <cell r="TL9">
            <v>0</v>
          </cell>
          <cell r="TM9">
            <v>0</v>
          </cell>
          <cell r="TN9">
            <v>0</v>
          </cell>
          <cell r="TO9">
            <v>0</v>
          </cell>
        </row>
        <row r="10">
          <cell r="TF10">
            <v>0</v>
          </cell>
          <cell r="TG10">
            <v>0</v>
          </cell>
          <cell r="TH10">
            <v>1635709.0700001121</v>
          </cell>
          <cell r="TI10">
            <v>0</v>
          </cell>
          <cell r="TJ10">
            <v>0</v>
          </cell>
          <cell r="TK10">
            <v>0</v>
          </cell>
          <cell r="TL10">
            <v>0</v>
          </cell>
          <cell r="TM10">
            <v>0</v>
          </cell>
          <cell r="TN10">
            <v>0</v>
          </cell>
          <cell r="TO10">
            <v>0</v>
          </cell>
        </row>
        <row r="11">
          <cell r="TF11">
            <v>0</v>
          </cell>
          <cell r="TG11">
            <v>0</v>
          </cell>
          <cell r="TH11">
            <v>1185180.8099998534</v>
          </cell>
          <cell r="TI11">
            <v>0</v>
          </cell>
          <cell r="TJ11">
            <v>0</v>
          </cell>
          <cell r="TK11">
            <v>0</v>
          </cell>
          <cell r="TL11">
            <v>0</v>
          </cell>
          <cell r="TM11">
            <v>0</v>
          </cell>
          <cell r="TN11">
            <v>0</v>
          </cell>
          <cell r="TO11">
            <v>0</v>
          </cell>
        </row>
        <row r="12">
          <cell r="TF12">
            <v>0</v>
          </cell>
          <cell r="TG12">
            <v>0</v>
          </cell>
          <cell r="TH12">
            <v>1028465.9100002646</v>
          </cell>
          <cell r="TI12">
            <v>0</v>
          </cell>
          <cell r="TJ12">
            <v>0</v>
          </cell>
          <cell r="TK12">
            <v>0</v>
          </cell>
          <cell r="TL12">
            <v>0</v>
          </cell>
          <cell r="TM12">
            <v>0</v>
          </cell>
          <cell r="TN12">
            <v>0</v>
          </cell>
          <cell r="TO12">
            <v>0</v>
          </cell>
        </row>
        <row r="13">
          <cell r="TF13">
            <v>0</v>
          </cell>
          <cell r="TG13">
            <v>0</v>
          </cell>
          <cell r="TH13">
            <v>777391.93000006676</v>
          </cell>
          <cell r="TI13">
            <v>0</v>
          </cell>
          <cell r="TJ13">
            <v>0</v>
          </cell>
          <cell r="TK13">
            <v>0</v>
          </cell>
          <cell r="TL13">
            <v>0</v>
          </cell>
          <cell r="TM13">
            <v>0</v>
          </cell>
          <cell r="TN13">
            <v>0</v>
          </cell>
          <cell r="TO13">
            <v>0</v>
          </cell>
        </row>
        <row r="14">
          <cell r="TF14">
            <v>0</v>
          </cell>
          <cell r="TG14">
            <v>0</v>
          </cell>
          <cell r="TH14">
            <v>694979.21999981999</v>
          </cell>
          <cell r="TI14">
            <v>0</v>
          </cell>
          <cell r="TJ14">
            <v>0</v>
          </cell>
          <cell r="TK14">
            <v>0</v>
          </cell>
          <cell r="TL14">
            <v>0</v>
          </cell>
          <cell r="TM14">
            <v>0</v>
          </cell>
          <cell r="TN14">
            <v>0</v>
          </cell>
          <cell r="TO14">
            <v>0</v>
          </cell>
        </row>
        <row r="15">
          <cell r="TF15">
            <v>0</v>
          </cell>
          <cell r="TG15">
            <v>0</v>
          </cell>
          <cell r="TH15">
            <v>294037.8599999845</v>
          </cell>
          <cell r="TI15">
            <v>0</v>
          </cell>
          <cell r="TJ15">
            <v>0</v>
          </cell>
          <cell r="TK15">
            <v>0</v>
          </cell>
          <cell r="TL15">
            <v>0</v>
          </cell>
          <cell r="TM15">
            <v>0</v>
          </cell>
          <cell r="TN15">
            <v>0</v>
          </cell>
          <cell r="TO15">
            <v>0</v>
          </cell>
        </row>
        <row r="16">
          <cell r="TF16">
            <v>0</v>
          </cell>
          <cell r="TG16">
            <v>0</v>
          </cell>
          <cell r="TH16">
            <v>312222.07000002265</v>
          </cell>
          <cell r="TI16">
            <v>0</v>
          </cell>
          <cell r="TJ16">
            <v>0</v>
          </cell>
          <cell r="TK16">
            <v>0</v>
          </cell>
          <cell r="TL16">
            <v>0</v>
          </cell>
          <cell r="TM16">
            <v>0</v>
          </cell>
          <cell r="TN16">
            <v>0</v>
          </cell>
          <cell r="TO16">
            <v>0</v>
          </cell>
        </row>
        <row r="17">
          <cell r="TF17">
            <v>0</v>
          </cell>
          <cell r="TG17">
            <v>0</v>
          </cell>
          <cell r="TH17">
            <v>242747.88999986649</v>
          </cell>
          <cell r="TI17">
            <v>0</v>
          </cell>
          <cell r="TJ17">
            <v>0</v>
          </cell>
          <cell r="TK17">
            <v>0</v>
          </cell>
          <cell r="TL17">
            <v>0</v>
          </cell>
          <cell r="TM17">
            <v>0</v>
          </cell>
          <cell r="TN17">
            <v>0</v>
          </cell>
          <cell r="TO17">
            <v>0</v>
          </cell>
        </row>
        <row r="18">
          <cell r="TF18">
            <v>0</v>
          </cell>
          <cell r="TG18">
            <v>0</v>
          </cell>
          <cell r="TH18">
            <v>271725.02000004053</v>
          </cell>
          <cell r="TI18">
            <v>0</v>
          </cell>
          <cell r="TJ18">
            <v>0</v>
          </cell>
          <cell r="TK18">
            <v>0</v>
          </cell>
          <cell r="TL18">
            <v>0</v>
          </cell>
          <cell r="TM18">
            <v>0</v>
          </cell>
          <cell r="TN18">
            <v>0</v>
          </cell>
          <cell r="TO18">
            <v>0</v>
          </cell>
        </row>
        <row r="19">
          <cell r="TF19">
            <v>0</v>
          </cell>
          <cell r="TG19">
            <v>0</v>
          </cell>
          <cell r="TH19">
            <v>-3212.0200000405312</v>
          </cell>
          <cell r="TI19">
            <v>0</v>
          </cell>
          <cell r="TJ19">
            <v>0</v>
          </cell>
          <cell r="TK19">
            <v>0</v>
          </cell>
          <cell r="TL19">
            <v>0</v>
          </cell>
          <cell r="TM19">
            <v>0</v>
          </cell>
          <cell r="TN19">
            <v>0</v>
          </cell>
          <cell r="TO19">
            <v>0</v>
          </cell>
        </row>
        <row r="20">
          <cell r="TF20">
            <v>0</v>
          </cell>
          <cell r="TG20">
            <v>0</v>
          </cell>
          <cell r="TH20">
            <v>125342.44000011683</v>
          </cell>
          <cell r="TI20">
            <v>0</v>
          </cell>
          <cell r="TJ20">
            <v>0</v>
          </cell>
          <cell r="TK20">
            <v>0</v>
          </cell>
          <cell r="TL20">
            <v>0</v>
          </cell>
          <cell r="TM20">
            <v>0</v>
          </cell>
          <cell r="TN20">
            <v>0</v>
          </cell>
          <cell r="TO20">
            <v>0</v>
          </cell>
        </row>
        <row r="21">
          <cell r="TF21">
            <v>0</v>
          </cell>
          <cell r="TG21">
            <v>0</v>
          </cell>
          <cell r="TH21">
            <v>125398.26999998093</v>
          </cell>
          <cell r="TI21">
            <v>0</v>
          </cell>
          <cell r="TJ21">
            <v>0</v>
          </cell>
          <cell r="TK21">
            <v>0</v>
          </cell>
          <cell r="TL21">
            <v>0</v>
          </cell>
          <cell r="TM21">
            <v>0</v>
          </cell>
          <cell r="TN21">
            <v>0</v>
          </cell>
          <cell r="TO21">
            <v>0</v>
          </cell>
        </row>
        <row r="22">
          <cell r="TF22">
            <v>0</v>
          </cell>
          <cell r="TG22">
            <v>0</v>
          </cell>
          <cell r="TH22">
            <v>239234.11000001431</v>
          </cell>
          <cell r="TI22">
            <v>0</v>
          </cell>
          <cell r="TJ22">
            <v>0</v>
          </cell>
          <cell r="TK22">
            <v>0</v>
          </cell>
          <cell r="TL22">
            <v>0</v>
          </cell>
          <cell r="TM22">
            <v>0</v>
          </cell>
          <cell r="TN22">
            <v>0</v>
          </cell>
          <cell r="TO22">
            <v>0</v>
          </cell>
        </row>
        <row r="23">
          <cell r="TF23">
            <v>0</v>
          </cell>
          <cell r="TG23">
            <v>0</v>
          </cell>
          <cell r="TH23">
            <v>-39982.52999985218</v>
          </cell>
          <cell r="TI23">
            <v>0</v>
          </cell>
          <cell r="TJ23">
            <v>0</v>
          </cell>
          <cell r="TK23">
            <v>0</v>
          </cell>
          <cell r="TL23">
            <v>0</v>
          </cell>
          <cell r="TM23">
            <v>0</v>
          </cell>
          <cell r="TN23">
            <v>0</v>
          </cell>
          <cell r="TO23">
            <v>0</v>
          </cell>
        </row>
        <row r="24">
          <cell r="TF24">
            <v>0</v>
          </cell>
          <cell r="TG24">
            <v>0</v>
          </cell>
          <cell r="TH24">
            <v>46367.529999792576</v>
          </cell>
          <cell r="TI24">
            <v>0</v>
          </cell>
          <cell r="TJ24">
            <v>0</v>
          </cell>
          <cell r="TK24">
            <v>0</v>
          </cell>
          <cell r="TL24">
            <v>0</v>
          </cell>
          <cell r="TM24">
            <v>0</v>
          </cell>
          <cell r="TN24">
            <v>0</v>
          </cell>
          <cell r="TO24">
            <v>0</v>
          </cell>
        </row>
        <row r="25">
          <cell r="TF25">
            <v>0</v>
          </cell>
          <cell r="TG25">
            <v>0</v>
          </cell>
          <cell r="TH25">
            <v>22674.790000170469</v>
          </cell>
          <cell r="TI25">
            <v>0</v>
          </cell>
          <cell r="TJ25">
            <v>0</v>
          </cell>
          <cell r="TK25">
            <v>0</v>
          </cell>
          <cell r="TL25">
            <v>0</v>
          </cell>
          <cell r="TM25">
            <v>0</v>
          </cell>
          <cell r="TN25">
            <v>0</v>
          </cell>
          <cell r="TO25">
            <v>0</v>
          </cell>
        </row>
        <row r="26">
          <cell r="TF26">
            <v>0</v>
          </cell>
          <cell r="TG26">
            <v>0</v>
          </cell>
          <cell r="TH26">
            <v>152357.20999976993</v>
          </cell>
          <cell r="TI26">
            <v>0</v>
          </cell>
          <cell r="TJ26">
            <v>0</v>
          </cell>
          <cell r="TK26">
            <v>0</v>
          </cell>
          <cell r="TL26">
            <v>0</v>
          </cell>
          <cell r="TM26">
            <v>0</v>
          </cell>
          <cell r="TN26">
            <v>0</v>
          </cell>
          <cell r="TO26">
            <v>0</v>
          </cell>
        </row>
        <row r="27">
          <cell r="TF27">
            <v>0</v>
          </cell>
          <cell r="TG27">
            <v>0</v>
          </cell>
          <cell r="TH27">
            <v>-109278.88000002503</v>
          </cell>
          <cell r="TI27">
            <v>0</v>
          </cell>
          <cell r="TJ27">
            <v>0</v>
          </cell>
          <cell r="TK27">
            <v>0</v>
          </cell>
          <cell r="TL27">
            <v>0</v>
          </cell>
          <cell r="TM27">
            <v>0</v>
          </cell>
          <cell r="TN27">
            <v>0</v>
          </cell>
          <cell r="TO27">
            <v>0</v>
          </cell>
        </row>
        <row r="28">
          <cell r="TF28">
            <v>0</v>
          </cell>
          <cell r="TG28">
            <v>0</v>
          </cell>
          <cell r="TH28">
            <v>20418.740000039339</v>
          </cell>
          <cell r="TI28">
            <v>0</v>
          </cell>
          <cell r="TJ28">
            <v>0</v>
          </cell>
          <cell r="TK28">
            <v>0</v>
          </cell>
          <cell r="TL28">
            <v>0</v>
          </cell>
          <cell r="TM28">
            <v>0</v>
          </cell>
          <cell r="TN28">
            <v>0</v>
          </cell>
          <cell r="TO28">
            <v>0</v>
          </cell>
        </row>
        <row r="29">
          <cell r="TF29">
            <v>0</v>
          </cell>
          <cell r="TG29">
            <v>0</v>
          </cell>
          <cell r="TH29">
            <v>19844.789999812841</v>
          </cell>
          <cell r="TI29">
            <v>0</v>
          </cell>
          <cell r="TJ29">
            <v>0</v>
          </cell>
          <cell r="TK29">
            <v>0</v>
          </cell>
          <cell r="TL29">
            <v>0</v>
          </cell>
          <cell r="TM29">
            <v>0</v>
          </cell>
          <cell r="TN29">
            <v>0</v>
          </cell>
          <cell r="TO29">
            <v>0</v>
          </cell>
        </row>
        <row r="30">
          <cell r="TF30">
            <v>0</v>
          </cell>
          <cell r="TG30">
            <v>0</v>
          </cell>
          <cell r="TH30">
            <v>150155.74000039697</v>
          </cell>
          <cell r="TI30">
            <v>0</v>
          </cell>
          <cell r="TJ30">
            <v>0</v>
          </cell>
          <cell r="TK30">
            <v>0</v>
          </cell>
          <cell r="TL30">
            <v>0</v>
          </cell>
          <cell r="TM30">
            <v>0</v>
          </cell>
          <cell r="TN30">
            <v>0</v>
          </cell>
          <cell r="TO30">
            <v>0</v>
          </cell>
        </row>
        <row r="31">
          <cell r="TF31">
            <v>0</v>
          </cell>
          <cell r="TG31">
            <v>0</v>
          </cell>
          <cell r="TH31">
            <v>-111587.07000014186</v>
          </cell>
          <cell r="TI31">
            <v>0</v>
          </cell>
          <cell r="TJ31">
            <v>0</v>
          </cell>
          <cell r="TK31">
            <v>0</v>
          </cell>
          <cell r="TL31">
            <v>0</v>
          </cell>
          <cell r="TM31">
            <v>0</v>
          </cell>
          <cell r="TN31">
            <v>0</v>
          </cell>
          <cell r="TO31">
            <v>0</v>
          </cell>
        </row>
        <row r="32">
          <cell r="TF32">
            <v>0</v>
          </cell>
          <cell r="TG32">
            <v>0</v>
          </cell>
          <cell r="TH32">
            <v>19004.359999895096</v>
          </cell>
          <cell r="TI32">
            <v>0</v>
          </cell>
          <cell r="TJ32">
            <v>0</v>
          </cell>
          <cell r="TK32">
            <v>0</v>
          </cell>
          <cell r="TL32">
            <v>0</v>
          </cell>
          <cell r="TM32">
            <v>0</v>
          </cell>
          <cell r="TN32">
            <v>0</v>
          </cell>
          <cell r="TO32">
            <v>0</v>
          </cell>
        </row>
      </sheetData>
      <sheetData sheetId="4"/>
      <sheetData sheetId="5">
        <row r="4">
          <cell r="TE4">
            <v>0</v>
          </cell>
          <cell r="TF4">
            <v>0</v>
          </cell>
          <cell r="TG4">
            <v>0</v>
          </cell>
          <cell r="TH4">
            <v>0</v>
          </cell>
          <cell r="TI4">
            <v>0</v>
          </cell>
          <cell r="TJ4">
            <v>0</v>
          </cell>
          <cell r="TK4">
            <v>0</v>
          </cell>
          <cell r="TL4">
            <v>0</v>
          </cell>
          <cell r="TM4">
            <v>0</v>
          </cell>
        </row>
        <row r="5">
          <cell r="TE5">
            <v>0</v>
          </cell>
          <cell r="TF5">
            <v>0</v>
          </cell>
          <cell r="TG5">
            <v>0</v>
          </cell>
          <cell r="TH5">
            <v>0</v>
          </cell>
          <cell r="TI5">
            <v>0</v>
          </cell>
          <cell r="TJ5">
            <v>0</v>
          </cell>
          <cell r="TK5">
            <v>0</v>
          </cell>
          <cell r="TL5">
            <v>0</v>
          </cell>
          <cell r="TM5">
            <v>0</v>
          </cell>
        </row>
        <row r="6">
          <cell r="TE6">
            <v>0</v>
          </cell>
          <cell r="TF6">
            <v>0</v>
          </cell>
          <cell r="TG6">
            <v>0</v>
          </cell>
          <cell r="TH6">
            <v>0</v>
          </cell>
          <cell r="TI6">
            <v>0</v>
          </cell>
          <cell r="TJ6">
            <v>0</v>
          </cell>
          <cell r="TK6">
            <v>0</v>
          </cell>
          <cell r="TL6">
            <v>0</v>
          </cell>
          <cell r="TM6">
            <v>0</v>
          </cell>
        </row>
        <row r="7">
          <cell r="TE7">
            <v>1530962.0371999741</v>
          </cell>
          <cell r="TF7">
            <v>3061924.0743999481</v>
          </cell>
          <cell r="TG7">
            <v>1530962.0371999741</v>
          </cell>
          <cell r="TH7">
            <v>1530962.0371999741</v>
          </cell>
          <cell r="TI7">
            <v>0</v>
          </cell>
          <cell r="TJ7">
            <v>0</v>
          </cell>
          <cell r="TK7">
            <v>1530962.0371999741</v>
          </cell>
          <cell r="TL7">
            <v>1530962.0371999741</v>
          </cell>
          <cell r="TM7">
            <v>765481.01859998703</v>
          </cell>
        </row>
        <row r="8">
          <cell r="TE8">
            <v>1351736.4417999983</v>
          </cell>
          <cell r="TF8">
            <v>2703472.8835999966</v>
          </cell>
          <cell r="TG8">
            <v>1351736.4417999983</v>
          </cell>
          <cell r="TH8">
            <v>1351736.4417999983</v>
          </cell>
          <cell r="TI8">
            <v>0</v>
          </cell>
          <cell r="TJ8">
            <v>0</v>
          </cell>
          <cell r="TK8">
            <v>1351736.4417999983</v>
          </cell>
          <cell r="TL8">
            <v>1351736.4417999983</v>
          </cell>
          <cell r="TM8">
            <v>675868.22089999914</v>
          </cell>
        </row>
        <row r="9">
          <cell r="TE9">
            <v>1272111.6850000024</v>
          </cell>
          <cell r="TF9">
            <v>2544223.3700000048</v>
          </cell>
          <cell r="TG9">
            <v>1272111.6850000024</v>
          </cell>
          <cell r="TH9">
            <v>1272111.6850000024</v>
          </cell>
          <cell r="TI9">
            <v>0</v>
          </cell>
          <cell r="TJ9">
            <v>0</v>
          </cell>
          <cell r="TK9">
            <v>1272111.6850000024</v>
          </cell>
          <cell r="TL9">
            <v>1272111.6850000024</v>
          </cell>
          <cell r="TM9">
            <v>636055.84249997139</v>
          </cell>
        </row>
        <row r="10">
          <cell r="TE10">
            <v>1267340.2910000086</v>
          </cell>
          <cell r="TF10">
            <v>2534680.5820000172</v>
          </cell>
          <cell r="TG10">
            <v>1267340.2910000086</v>
          </cell>
          <cell r="TH10">
            <v>1267340.2910000086</v>
          </cell>
          <cell r="TI10">
            <v>0</v>
          </cell>
          <cell r="TJ10">
            <v>0</v>
          </cell>
          <cell r="TK10">
            <v>1267340.2910000086</v>
          </cell>
          <cell r="TL10">
            <v>1267340.2910000086</v>
          </cell>
          <cell r="TM10">
            <v>633670.1455000639</v>
          </cell>
        </row>
        <row r="11">
          <cell r="TE11">
            <v>1298741.6949999928</v>
          </cell>
          <cell r="TF11">
            <v>2597483.3899999857</v>
          </cell>
          <cell r="TG11">
            <v>1298741.6949999928</v>
          </cell>
          <cell r="TH11">
            <v>1298741.6949999928</v>
          </cell>
          <cell r="TI11">
            <v>0</v>
          </cell>
          <cell r="TJ11">
            <v>0</v>
          </cell>
          <cell r="TK11">
            <v>1298741.6949999928</v>
          </cell>
          <cell r="TL11">
            <v>1298741.6949999928</v>
          </cell>
          <cell r="TM11">
            <v>649370.84749996662</v>
          </cell>
        </row>
        <row r="12">
          <cell r="TE12">
            <v>1379170.3440000415</v>
          </cell>
          <cell r="TF12">
            <v>2758340.688000083</v>
          </cell>
          <cell r="TG12">
            <v>1379170.3440000415</v>
          </cell>
          <cell r="TH12">
            <v>1379170.3440000415</v>
          </cell>
          <cell r="TI12">
            <v>0</v>
          </cell>
          <cell r="TJ12">
            <v>0</v>
          </cell>
          <cell r="TK12">
            <v>1379170.3440000415</v>
          </cell>
          <cell r="TL12">
            <v>1379170.3440000415</v>
          </cell>
          <cell r="TM12">
            <v>689585.17199999094</v>
          </cell>
        </row>
        <row r="13">
          <cell r="TE13">
            <v>1438524.0019999743</v>
          </cell>
          <cell r="TF13">
            <v>2877048.0039999485</v>
          </cell>
          <cell r="TG13">
            <v>1438524.0019999743</v>
          </cell>
          <cell r="TH13">
            <v>1438524.0019999743</v>
          </cell>
          <cell r="TI13">
            <v>0</v>
          </cell>
          <cell r="TJ13">
            <v>0</v>
          </cell>
          <cell r="TK13">
            <v>1438524.0019999743</v>
          </cell>
          <cell r="TL13">
            <v>1438524.0019999743</v>
          </cell>
          <cell r="TM13">
            <v>719262.00099998713</v>
          </cell>
        </row>
        <row r="14">
          <cell r="TE14">
            <v>1397476.7409999371</v>
          </cell>
          <cell r="TF14">
            <v>2794953.4819998741</v>
          </cell>
          <cell r="TG14">
            <v>1397476.7409999371</v>
          </cell>
          <cell r="TH14">
            <v>1397476.7409999371</v>
          </cell>
          <cell r="TI14">
            <v>0</v>
          </cell>
          <cell r="TJ14">
            <v>0</v>
          </cell>
          <cell r="TK14">
            <v>1397476.7409999371</v>
          </cell>
          <cell r="TL14">
            <v>1397476.7409999371</v>
          </cell>
          <cell r="TM14">
            <v>698738.37050002813</v>
          </cell>
        </row>
        <row r="15">
          <cell r="TE15">
            <v>1291657.0760000944</v>
          </cell>
          <cell r="TF15">
            <v>2583314.1520001888</v>
          </cell>
          <cell r="TG15">
            <v>1291657.0760000944</v>
          </cell>
          <cell r="TH15">
            <v>1291657.0760000944</v>
          </cell>
          <cell r="TI15">
            <v>0</v>
          </cell>
          <cell r="TJ15">
            <v>0</v>
          </cell>
          <cell r="TK15">
            <v>1291657.0760000944</v>
          </cell>
          <cell r="TL15">
            <v>1291657.0760000944</v>
          </cell>
          <cell r="TM15">
            <v>645828.53800004721</v>
          </cell>
        </row>
        <row r="16">
          <cell r="TE16">
            <v>1196461.9349999428</v>
          </cell>
          <cell r="TF16">
            <v>2392923.8699998856</v>
          </cell>
          <cell r="TG16">
            <v>1196461.9349999428</v>
          </cell>
          <cell r="TH16">
            <v>1196461.9349999428</v>
          </cell>
          <cell r="TI16">
            <v>0</v>
          </cell>
          <cell r="TJ16">
            <v>0</v>
          </cell>
          <cell r="TK16">
            <v>1196461.9349999428</v>
          </cell>
          <cell r="TL16">
            <v>1196461.9349999428</v>
          </cell>
          <cell r="TM16">
            <v>598230.96749997139</v>
          </cell>
        </row>
        <row r="17">
          <cell r="TE17">
            <v>1077661.8300000429</v>
          </cell>
          <cell r="TF17">
            <v>2155323.6600000858</v>
          </cell>
          <cell r="TG17">
            <v>1077661.8300000429</v>
          </cell>
          <cell r="TH17">
            <v>1077661.8300000429</v>
          </cell>
          <cell r="TI17">
            <v>0</v>
          </cell>
          <cell r="TJ17">
            <v>0</v>
          </cell>
          <cell r="TK17">
            <v>1077661.8300000429</v>
          </cell>
          <cell r="TL17">
            <v>1077661.8300000429</v>
          </cell>
          <cell r="TM17">
            <v>538830.91500002146</v>
          </cell>
        </row>
        <row r="18">
          <cell r="TE18">
            <v>838660.22600007057</v>
          </cell>
          <cell r="TF18">
            <v>1677320.4520001411</v>
          </cell>
          <cell r="TG18">
            <v>838660.22600007057</v>
          </cell>
          <cell r="TH18">
            <v>838660.22600007057</v>
          </cell>
          <cell r="TI18">
            <v>0</v>
          </cell>
          <cell r="TJ18">
            <v>0</v>
          </cell>
          <cell r="TK18">
            <v>838660.22600007057</v>
          </cell>
          <cell r="TL18">
            <v>838660.22600007057</v>
          </cell>
          <cell r="TM18">
            <v>419330.11299997568</v>
          </cell>
        </row>
        <row r="19">
          <cell r="TE19">
            <v>612812.50300002098</v>
          </cell>
          <cell r="TF19">
            <v>1225625.006000042</v>
          </cell>
          <cell r="TG19">
            <v>612812.50300002098</v>
          </cell>
          <cell r="TH19">
            <v>612812.50300002098</v>
          </cell>
          <cell r="TI19">
            <v>0</v>
          </cell>
          <cell r="TJ19">
            <v>0</v>
          </cell>
          <cell r="TK19">
            <v>612812.50300002098</v>
          </cell>
          <cell r="TL19">
            <v>612812.50300002098</v>
          </cell>
          <cell r="TM19">
            <v>306406.2515000701</v>
          </cell>
        </row>
        <row r="20">
          <cell r="TE20">
            <v>521748.92999994755</v>
          </cell>
          <cell r="TF20">
            <v>1043497.8599998951</v>
          </cell>
          <cell r="TG20">
            <v>521748.92999994755</v>
          </cell>
          <cell r="TH20">
            <v>521748.92999994755</v>
          </cell>
          <cell r="TI20">
            <v>0</v>
          </cell>
          <cell r="TJ20">
            <v>0</v>
          </cell>
          <cell r="TK20">
            <v>521748.92999994755</v>
          </cell>
          <cell r="TL20">
            <v>521748.92999994755</v>
          </cell>
          <cell r="TM20">
            <v>260874.46499997377</v>
          </cell>
        </row>
        <row r="21">
          <cell r="TE21">
            <v>478703.64800000191</v>
          </cell>
          <cell r="TF21">
            <v>957407.29600000381</v>
          </cell>
          <cell r="TG21">
            <v>478703.64800000191</v>
          </cell>
          <cell r="TH21">
            <v>478703.64800000191</v>
          </cell>
          <cell r="TI21">
            <v>0</v>
          </cell>
          <cell r="TJ21">
            <v>0</v>
          </cell>
          <cell r="TK21">
            <v>478703.64800000191</v>
          </cell>
          <cell r="TL21">
            <v>478703.64800000191</v>
          </cell>
          <cell r="TM21">
            <v>239351.82400000095</v>
          </cell>
        </row>
        <row r="22">
          <cell r="TE22">
            <v>361272.17100000381</v>
          </cell>
          <cell r="TF22">
            <v>722544.34200000763</v>
          </cell>
          <cell r="TG22">
            <v>361272.17100000381</v>
          </cell>
          <cell r="TH22">
            <v>361272.17100000381</v>
          </cell>
          <cell r="TI22">
            <v>0</v>
          </cell>
          <cell r="TJ22">
            <v>0</v>
          </cell>
          <cell r="TK22">
            <v>361272.17100000381</v>
          </cell>
          <cell r="TL22">
            <v>361272.17100000381</v>
          </cell>
          <cell r="TM22">
            <v>180636.08550000191</v>
          </cell>
        </row>
        <row r="23">
          <cell r="TE23">
            <v>254332.8449999094</v>
          </cell>
          <cell r="TF23">
            <v>508665.6899998188</v>
          </cell>
          <cell r="TG23">
            <v>254332.8449999094</v>
          </cell>
          <cell r="TH23">
            <v>254332.8449999094</v>
          </cell>
          <cell r="TI23">
            <v>0</v>
          </cell>
          <cell r="TJ23">
            <v>0</v>
          </cell>
          <cell r="TK23">
            <v>254332.8449999094</v>
          </cell>
          <cell r="TL23">
            <v>254332.8449999094</v>
          </cell>
          <cell r="TM23">
            <v>127166.4224998951</v>
          </cell>
        </row>
        <row r="24">
          <cell r="TE24">
            <v>280029.08399993181</v>
          </cell>
          <cell r="TF24">
            <v>560058.16799986362</v>
          </cell>
          <cell r="TG24">
            <v>280029.08399993181</v>
          </cell>
          <cell r="TH24">
            <v>280029.08399993181</v>
          </cell>
          <cell r="TI24">
            <v>0</v>
          </cell>
          <cell r="TJ24">
            <v>0</v>
          </cell>
          <cell r="TK24">
            <v>280029.08399993181</v>
          </cell>
          <cell r="TL24">
            <v>280029.08399993181</v>
          </cell>
          <cell r="TM24">
            <v>140014.54199999571</v>
          </cell>
        </row>
        <row r="25">
          <cell r="TE25">
            <v>316381.30500006676</v>
          </cell>
          <cell r="TF25">
            <v>632762.61000013351</v>
          </cell>
          <cell r="TG25">
            <v>316381.30500006676</v>
          </cell>
          <cell r="TH25">
            <v>316381.30500006676</v>
          </cell>
          <cell r="TI25">
            <v>0</v>
          </cell>
          <cell r="TJ25">
            <v>0</v>
          </cell>
          <cell r="TK25">
            <v>316381.30500006676</v>
          </cell>
          <cell r="TL25">
            <v>316381.30500006676</v>
          </cell>
          <cell r="TM25">
            <v>158190.65250003338</v>
          </cell>
        </row>
        <row r="26">
          <cell r="TE26">
            <v>244058.06000006199</v>
          </cell>
          <cell r="TF26">
            <v>488116.12000012398</v>
          </cell>
          <cell r="TG26">
            <v>244058.06000006199</v>
          </cell>
          <cell r="TH26">
            <v>244058.06000006199</v>
          </cell>
          <cell r="TI26">
            <v>0</v>
          </cell>
          <cell r="TJ26">
            <v>0</v>
          </cell>
          <cell r="TK26">
            <v>244058.06000006199</v>
          </cell>
          <cell r="TL26">
            <v>244058.06000006199</v>
          </cell>
          <cell r="TM26">
            <v>122029.03000003099</v>
          </cell>
        </row>
        <row r="27">
          <cell r="TE27">
            <v>0</v>
          </cell>
          <cell r="TF27">
            <v>0</v>
          </cell>
          <cell r="TG27">
            <v>0</v>
          </cell>
          <cell r="TH27">
            <v>0</v>
          </cell>
          <cell r="TI27">
            <v>0</v>
          </cell>
          <cell r="TJ27">
            <v>0</v>
          </cell>
          <cell r="TK27">
            <v>0</v>
          </cell>
          <cell r="TL27">
            <v>0</v>
          </cell>
          <cell r="TM27">
            <v>0</v>
          </cell>
        </row>
        <row r="28">
          <cell r="TE28">
            <v>0</v>
          </cell>
          <cell r="TF28">
            <v>0</v>
          </cell>
          <cell r="TG28">
            <v>0</v>
          </cell>
          <cell r="TH28">
            <v>0</v>
          </cell>
          <cell r="TI28">
            <v>0</v>
          </cell>
          <cell r="TJ28">
            <v>0</v>
          </cell>
          <cell r="TK28">
            <v>0</v>
          </cell>
          <cell r="TL28">
            <v>0</v>
          </cell>
          <cell r="TM28">
            <v>0</v>
          </cell>
        </row>
        <row r="29">
          <cell r="TE29">
            <v>0</v>
          </cell>
          <cell r="TF29">
            <v>0</v>
          </cell>
          <cell r="TG29">
            <v>0</v>
          </cell>
          <cell r="TH29">
            <v>0</v>
          </cell>
          <cell r="TI29">
            <v>0</v>
          </cell>
          <cell r="TJ29">
            <v>0</v>
          </cell>
          <cell r="TK29">
            <v>0</v>
          </cell>
          <cell r="TL29">
            <v>0</v>
          </cell>
          <cell r="TM29">
            <v>0</v>
          </cell>
        </row>
        <row r="30">
          <cell r="TE30">
            <v>0</v>
          </cell>
          <cell r="TF30">
            <v>0</v>
          </cell>
          <cell r="TG30">
            <v>0</v>
          </cell>
          <cell r="TH30">
            <v>0</v>
          </cell>
          <cell r="TI30">
            <v>0</v>
          </cell>
          <cell r="TJ30">
            <v>0</v>
          </cell>
          <cell r="TK30">
            <v>0</v>
          </cell>
          <cell r="TL30">
            <v>0</v>
          </cell>
          <cell r="TM30">
            <v>0</v>
          </cell>
        </row>
        <row r="31">
          <cell r="TE31">
            <v>0</v>
          </cell>
          <cell r="TF31">
            <v>0</v>
          </cell>
          <cell r="TG31">
            <v>0</v>
          </cell>
          <cell r="TH31">
            <v>0</v>
          </cell>
          <cell r="TI31">
            <v>0</v>
          </cell>
          <cell r="TJ31">
            <v>0</v>
          </cell>
          <cell r="TK31">
            <v>0</v>
          </cell>
          <cell r="TL31">
            <v>0</v>
          </cell>
          <cell r="TM31">
            <v>0</v>
          </cell>
        </row>
        <row r="32">
          <cell r="TE32">
            <v>0</v>
          </cell>
          <cell r="TF32">
            <v>0</v>
          </cell>
          <cell r="TG32">
            <v>0</v>
          </cell>
          <cell r="TH32">
            <v>0</v>
          </cell>
          <cell r="TI32">
            <v>0</v>
          </cell>
          <cell r="TJ32">
            <v>0</v>
          </cell>
          <cell r="TK32">
            <v>0</v>
          </cell>
          <cell r="TL32">
            <v>0</v>
          </cell>
          <cell r="TM32">
            <v>0</v>
          </cell>
        </row>
      </sheetData>
      <sheetData sheetId="6"/>
      <sheetData sheetId="7"/>
      <sheetData sheetId="8"/>
      <sheetData sheetId="9"/>
      <sheetData sheetId="10">
        <row r="4">
          <cell r="TF4">
            <v>0</v>
          </cell>
          <cell r="TG4">
            <v>0</v>
          </cell>
          <cell r="TH4">
            <v>0</v>
          </cell>
          <cell r="TI4">
            <v>0</v>
          </cell>
          <cell r="TJ4">
            <v>0</v>
          </cell>
          <cell r="TK4">
            <v>0</v>
          </cell>
          <cell r="TL4">
            <v>0</v>
          </cell>
          <cell r="TM4">
            <v>0</v>
          </cell>
          <cell r="TN4">
            <v>0</v>
          </cell>
          <cell r="TO4">
            <v>0</v>
          </cell>
        </row>
        <row r="5">
          <cell r="TF5">
            <v>0</v>
          </cell>
          <cell r="TG5">
            <v>0</v>
          </cell>
          <cell r="TH5">
            <v>16396.331829000264</v>
          </cell>
          <cell r="TI5">
            <v>0</v>
          </cell>
          <cell r="TJ5">
            <v>0</v>
          </cell>
          <cell r="TK5">
            <v>0</v>
          </cell>
          <cell r="TL5">
            <v>0</v>
          </cell>
          <cell r="TM5">
            <v>0</v>
          </cell>
          <cell r="TN5">
            <v>0</v>
          </cell>
          <cell r="TO5">
            <v>0</v>
          </cell>
        </row>
        <row r="6">
          <cell r="TF6">
            <v>0</v>
          </cell>
          <cell r="TG6">
            <v>0</v>
          </cell>
          <cell r="TH6">
            <v>16522.567437000573</v>
          </cell>
          <cell r="TI6">
            <v>0</v>
          </cell>
          <cell r="TJ6">
            <v>0</v>
          </cell>
          <cell r="TK6">
            <v>0</v>
          </cell>
          <cell r="TL6">
            <v>0</v>
          </cell>
          <cell r="TM6">
            <v>0</v>
          </cell>
          <cell r="TN6">
            <v>0</v>
          </cell>
          <cell r="TO6">
            <v>0</v>
          </cell>
        </row>
        <row r="7">
          <cell r="TF7">
            <v>0</v>
          </cell>
          <cell r="TG7">
            <v>0</v>
          </cell>
          <cell r="TH7">
            <v>16097.563699999824</v>
          </cell>
          <cell r="TI7">
            <v>0</v>
          </cell>
          <cell r="TJ7">
            <v>0</v>
          </cell>
          <cell r="TK7">
            <v>0</v>
          </cell>
          <cell r="TL7">
            <v>0</v>
          </cell>
          <cell r="TM7">
            <v>0</v>
          </cell>
          <cell r="TN7">
            <v>0</v>
          </cell>
          <cell r="TO7">
            <v>0</v>
          </cell>
        </row>
        <row r="8">
          <cell r="TF8">
            <v>0</v>
          </cell>
          <cell r="TG8">
            <v>0</v>
          </cell>
          <cell r="TH8">
            <v>16567.47377999872</v>
          </cell>
          <cell r="TI8">
            <v>0</v>
          </cell>
          <cell r="TJ8">
            <v>0</v>
          </cell>
          <cell r="TK8">
            <v>0</v>
          </cell>
          <cell r="TL8">
            <v>0</v>
          </cell>
          <cell r="TM8">
            <v>0</v>
          </cell>
          <cell r="TN8">
            <v>0</v>
          </cell>
          <cell r="TO8">
            <v>0</v>
          </cell>
        </row>
        <row r="9">
          <cell r="TF9">
            <v>0</v>
          </cell>
          <cell r="TG9">
            <v>0</v>
          </cell>
          <cell r="TH9">
            <v>16752.794069999829</v>
          </cell>
          <cell r="TI9">
            <v>0</v>
          </cell>
          <cell r="TJ9">
            <v>0</v>
          </cell>
          <cell r="TK9">
            <v>0</v>
          </cell>
          <cell r="TL9">
            <v>0</v>
          </cell>
          <cell r="TM9">
            <v>0</v>
          </cell>
          <cell r="TN9">
            <v>0</v>
          </cell>
          <cell r="TO9">
            <v>0</v>
          </cell>
        </row>
        <row r="10">
          <cell r="TF10">
            <v>0</v>
          </cell>
          <cell r="TG10">
            <v>0</v>
          </cell>
          <cell r="TH10">
            <v>16739.019490001723</v>
          </cell>
          <cell r="TI10">
            <v>0</v>
          </cell>
          <cell r="TJ10">
            <v>0</v>
          </cell>
          <cell r="TK10">
            <v>0</v>
          </cell>
          <cell r="TL10">
            <v>0</v>
          </cell>
          <cell r="TM10">
            <v>0</v>
          </cell>
          <cell r="TN10">
            <v>0</v>
          </cell>
          <cell r="TO10">
            <v>0</v>
          </cell>
        </row>
        <row r="11">
          <cell r="TF11">
            <v>0</v>
          </cell>
          <cell r="TG11">
            <v>0</v>
          </cell>
          <cell r="TH11">
            <v>15553.839069999754</v>
          </cell>
          <cell r="TI11">
            <v>0</v>
          </cell>
          <cell r="TJ11">
            <v>0</v>
          </cell>
          <cell r="TK11">
            <v>0</v>
          </cell>
          <cell r="TL11">
            <v>0</v>
          </cell>
          <cell r="TM11">
            <v>0</v>
          </cell>
          <cell r="TN11">
            <v>0</v>
          </cell>
          <cell r="TO11">
            <v>0</v>
          </cell>
        </row>
        <row r="12">
          <cell r="TF12">
            <v>0</v>
          </cell>
          <cell r="TG12">
            <v>0</v>
          </cell>
          <cell r="TH12">
            <v>15589.838499998674</v>
          </cell>
          <cell r="TI12">
            <v>0</v>
          </cell>
          <cell r="TJ12">
            <v>0</v>
          </cell>
          <cell r="TK12">
            <v>0</v>
          </cell>
          <cell r="TL12">
            <v>0</v>
          </cell>
          <cell r="TM12">
            <v>0</v>
          </cell>
          <cell r="TN12">
            <v>0</v>
          </cell>
          <cell r="TO12">
            <v>0</v>
          </cell>
        </row>
        <row r="13">
          <cell r="TF13">
            <v>0</v>
          </cell>
          <cell r="TG13">
            <v>0</v>
          </cell>
          <cell r="TH13">
            <v>14975.89881000109</v>
          </cell>
          <cell r="TI13">
            <v>0</v>
          </cell>
          <cell r="TJ13">
            <v>0</v>
          </cell>
          <cell r="TK13">
            <v>0</v>
          </cell>
          <cell r="TL13">
            <v>0</v>
          </cell>
          <cell r="TM13">
            <v>0</v>
          </cell>
          <cell r="TN13">
            <v>0</v>
          </cell>
          <cell r="TO13">
            <v>0</v>
          </cell>
        </row>
        <row r="14">
          <cell r="TF14">
            <v>0</v>
          </cell>
          <cell r="TG14">
            <v>0</v>
          </cell>
          <cell r="TH14">
            <v>14688.858159998432</v>
          </cell>
          <cell r="TI14">
            <v>0</v>
          </cell>
          <cell r="TJ14">
            <v>0</v>
          </cell>
          <cell r="TK14">
            <v>0</v>
          </cell>
          <cell r="TL14">
            <v>0</v>
          </cell>
          <cell r="TM14">
            <v>0</v>
          </cell>
          <cell r="TN14">
            <v>0</v>
          </cell>
          <cell r="TO14">
            <v>0</v>
          </cell>
        </row>
        <row r="15">
          <cell r="TF15">
            <v>0</v>
          </cell>
          <cell r="TG15">
            <v>0</v>
          </cell>
          <cell r="TH15">
            <v>12335.397190000862</v>
          </cell>
          <cell r="TI15">
            <v>0</v>
          </cell>
          <cell r="TJ15">
            <v>0</v>
          </cell>
          <cell r="TK15">
            <v>0</v>
          </cell>
          <cell r="TL15">
            <v>0</v>
          </cell>
          <cell r="TM15">
            <v>0</v>
          </cell>
          <cell r="TN15">
            <v>0</v>
          </cell>
          <cell r="TO15">
            <v>0</v>
          </cell>
        </row>
        <row r="16">
          <cell r="TF16">
            <v>0</v>
          </cell>
          <cell r="TG16">
            <v>0</v>
          </cell>
          <cell r="TH16">
            <v>11999.69270000048</v>
          </cell>
          <cell r="TI16">
            <v>0</v>
          </cell>
          <cell r="TJ16">
            <v>0</v>
          </cell>
          <cell r="TK16">
            <v>0</v>
          </cell>
          <cell r="TL16">
            <v>0</v>
          </cell>
          <cell r="TM16">
            <v>0</v>
          </cell>
          <cell r="TN16">
            <v>0</v>
          </cell>
          <cell r="TO16">
            <v>0</v>
          </cell>
        </row>
        <row r="17">
          <cell r="TF17">
            <v>0</v>
          </cell>
          <cell r="TG17">
            <v>0</v>
          </cell>
          <cell r="TH17">
            <v>11024.00105000101</v>
          </cell>
          <cell r="TI17">
            <v>0</v>
          </cell>
          <cell r="TJ17">
            <v>0</v>
          </cell>
          <cell r="TK17">
            <v>0</v>
          </cell>
          <cell r="TL17">
            <v>0</v>
          </cell>
          <cell r="TM17">
            <v>0</v>
          </cell>
          <cell r="TN17">
            <v>0</v>
          </cell>
          <cell r="TO17">
            <v>0</v>
          </cell>
        </row>
        <row r="18">
          <cell r="TF18">
            <v>0</v>
          </cell>
          <cell r="TG18">
            <v>0</v>
          </cell>
          <cell r="TH18">
            <v>10869.518289998174</v>
          </cell>
          <cell r="TI18">
            <v>0</v>
          </cell>
          <cell r="TJ18">
            <v>0</v>
          </cell>
          <cell r="TK18">
            <v>0</v>
          </cell>
          <cell r="TL18">
            <v>0</v>
          </cell>
          <cell r="TM18">
            <v>0</v>
          </cell>
          <cell r="TN18">
            <v>0</v>
          </cell>
          <cell r="TO18">
            <v>0</v>
          </cell>
        </row>
        <row r="19">
          <cell r="TF19">
            <v>0</v>
          </cell>
          <cell r="TG19">
            <v>0</v>
          </cell>
          <cell r="TH19">
            <v>8102.2349399998784</v>
          </cell>
          <cell r="TI19">
            <v>0</v>
          </cell>
          <cell r="TJ19">
            <v>0</v>
          </cell>
          <cell r="TK19">
            <v>0</v>
          </cell>
          <cell r="TL19">
            <v>0</v>
          </cell>
          <cell r="TM19">
            <v>0</v>
          </cell>
          <cell r="TN19">
            <v>0</v>
          </cell>
          <cell r="TO19">
            <v>0</v>
          </cell>
        </row>
        <row r="20">
          <cell r="TF20">
            <v>0</v>
          </cell>
          <cell r="TG20">
            <v>0</v>
          </cell>
          <cell r="TH20">
            <v>7988.2646500021219</v>
          </cell>
          <cell r="TI20">
            <v>0</v>
          </cell>
          <cell r="TJ20">
            <v>0</v>
          </cell>
          <cell r="TK20">
            <v>0</v>
          </cell>
          <cell r="TL20">
            <v>0</v>
          </cell>
          <cell r="TM20">
            <v>0</v>
          </cell>
          <cell r="TN20">
            <v>0</v>
          </cell>
          <cell r="TO20">
            <v>0</v>
          </cell>
        </row>
        <row r="21">
          <cell r="TF21">
            <v>0</v>
          </cell>
          <cell r="TG21">
            <v>0</v>
          </cell>
          <cell r="TH21">
            <v>7344.9492999976501</v>
          </cell>
          <cell r="TI21">
            <v>0</v>
          </cell>
          <cell r="TJ21">
            <v>0</v>
          </cell>
          <cell r="TK21">
            <v>0</v>
          </cell>
          <cell r="TL21">
            <v>0</v>
          </cell>
          <cell r="TM21">
            <v>0</v>
          </cell>
          <cell r="TN21">
            <v>0</v>
          </cell>
          <cell r="TO21">
            <v>0</v>
          </cell>
        </row>
        <row r="22">
          <cell r="TF22">
            <v>0</v>
          </cell>
          <cell r="TG22">
            <v>0</v>
          </cell>
          <cell r="TH22">
            <v>7646.6620500013232</v>
          </cell>
          <cell r="TI22">
            <v>0</v>
          </cell>
          <cell r="TJ22">
            <v>0</v>
          </cell>
          <cell r="TK22">
            <v>0</v>
          </cell>
          <cell r="TL22">
            <v>0</v>
          </cell>
          <cell r="TM22">
            <v>0</v>
          </cell>
          <cell r="TN22">
            <v>0</v>
          </cell>
          <cell r="TO22">
            <v>0</v>
          </cell>
        </row>
        <row r="23">
          <cell r="TF23">
            <v>0</v>
          </cell>
          <cell r="TG23">
            <v>0</v>
          </cell>
          <cell r="TH23">
            <v>5189.3189399987459</v>
          </cell>
          <cell r="TI23">
            <v>0</v>
          </cell>
          <cell r="TJ23">
            <v>0</v>
          </cell>
          <cell r="TK23">
            <v>0</v>
          </cell>
          <cell r="TL23">
            <v>0</v>
          </cell>
          <cell r="TM23">
            <v>0</v>
          </cell>
          <cell r="TN23">
            <v>0</v>
          </cell>
          <cell r="TO23">
            <v>0</v>
          </cell>
        </row>
        <row r="24">
          <cell r="TF24">
            <v>0</v>
          </cell>
          <cell r="TG24">
            <v>0</v>
          </cell>
          <cell r="TH24">
            <v>-424.85256999917328</v>
          </cell>
          <cell r="TI24">
            <v>0</v>
          </cell>
          <cell r="TJ24">
            <v>0</v>
          </cell>
          <cell r="TK24">
            <v>0</v>
          </cell>
          <cell r="TL24">
            <v>0</v>
          </cell>
          <cell r="TM24">
            <v>0</v>
          </cell>
          <cell r="TN24">
            <v>0</v>
          </cell>
          <cell r="TO24">
            <v>0</v>
          </cell>
        </row>
        <row r="25">
          <cell r="TF25">
            <v>0</v>
          </cell>
          <cell r="TG25">
            <v>0</v>
          </cell>
          <cell r="TH25">
            <v>-370.33978999871761</v>
          </cell>
          <cell r="TI25">
            <v>0</v>
          </cell>
          <cell r="TJ25">
            <v>0</v>
          </cell>
          <cell r="TK25">
            <v>0</v>
          </cell>
          <cell r="TL25">
            <v>0</v>
          </cell>
          <cell r="TM25">
            <v>0</v>
          </cell>
          <cell r="TN25">
            <v>0</v>
          </cell>
          <cell r="TO25">
            <v>0</v>
          </cell>
        </row>
        <row r="26">
          <cell r="TF26">
            <v>0</v>
          </cell>
          <cell r="TG26">
            <v>0</v>
          </cell>
          <cell r="TH26">
            <v>579.94199999887496</v>
          </cell>
          <cell r="TI26">
            <v>0</v>
          </cell>
          <cell r="TJ26">
            <v>0</v>
          </cell>
          <cell r="TK26">
            <v>0</v>
          </cell>
          <cell r="TL26">
            <v>0</v>
          </cell>
          <cell r="TM26">
            <v>0</v>
          </cell>
          <cell r="TN26">
            <v>0</v>
          </cell>
          <cell r="TO26">
            <v>0</v>
          </cell>
        </row>
        <row r="27">
          <cell r="TF27">
            <v>0</v>
          </cell>
          <cell r="TG27">
            <v>0</v>
          </cell>
          <cell r="TH27">
            <v>-1615.1861600000411</v>
          </cell>
          <cell r="TI27">
            <v>0</v>
          </cell>
          <cell r="TJ27">
            <v>0</v>
          </cell>
          <cell r="TK27">
            <v>0</v>
          </cell>
          <cell r="TL27">
            <v>0</v>
          </cell>
          <cell r="TM27">
            <v>0</v>
          </cell>
          <cell r="TN27">
            <v>0</v>
          </cell>
          <cell r="TO27">
            <v>0</v>
          </cell>
        </row>
        <row r="28">
          <cell r="TF28">
            <v>0</v>
          </cell>
          <cell r="TG28">
            <v>0</v>
          </cell>
          <cell r="TH28">
            <v>-556.22522999998182</v>
          </cell>
          <cell r="TI28">
            <v>0</v>
          </cell>
          <cell r="TJ28">
            <v>0</v>
          </cell>
          <cell r="TK28">
            <v>0</v>
          </cell>
          <cell r="TL28">
            <v>0</v>
          </cell>
          <cell r="TM28">
            <v>0</v>
          </cell>
          <cell r="TN28">
            <v>0</v>
          </cell>
          <cell r="TO28">
            <v>0</v>
          </cell>
        </row>
        <row r="29">
          <cell r="TF29">
            <v>0</v>
          </cell>
          <cell r="TG29">
            <v>0</v>
          </cell>
          <cell r="TH29">
            <v>-744.03318999987096</v>
          </cell>
          <cell r="TI29">
            <v>0</v>
          </cell>
          <cell r="TJ29">
            <v>0</v>
          </cell>
          <cell r="TK29">
            <v>0</v>
          </cell>
          <cell r="TL29">
            <v>0</v>
          </cell>
          <cell r="TM29">
            <v>0</v>
          </cell>
          <cell r="TN29">
            <v>0</v>
          </cell>
          <cell r="TO29">
            <v>0</v>
          </cell>
        </row>
        <row r="30">
          <cell r="TF30">
            <v>0</v>
          </cell>
          <cell r="TG30">
            <v>0</v>
          </cell>
          <cell r="TH30">
            <v>276.5198099995032</v>
          </cell>
          <cell r="TI30">
            <v>0</v>
          </cell>
          <cell r="TJ30">
            <v>0</v>
          </cell>
          <cell r="TK30">
            <v>0</v>
          </cell>
          <cell r="TL30">
            <v>0</v>
          </cell>
          <cell r="TM30">
            <v>0</v>
          </cell>
          <cell r="TN30">
            <v>0</v>
          </cell>
          <cell r="TO30">
            <v>0</v>
          </cell>
        </row>
        <row r="31">
          <cell r="TF31">
            <v>0</v>
          </cell>
          <cell r="TG31">
            <v>0</v>
          </cell>
          <cell r="TH31">
            <v>-1825.0859199995175</v>
          </cell>
          <cell r="TI31">
            <v>0</v>
          </cell>
          <cell r="TJ31">
            <v>0</v>
          </cell>
          <cell r="TK31">
            <v>0</v>
          </cell>
          <cell r="TL31">
            <v>0</v>
          </cell>
          <cell r="TM31">
            <v>0</v>
          </cell>
          <cell r="TN31">
            <v>0</v>
          </cell>
          <cell r="TO31">
            <v>0</v>
          </cell>
        </row>
        <row r="32">
          <cell r="TF32">
            <v>0</v>
          </cell>
          <cell r="TG32">
            <v>0</v>
          </cell>
          <cell r="TH32">
            <v>-624.46300999820232</v>
          </cell>
          <cell r="TI32">
            <v>0</v>
          </cell>
          <cell r="TJ32">
            <v>0</v>
          </cell>
          <cell r="TK32">
            <v>0</v>
          </cell>
          <cell r="TL32">
            <v>0</v>
          </cell>
          <cell r="TM32">
            <v>0</v>
          </cell>
          <cell r="TN32">
            <v>0</v>
          </cell>
          <cell r="TO32">
            <v>0</v>
          </cell>
        </row>
      </sheetData>
      <sheetData sheetId="11"/>
      <sheetData sheetId="12">
        <row r="4">
          <cell r="TE4">
            <v>0</v>
          </cell>
          <cell r="TF4">
            <v>0</v>
          </cell>
          <cell r="TG4">
            <v>0</v>
          </cell>
          <cell r="TH4">
            <v>0</v>
          </cell>
          <cell r="TI4">
            <v>0</v>
          </cell>
          <cell r="TJ4">
            <v>0</v>
          </cell>
          <cell r="TK4">
            <v>0</v>
          </cell>
          <cell r="TL4">
            <v>0</v>
          </cell>
          <cell r="TM4">
            <v>0</v>
          </cell>
        </row>
        <row r="5">
          <cell r="TE5">
            <v>0</v>
          </cell>
          <cell r="TF5">
            <v>0</v>
          </cell>
          <cell r="TG5">
            <v>0</v>
          </cell>
          <cell r="TH5">
            <v>0</v>
          </cell>
          <cell r="TI5">
            <v>0</v>
          </cell>
          <cell r="TJ5">
            <v>0</v>
          </cell>
          <cell r="TK5">
            <v>0</v>
          </cell>
          <cell r="TL5">
            <v>0</v>
          </cell>
          <cell r="TM5">
            <v>0</v>
          </cell>
        </row>
        <row r="6">
          <cell r="TE6">
            <v>0</v>
          </cell>
          <cell r="TF6">
            <v>0</v>
          </cell>
          <cell r="TG6">
            <v>0</v>
          </cell>
          <cell r="TH6">
            <v>0</v>
          </cell>
          <cell r="TI6">
            <v>0</v>
          </cell>
          <cell r="TJ6">
            <v>0</v>
          </cell>
          <cell r="TK6">
            <v>0</v>
          </cell>
          <cell r="TL6">
            <v>0</v>
          </cell>
          <cell r="TM6">
            <v>0</v>
          </cell>
        </row>
        <row r="7">
          <cell r="TE7">
            <v>77701.231339998543</v>
          </cell>
          <cell r="TF7">
            <v>155402.46267999709</v>
          </cell>
          <cell r="TG7">
            <v>77701.231339998543</v>
          </cell>
          <cell r="TH7">
            <v>77701.231339998543</v>
          </cell>
          <cell r="TI7">
            <v>0</v>
          </cell>
          <cell r="TJ7">
            <v>0</v>
          </cell>
          <cell r="TK7">
            <v>77701.231339998543</v>
          </cell>
          <cell r="TL7">
            <v>77701.231339998543</v>
          </cell>
          <cell r="TM7">
            <v>38850.615669999272</v>
          </cell>
        </row>
        <row r="8">
          <cell r="TE8">
            <v>78205.395460002124</v>
          </cell>
          <cell r="TF8">
            <v>156410.79092000239</v>
          </cell>
          <cell r="TG8">
            <v>78205.395460002124</v>
          </cell>
          <cell r="TH8">
            <v>78205.395460002124</v>
          </cell>
          <cell r="TI8">
            <v>0</v>
          </cell>
          <cell r="TJ8">
            <v>0</v>
          </cell>
          <cell r="TK8">
            <v>78205.395460002124</v>
          </cell>
          <cell r="TL8">
            <v>78205.395460002124</v>
          </cell>
          <cell r="TM8">
            <v>39102.697730001062</v>
          </cell>
        </row>
        <row r="9">
          <cell r="TE9">
            <v>79213.289699997753</v>
          </cell>
          <cell r="TF9">
            <v>158426.57939999737</v>
          </cell>
          <cell r="TG9">
            <v>79213.289699997753</v>
          </cell>
          <cell r="TH9">
            <v>79213.289699997753</v>
          </cell>
          <cell r="TI9">
            <v>0</v>
          </cell>
          <cell r="TJ9">
            <v>0</v>
          </cell>
          <cell r="TK9">
            <v>79213.289699997753</v>
          </cell>
          <cell r="TL9">
            <v>79213.289699997753</v>
          </cell>
          <cell r="TM9">
            <v>39606.644849998876</v>
          </cell>
        </row>
        <row r="10">
          <cell r="TE10">
            <v>81015.633500002325</v>
          </cell>
          <cell r="TF10">
            <v>162031.26700000279</v>
          </cell>
          <cell r="TG10">
            <v>81015.633500002325</v>
          </cell>
          <cell r="TH10">
            <v>81015.633500002325</v>
          </cell>
          <cell r="TI10">
            <v>0</v>
          </cell>
          <cell r="TJ10">
            <v>0</v>
          </cell>
          <cell r="TK10">
            <v>81015.633500002325</v>
          </cell>
          <cell r="TL10">
            <v>81015.633500002325</v>
          </cell>
          <cell r="TM10">
            <v>40507.816750001162</v>
          </cell>
        </row>
        <row r="11">
          <cell r="TE11">
            <v>81050.424499997869</v>
          </cell>
          <cell r="TF11">
            <v>162100.8489999976</v>
          </cell>
          <cell r="TG11">
            <v>81050.424499997869</v>
          </cell>
          <cell r="TH11">
            <v>81050.424499997869</v>
          </cell>
          <cell r="TI11">
            <v>0</v>
          </cell>
          <cell r="TJ11">
            <v>0</v>
          </cell>
          <cell r="TK11">
            <v>81050.424499997869</v>
          </cell>
          <cell r="TL11">
            <v>81050.424499997869</v>
          </cell>
          <cell r="TM11">
            <v>40525.212249998003</v>
          </cell>
        </row>
        <row r="12">
          <cell r="TE12">
            <v>82940.667700000107</v>
          </cell>
          <cell r="TF12">
            <v>165881.33540000021</v>
          </cell>
          <cell r="TG12">
            <v>82940.667700000107</v>
          </cell>
          <cell r="TH12">
            <v>82940.667700000107</v>
          </cell>
          <cell r="TI12">
            <v>0</v>
          </cell>
          <cell r="TJ12">
            <v>0</v>
          </cell>
          <cell r="TK12">
            <v>82940.667700000107</v>
          </cell>
          <cell r="TL12">
            <v>82940.667700000107</v>
          </cell>
          <cell r="TM12">
            <v>41470.333850001916</v>
          </cell>
        </row>
        <row r="13">
          <cell r="TE13">
            <v>81308.866899998859</v>
          </cell>
          <cell r="TF13">
            <v>162617.73379999772</v>
          </cell>
          <cell r="TG13">
            <v>81308.866899998859</v>
          </cell>
          <cell r="TH13">
            <v>81308.866899998859</v>
          </cell>
          <cell r="TI13">
            <v>0</v>
          </cell>
          <cell r="TJ13">
            <v>0</v>
          </cell>
          <cell r="TK13">
            <v>81308.866899998859</v>
          </cell>
          <cell r="TL13">
            <v>81308.866899998859</v>
          </cell>
          <cell r="TM13">
            <v>40654.433449998498</v>
          </cell>
        </row>
        <row r="14">
          <cell r="TE14">
            <v>81988.242599997669</v>
          </cell>
          <cell r="TF14">
            <v>163976.48519999534</v>
          </cell>
          <cell r="TG14">
            <v>81988.242599997669</v>
          </cell>
          <cell r="TH14">
            <v>81988.242599997669</v>
          </cell>
          <cell r="TI14">
            <v>0</v>
          </cell>
          <cell r="TJ14">
            <v>0</v>
          </cell>
          <cell r="TK14">
            <v>81988.242599997669</v>
          </cell>
          <cell r="TL14">
            <v>81988.242599997669</v>
          </cell>
          <cell r="TM14">
            <v>40994.121299998835</v>
          </cell>
        </row>
        <row r="15">
          <cell r="TE15">
            <v>76884.880700008944</v>
          </cell>
          <cell r="TF15">
            <v>153769.76140001789</v>
          </cell>
          <cell r="TG15">
            <v>76884.880700008944</v>
          </cell>
          <cell r="TH15">
            <v>76884.880700008944</v>
          </cell>
          <cell r="TI15">
            <v>0</v>
          </cell>
          <cell r="TJ15">
            <v>0</v>
          </cell>
          <cell r="TK15">
            <v>76884.880700008944</v>
          </cell>
          <cell r="TL15">
            <v>76884.880700008944</v>
          </cell>
          <cell r="TM15">
            <v>38442.440350005403</v>
          </cell>
        </row>
        <row r="16">
          <cell r="TE16">
            <v>76536.218599999323</v>
          </cell>
          <cell r="TF16">
            <v>153072.43719999865</v>
          </cell>
          <cell r="TG16">
            <v>76536.218599999323</v>
          </cell>
          <cell r="TH16">
            <v>76536.218599999323</v>
          </cell>
          <cell r="TI16">
            <v>0</v>
          </cell>
          <cell r="TJ16">
            <v>0</v>
          </cell>
          <cell r="TK16">
            <v>76536.218599999323</v>
          </cell>
          <cell r="TL16">
            <v>76536.218599999323</v>
          </cell>
          <cell r="TM16">
            <v>38268.10929999873</v>
          </cell>
        </row>
        <row r="17">
          <cell r="TE17">
            <v>72501.439699992537</v>
          </cell>
          <cell r="TF17">
            <v>145002.87939998507</v>
          </cell>
          <cell r="TG17">
            <v>72501.439699992537</v>
          </cell>
          <cell r="TH17">
            <v>72501.439699992537</v>
          </cell>
          <cell r="TI17">
            <v>0</v>
          </cell>
          <cell r="TJ17">
            <v>0</v>
          </cell>
          <cell r="TK17">
            <v>72501.439699992537</v>
          </cell>
          <cell r="TL17">
            <v>72501.439699992537</v>
          </cell>
          <cell r="TM17">
            <v>36250.719849996269</v>
          </cell>
        </row>
        <row r="18">
          <cell r="TE18">
            <v>71601.571600008756</v>
          </cell>
          <cell r="TF18">
            <v>143203.14320001751</v>
          </cell>
          <cell r="TG18">
            <v>71601.571600008756</v>
          </cell>
          <cell r="TH18">
            <v>71601.571600008756</v>
          </cell>
          <cell r="TI18">
            <v>0</v>
          </cell>
          <cell r="TJ18">
            <v>0</v>
          </cell>
          <cell r="TK18">
            <v>71601.571600008756</v>
          </cell>
          <cell r="TL18">
            <v>71601.571600008756</v>
          </cell>
          <cell r="TM18">
            <v>35800.785800004378</v>
          </cell>
        </row>
        <row r="19">
          <cell r="TE19">
            <v>62536.464700000361</v>
          </cell>
          <cell r="TF19">
            <v>125072.92940000072</v>
          </cell>
          <cell r="TG19">
            <v>62536.464700000361</v>
          </cell>
          <cell r="TH19">
            <v>62536.464700000361</v>
          </cell>
          <cell r="TI19">
            <v>0</v>
          </cell>
          <cell r="TJ19">
            <v>0</v>
          </cell>
          <cell r="TK19">
            <v>62536.464700000361</v>
          </cell>
          <cell r="TL19">
            <v>62536.464700000361</v>
          </cell>
          <cell r="TM19">
            <v>31268.232350001112</v>
          </cell>
        </row>
        <row r="20">
          <cell r="TE20">
            <v>62024.529999991879</v>
          </cell>
          <cell r="TF20">
            <v>124049.05999998376</v>
          </cell>
          <cell r="TG20">
            <v>62024.529999991879</v>
          </cell>
          <cell r="TH20">
            <v>62024.529999991879</v>
          </cell>
          <cell r="TI20">
            <v>0</v>
          </cell>
          <cell r="TJ20">
            <v>0</v>
          </cell>
          <cell r="TK20">
            <v>62024.529999991879</v>
          </cell>
          <cell r="TL20">
            <v>62024.529999991879</v>
          </cell>
          <cell r="TM20">
            <v>31012.264999995008</v>
          </cell>
        </row>
        <row r="21">
          <cell r="TE21">
            <v>57380.495000002906</v>
          </cell>
          <cell r="TF21">
            <v>114760.99000000581</v>
          </cell>
          <cell r="TG21">
            <v>57380.495000002906</v>
          </cell>
          <cell r="TH21">
            <v>57380.495000002906</v>
          </cell>
          <cell r="TI21">
            <v>0</v>
          </cell>
          <cell r="TJ21">
            <v>0</v>
          </cell>
          <cell r="TK21">
            <v>57380.495000002906</v>
          </cell>
          <cell r="TL21">
            <v>57380.495000002906</v>
          </cell>
          <cell r="TM21">
            <v>28690.247500002384</v>
          </cell>
        </row>
        <row r="22">
          <cell r="TE22">
            <v>57239.353000001982</v>
          </cell>
          <cell r="TF22">
            <v>114478.70600000396</v>
          </cell>
          <cell r="TG22">
            <v>57239.353000001982</v>
          </cell>
          <cell r="TH22">
            <v>57239.353000001982</v>
          </cell>
          <cell r="TI22">
            <v>0</v>
          </cell>
          <cell r="TJ22">
            <v>0</v>
          </cell>
          <cell r="TK22">
            <v>57239.353000001982</v>
          </cell>
          <cell r="TL22">
            <v>57239.353000001982</v>
          </cell>
          <cell r="TM22">
            <v>28619.67650000006</v>
          </cell>
        </row>
        <row r="23">
          <cell r="TE23">
            <v>45958.809999989346</v>
          </cell>
          <cell r="TF23">
            <v>91917.619999978691</v>
          </cell>
          <cell r="TG23">
            <v>45958.809999989346</v>
          </cell>
          <cell r="TH23">
            <v>45958.809999989346</v>
          </cell>
          <cell r="TI23">
            <v>0</v>
          </cell>
          <cell r="TJ23">
            <v>0</v>
          </cell>
          <cell r="TK23">
            <v>45958.809999989346</v>
          </cell>
          <cell r="TL23">
            <v>45958.809999989346</v>
          </cell>
          <cell r="TM23">
            <v>22979.404999993742</v>
          </cell>
        </row>
        <row r="24">
          <cell r="TE24">
            <v>46783.193000005558</v>
          </cell>
          <cell r="TF24">
            <v>93566.386000011116</v>
          </cell>
          <cell r="TG24">
            <v>46783.193000005558</v>
          </cell>
          <cell r="TH24">
            <v>46783.193000005558</v>
          </cell>
          <cell r="TI24">
            <v>0</v>
          </cell>
          <cell r="TJ24">
            <v>0</v>
          </cell>
          <cell r="TK24">
            <v>46783.193000005558</v>
          </cell>
          <cell r="TL24">
            <v>46783.193000005558</v>
          </cell>
          <cell r="TM24">
            <v>23391.59650000371</v>
          </cell>
        </row>
        <row r="25">
          <cell r="TE25">
            <v>43761.936000004411</v>
          </cell>
          <cell r="TF25">
            <v>87523.872000008821</v>
          </cell>
          <cell r="TG25">
            <v>43761.936000004411</v>
          </cell>
          <cell r="TH25">
            <v>43761.936000004411</v>
          </cell>
          <cell r="TI25">
            <v>0</v>
          </cell>
          <cell r="TJ25">
            <v>0</v>
          </cell>
          <cell r="TK25">
            <v>43761.936000004411</v>
          </cell>
          <cell r="TL25">
            <v>43761.936000004411</v>
          </cell>
          <cell r="TM25">
            <v>21880.968000002205</v>
          </cell>
        </row>
        <row r="26">
          <cell r="TE26">
            <v>46003.512000001967</v>
          </cell>
          <cell r="TF26">
            <v>92007.024000003934</v>
          </cell>
          <cell r="TG26">
            <v>46003.512000001967</v>
          </cell>
          <cell r="TH26">
            <v>46003.512000001967</v>
          </cell>
          <cell r="TI26">
            <v>0</v>
          </cell>
          <cell r="TJ26">
            <v>0</v>
          </cell>
          <cell r="TK26">
            <v>46003.512000001967</v>
          </cell>
          <cell r="TL26">
            <v>46003.512000001967</v>
          </cell>
          <cell r="TM26">
            <v>23001.756000000983</v>
          </cell>
        </row>
        <row r="27">
          <cell r="TE27">
            <v>0</v>
          </cell>
          <cell r="TF27">
            <v>0</v>
          </cell>
          <cell r="TG27">
            <v>0</v>
          </cell>
          <cell r="TH27">
            <v>0</v>
          </cell>
          <cell r="TI27">
            <v>0</v>
          </cell>
          <cell r="TJ27">
            <v>0</v>
          </cell>
          <cell r="TK27">
            <v>0</v>
          </cell>
          <cell r="TL27">
            <v>0</v>
          </cell>
          <cell r="TM27">
            <v>0</v>
          </cell>
        </row>
        <row r="28">
          <cell r="TE28">
            <v>0</v>
          </cell>
          <cell r="TF28">
            <v>0</v>
          </cell>
          <cell r="TG28">
            <v>0</v>
          </cell>
          <cell r="TH28">
            <v>0</v>
          </cell>
          <cell r="TI28">
            <v>0</v>
          </cell>
          <cell r="TJ28">
            <v>0</v>
          </cell>
          <cell r="TK28">
            <v>0</v>
          </cell>
          <cell r="TL28">
            <v>0</v>
          </cell>
          <cell r="TM28">
            <v>0</v>
          </cell>
        </row>
        <row r="29">
          <cell r="TE29">
            <v>0</v>
          </cell>
          <cell r="TF29">
            <v>0</v>
          </cell>
          <cell r="TG29">
            <v>0</v>
          </cell>
          <cell r="TH29">
            <v>0</v>
          </cell>
          <cell r="TI29">
            <v>0</v>
          </cell>
          <cell r="TJ29">
            <v>0</v>
          </cell>
          <cell r="TK29">
            <v>0</v>
          </cell>
          <cell r="TL29">
            <v>0</v>
          </cell>
          <cell r="TM29">
            <v>0</v>
          </cell>
        </row>
        <row r="30">
          <cell r="TE30">
            <v>0</v>
          </cell>
          <cell r="TF30">
            <v>0</v>
          </cell>
          <cell r="TG30">
            <v>0</v>
          </cell>
          <cell r="TH30">
            <v>0</v>
          </cell>
          <cell r="TI30">
            <v>0</v>
          </cell>
          <cell r="TJ30">
            <v>0</v>
          </cell>
          <cell r="TK30">
            <v>0</v>
          </cell>
          <cell r="TL30">
            <v>0</v>
          </cell>
          <cell r="TM30">
            <v>0</v>
          </cell>
        </row>
        <row r="31">
          <cell r="TE31">
            <v>0</v>
          </cell>
          <cell r="TF31">
            <v>0</v>
          </cell>
          <cell r="TG31">
            <v>0</v>
          </cell>
          <cell r="TH31">
            <v>0</v>
          </cell>
          <cell r="TI31">
            <v>0</v>
          </cell>
          <cell r="TJ31">
            <v>0</v>
          </cell>
          <cell r="TK31">
            <v>0</v>
          </cell>
          <cell r="TL31">
            <v>0</v>
          </cell>
          <cell r="TM31">
            <v>0</v>
          </cell>
        </row>
        <row r="32">
          <cell r="TE32">
            <v>0</v>
          </cell>
          <cell r="TF32">
            <v>0</v>
          </cell>
          <cell r="TG32">
            <v>0</v>
          </cell>
          <cell r="TH32">
            <v>0</v>
          </cell>
          <cell r="TI32">
            <v>0</v>
          </cell>
          <cell r="TJ32">
            <v>0</v>
          </cell>
          <cell r="TK32">
            <v>0</v>
          </cell>
          <cell r="TL32">
            <v>0</v>
          </cell>
          <cell r="TM32">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nd Constant Inputs"/>
      <sheetName val="Graphical Scenario Summary"/>
      <sheetName val="Scenario Data"/>
      <sheetName val="Gas Flow by State"/>
      <sheetName val="Emissions by State"/>
      <sheetName val="Demand by State by ST"/>
      <sheetName val="Compliance Resources by State"/>
      <sheetName val="Gas Supply Commodity Costs"/>
      <sheetName val="Conventional Supply Quantities"/>
      <sheetName val="Basin Weights"/>
      <sheetName val="Star Road Flow"/>
      <sheetName val="WACOG Calc"/>
      <sheetName val="Fixed Contracts"/>
      <sheetName val="MC_Supply Price RNG Tranche 1"/>
      <sheetName val="MC_Supply Price RNG Tranche 2"/>
      <sheetName val="MC_Supply Price Hydrogen"/>
      <sheetName val="MC_Supply Price Synthetic Metha"/>
      <sheetName val="MC_Supply Price WA Compliance C"/>
      <sheetName val="MC_Allowance Price"/>
      <sheetName val="MC_Supply Price Offsets"/>
      <sheetName val="OR CCI Price"/>
      <sheetName val="Load Reductions"/>
      <sheetName val="Demand-Side Costs"/>
      <sheetName val="Oregon DSM Scenario Costs"/>
      <sheetName val="Washington DSM Scenario Costs"/>
    </sheetNames>
    <sheetDataSet>
      <sheetData sheetId="0"/>
      <sheetData sheetId="1"/>
      <sheetData sheetId="2"/>
      <sheetData sheetId="3"/>
      <sheetData sheetId="4"/>
      <sheetData sheetId="5"/>
      <sheetData sheetId="6"/>
      <sheetData sheetId="7"/>
      <sheetData sheetId="8"/>
      <sheetData sheetId="9"/>
      <sheetData sheetId="10"/>
      <sheetData sheetId="11">
        <row r="49">
          <cell r="C49">
            <v>4.5047009327567027</v>
          </cell>
          <cell r="D49">
            <v>4.5024177616033114</v>
          </cell>
          <cell r="E49">
            <v>4.5019304550489823</v>
          </cell>
          <cell r="F49">
            <v>4.5024177616131817</v>
          </cell>
          <cell r="G49">
            <v>4.5024177616221444</v>
          </cell>
          <cell r="H49">
            <v>4.5056423782424764</v>
          </cell>
          <cell r="I49">
            <v>4.5056423780954882</v>
          </cell>
          <cell r="J49">
            <v>4.5024177616349634</v>
          </cell>
          <cell r="K49">
            <v>4.5024177616193883</v>
          </cell>
          <cell r="L49">
            <v>4.5024177616352734</v>
          </cell>
        </row>
        <row r="50">
          <cell r="C50">
            <v>4.1292905945771459</v>
          </cell>
          <cell r="D50">
            <v>4.1235761295627631</v>
          </cell>
          <cell r="E50">
            <v>4.1183824226562269</v>
          </cell>
          <cell r="F50">
            <v>4.1228916624435445</v>
          </cell>
          <cell r="G50">
            <v>4.1235761295795719</v>
          </cell>
          <cell r="H50">
            <v>4.128230896009244</v>
          </cell>
          <cell r="I50">
            <v>4.1255699543684043</v>
          </cell>
          <cell r="J50">
            <v>4.1235761295718154</v>
          </cell>
          <cell r="K50">
            <v>4.1235761296000675</v>
          </cell>
          <cell r="L50">
            <v>4.1235772077644306</v>
          </cell>
        </row>
        <row r="51">
          <cell r="C51">
            <v>3.3710728052807855</v>
          </cell>
          <cell r="D51">
            <v>3.3695812855410625</v>
          </cell>
          <cell r="E51">
            <v>3.365984353271315</v>
          </cell>
          <cell r="F51">
            <v>3.3670999784635307</v>
          </cell>
          <cell r="G51">
            <v>3.3696018081539547</v>
          </cell>
          <cell r="H51">
            <v>3.3702713618086424</v>
          </cell>
          <cell r="I51">
            <v>3.360513445553448</v>
          </cell>
          <cell r="J51">
            <v>3.369581285532238</v>
          </cell>
          <cell r="K51">
            <v>3.3695812855048137</v>
          </cell>
          <cell r="L51">
            <v>3.3695679298055468</v>
          </cell>
        </row>
        <row r="52">
          <cell r="C52">
            <v>3.3878442598123213</v>
          </cell>
          <cell r="D52">
            <v>3.3867495054590675</v>
          </cell>
          <cell r="E52">
            <v>3.3840853985210733</v>
          </cell>
          <cell r="F52">
            <v>3.3820215456587492</v>
          </cell>
          <cell r="G52">
            <v>3.3867081029157977</v>
          </cell>
          <cell r="H52">
            <v>3.3898584988640814</v>
          </cell>
          <cell r="I52">
            <v>3.3629737729567575</v>
          </cell>
          <cell r="J52">
            <v>3.3867315231730024</v>
          </cell>
          <cell r="K52">
            <v>3.3867315231780983</v>
          </cell>
          <cell r="L52">
            <v>3.3865768854239513</v>
          </cell>
        </row>
        <row r="53">
          <cell r="C53">
            <v>3.9342255821981684</v>
          </cell>
          <cell r="D53">
            <v>3.9412338231571442</v>
          </cell>
          <cell r="E53">
            <v>3.9421461900979597</v>
          </cell>
          <cell r="F53">
            <v>3.9409329718526513</v>
          </cell>
          <cell r="G53">
            <v>3.943267836537323</v>
          </cell>
          <cell r="H53">
            <v>3.946995542818986</v>
          </cell>
          <cell r="I53">
            <v>3.9083440246424908</v>
          </cell>
          <cell r="J53">
            <v>3.937810933628564</v>
          </cell>
          <cell r="K53">
            <v>3.9378109336345704</v>
          </cell>
          <cell r="L53">
            <v>3.9381656519151282</v>
          </cell>
        </row>
        <row r="54">
          <cell r="C54">
            <v>4.1756969732725722</v>
          </cell>
          <cell r="D54">
            <v>4.1770601765343471</v>
          </cell>
          <cell r="E54">
            <v>4.1781414608771588</v>
          </cell>
          <cell r="F54">
            <v>4.1711837260876905</v>
          </cell>
          <cell r="G54">
            <v>4.1774780544749639</v>
          </cell>
          <cell r="H54">
            <v>4.178617788332895</v>
          </cell>
          <cell r="I54">
            <v>4.1326906405769979</v>
          </cell>
          <cell r="J54">
            <v>4.1770050244501231</v>
          </cell>
          <cell r="K54">
            <v>4.1770050244565029</v>
          </cell>
          <cell r="L54">
            <v>4.1767245359259384</v>
          </cell>
        </row>
        <row r="55">
          <cell r="C55">
            <v>4.0481231129412976</v>
          </cell>
          <cell r="D55">
            <v>4.0386831530791447</v>
          </cell>
          <cell r="E55">
            <v>4.0390041786022284</v>
          </cell>
          <cell r="F55">
            <v>4.0149843278368262</v>
          </cell>
          <cell r="G55">
            <v>4.043867502102243</v>
          </cell>
          <cell r="H55">
            <v>4.0423048070945926</v>
          </cell>
          <cell r="I55">
            <v>3.968202695278392</v>
          </cell>
          <cell r="J55">
            <v>4.046710584549575</v>
          </cell>
          <cell r="K55">
            <v>4.0467105845678928</v>
          </cell>
          <cell r="L55">
            <v>4.0435243341398497</v>
          </cell>
        </row>
        <row r="56">
          <cell r="C56">
            <v>3.6962575059675138</v>
          </cell>
          <cell r="D56">
            <v>3.6863635799039818</v>
          </cell>
          <cell r="E56">
            <v>3.6882187891883529</v>
          </cell>
          <cell r="F56">
            <v>3.6548791901235518</v>
          </cell>
          <cell r="G56">
            <v>3.6873873260460148</v>
          </cell>
          <cell r="H56">
            <v>3.6848995430987261</v>
          </cell>
          <cell r="I56">
            <v>3.6009532844074661</v>
          </cell>
          <cell r="J56">
            <v>3.6945520280632915</v>
          </cell>
          <cell r="K56">
            <v>3.6945520280162993</v>
          </cell>
          <cell r="L56">
            <v>3.6913775285126258</v>
          </cell>
        </row>
        <row r="57">
          <cell r="C57">
            <v>3.4376019099532074</v>
          </cell>
          <cell r="D57">
            <v>3.4249269062539764</v>
          </cell>
          <cell r="E57">
            <v>3.4273067880587353</v>
          </cell>
          <cell r="F57">
            <v>3.3904576012240195</v>
          </cell>
          <cell r="G57">
            <v>3.4212597606255648</v>
          </cell>
          <cell r="H57">
            <v>3.4161136097231943</v>
          </cell>
          <cell r="I57">
            <v>3.3221934126550723</v>
          </cell>
          <cell r="J57">
            <v>3.4326543329335286</v>
          </cell>
          <cell r="K57">
            <v>3.4326543328665609</v>
          </cell>
          <cell r="L57">
            <v>3.4305720124716506</v>
          </cell>
        </row>
        <row r="58">
          <cell r="C58">
            <v>3.4580493151148923</v>
          </cell>
          <cell r="D58">
            <v>3.4436634944844853</v>
          </cell>
          <cell r="E58">
            <v>3.4468163318612302</v>
          </cell>
          <cell r="F58">
            <v>3.4073896117918872</v>
          </cell>
          <cell r="G58">
            <v>3.4365932437312909</v>
          </cell>
          <cell r="H58">
            <v>3.4303589027195209</v>
          </cell>
          <cell r="I58">
            <v>3.32714819813107</v>
          </cell>
          <cell r="J58">
            <v>3.4500274809062472</v>
          </cell>
          <cell r="K58">
            <v>3.4500274809127847</v>
          </cell>
          <cell r="L58">
            <v>3.4491189181064241</v>
          </cell>
        </row>
        <row r="59">
          <cell r="C59">
            <v>3.5130185968887555</v>
          </cell>
          <cell r="D59">
            <v>3.492729511996588</v>
          </cell>
          <cell r="E59">
            <v>3.4954537487556894</v>
          </cell>
          <cell r="F59">
            <v>3.4489126156594141</v>
          </cell>
          <cell r="G59">
            <v>3.4796938215694704</v>
          </cell>
          <cell r="H59">
            <v>3.4695740365617156</v>
          </cell>
          <cell r="I59">
            <v>3.341678852263875</v>
          </cell>
          <cell r="J59">
            <v>3.4993363988969715</v>
          </cell>
          <cell r="K59">
            <v>3.4993363988802169</v>
          </cell>
          <cell r="L59">
            <v>3.4997156045191238</v>
          </cell>
        </row>
        <row r="60">
          <cell r="C60">
            <v>3.5368885437239772</v>
          </cell>
          <cell r="D60">
            <v>3.513873892863991</v>
          </cell>
          <cell r="E60">
            <v>3.5165476056867422</v>
          </cell>
          <cell r="F60">
            <v>3.462958578355098</v>
          </cell>
          <cell r="G60">
            <v>3.4964228484301119</v>
          </cell>
          <cell r="H60">
            <v>3.4823297335228705</v>
          </cell>
          <cell r="I60">
            <v>3.3320505083876251</v>
          </cell>
          <cell r="J60">
            <v>3.5206274833370124</v>
          </cell>
          <cell r="K60">
            <v>3.5206274833268072</v>
          </cell>
          <cell r="L60">
            <v>3.5223651266000275</v>
          </cell>
        </row>
        <row r="61">
          <cell r="C61">
            <v>3.5735793671440303</v>
          </cell>
          <cell r="D61">
            <v>3.5461521680360977</v>
          </cell>
          <cell r="E61">
            <v>3.548914548027295</v>
          </cell>
          <cell r="F61">
            <v>3.4852088064565372</v>
          </cell>
          <cell r="G61">
            <v>3.5256914837338891</v>
          </cell>
          <cell r="H61">
            <v>3.5005296760916496</v>
          </cell>
          <cell r="I61">
            <v>3.3471178950169649</v>
          </cell>
          <cell r="J61">
            <v>3.5530873830242591</v>
          </cell>
          <cell r="K61">
            <v>3.5530873830460212</v>
          </cell>
          <cell r="L61">
            <v>3.5560019699488659</v>
          </cell>
        </row>
        <row r="62">
          <cell r="C62">
            <v>3.5839461624550752</v>
          </cell>
          <cell r="D62">
            <v>3.5524950287718458</v>
          </cell>
          <cell r="E62">
            <v>3.5548678815506913</v>
          </cell>
          <cell r="F62">
            <v>3.4852168408508679</v>
          </cell>
          <cell r="G62">
            <v>3.5285364301955675</v>
          </cell>
          <cell r="H62">
            <v>3.4985802763702174</v>
          </cell>
          <cell r="I62">
            <v>3.3701504017566677</v>
          </cell>
          <cell r="J62">
            <v>3.559430903768162</v>
          </cell>
          <cell r="K62">
            <v>3.5594309038306018</v>
          </cell>
          <cell r="L62">
            <v>3.5636068996914942</v>
          </cell>
        </row>
        <row r="63">
          <cell r="C63">
            <v>3.6443598663450714</v>
          </cell>
          <cell r="D63">
            <v>3.6076033760143806</v>
          </cell>
          <cell r="E63">
            <v>3.6085413082541513</v>
          </cell>
          <cell r="F63">
            <v>3.5363660679696296</v>
          </cell>
          <cell r="G63">
            <v>3.5806777786885995</v>
          </cell>
          <cell r="H63">
            <v>3.5441647036519144</v>
          </cell>
          <cell r="I63">
            <v>3.3896761975453114</v>
          </cell>
          <cell r="J63">
            <v>3.6142335889470414</v>
          </cell>
          <cell r="K63">
            <v>3.614233588913307</v>
          </cell>
          <cell r="L63">
            <v>3.6197373919121594</v>
          </cell>
        </row>
        <row r="64">
          <cell r="C64">
            <v>3.6693730545684771</v>
          </cell>
          <cell r="D64">
            <v>3.6302435290696269</v>
          </cell>
          <cell r="E64">
            <v>3.630446615382251</v>
          </cell>
          <cell r="F64">
            <v>3.5468948328441838</v>
          </cell>
          <cell r="G64">
            <v>3.5955730119406417</v>
          </cell>
          <cell r="H64">
            <v>3.5568881684963229</v>
          </cell>
          <cell r="I64">
            <v>3.3786095964175846</v>
          </cell>
          <cell r="J64">
            <v>3.6372417030299138</v>
          </cell>
          <cell r="K64">
            <v>3.637241703097585</v>
          </cell>
          <cell r="L64">
            <v>3.6441779841577309</v>
          </cell>
        </row>
        <row r="65">
          <cell r="C65">
            <v>3.6913669387607637</v>
          </cell>
          <cell r="D65">
            <v>3.6777971853943403</v>
          </cell>
          <cell r="E65">
            <v>3.6768987549594927</v>
          </cell>
          <cell r="F65">
            <v>3.5921133544448733</v>
          </cell>
          <cell r="G65">
            <v>3.6429748265822033</v>
          </cell>
          <cell r="H65">
            <v>3.5992180775086782</v>
          </cell>
          <cell r="I65">
            <v>3.4207746062668902</v>
          </cell>
          <cell r="J65">
            <v>3.6842547217797397</v>
          </cell>
          <cell r="K65">
            <v>3.6842547217843937</v>
          </cell>
          <cell r="L65">
            <v>3.691772247117278</v>
          </cell>
        </row>
        <row r="66">
          <cell r="C66">
            <v>3.7708942216689927</v>
          </cell>
          <cell r="D66">
            <v>3.7522485656750741</v>
          </cell>
          <cell r="E66">
            <v>3.7500807654465431</v>
          </cell>
          <cell r="F66">
            <v>3.6635342671312476</v>
          </cell>
          <cell r="G66">
            <v>3.7161757254011638</v>
          </cell>
          <cell r="H66">
            <v>3.667307554817576</v>
          </cell>
          <cell r="I66">
            <v>3.4787879827793655</v>
          </cell>
          <cell r="J66">
            <v>3.7587766331561037</v>
          </cell>
          <cell r="K66">
            <v>3.7587766331748491</v>
          </cell>
          <cell r="L66">
            <v>3.7666941066810478</v>
          </cell>
        </row>
        <row r="67">
          <cell r="C67">
            <v>3.9774988820562851</v>
          </cell>
          <cell r="D67">
            <v>3.9465795547343978</v>
          </cell>
          <cell r="E67">
            <v>3.9398616853366497</v>
          </cell>
          <cell r="F67">
            <v>3.8519584780295224</v>
          </cell>
          <cell r="G67">
            <v>3.9054419504073348</v>
          </cell>
          <cell r="H67">
            <v>3.8457142998643183</v>
          </cell>
          <cell r="I67">
            <v>3.6368114618504688</v>
          </cell>
          <cell r="J67">
            <v>3.9525347897047305</v>
          </cell>
          <cell r="K67">
            <v>3.9525347896991141</v>
          </cell>
          <cell r="L67">
            <v>3.9612203296690587</v>
          </cell>
        </row>
        <row r="68">
          <cell r="C68">
            <v>4.0656028225976177</v>
          </cell>
          <cell r="D68">
            <v>4.0353142940278097</v>
          </cell>
          <cell r="E68">
            <v>4.0253063473642063</v>
          </cell>
          <cell r="F68">
            <v>3.9381892319914629</v>
          </cell>
          <cell r="G68">
            <v>3.9943416547984647</v>
          </cell>
          <cell r="H68">
            <v>3.9307865199006957</v>
          </cell>
          <cell r="I68">
            <v>3.7136714735098275</v>
          </cell>
          <cell r="J68">
            <v>4.0415770987456101</v>
          </cell>
          <cell r="K68">
            <v>4.0415770987385971</v>
          </cell>
          <cell r="L68">
            <v>4.0508486773403325</v>
          </cell>
        </row>
        <row r="69">
          <cell r="C69">
            <v>4.0862996979427164</v>
          </cell>
          <cell r="D69">
            <v>4.050301626310806</v>
          </cell>
          <cell r="E69">
            <v>4.0388178200702454</v>
          </cell>
          <cell r="F69">
            <v>3.9426671501188828</v>
          </cell>
          <cell r="G69">
            <v>4.0065660028635657</v>
          </cell>
          <cell r="H69">
            <v>3.9368884553694725</v>
          </cell>
          <cell r="I69">
            <v>3.6747959230689853</v>
          </cell>
          <cell r="J69">
            <v>4.056796848106778</v>
          </cell>
          <cell r="K69">
            <v>4.0567968482037848</v>
          </cell>
          <cell r="L69">
            <v>4.0674208141921637</v>
          </cell>
        </row>
        <row r="70">
          <cell r="C70">
            <v>4.0551099828426675</v>
          </cell>
          <cell r="D70">
            <v>4.0142092699353515</v>
          </cell>
          <cell r="E70">
            <v>4.0028781361893131</v>
          </cell>
          <cell r="F70">
            <v>3.8980709236047906</v>
          </cell>
          <cell r="G70">
            <v>3.9690714779283374</v>
          </cell>
          <cell r="H70">
            <v>3.8886971426475867</v>
          </cell>
          <cell r="I70">
            <v>3.5976862719205824</v>
          </cell>
          <cell r="J70">
            <v>4.0220427757261756</v>
          </cell>
          <cell r="K70">
            <v>4.0220427757785133</v>
          </cell>
          <cell r="L70">
            <v>4.0341502993365976</v>
          </cell>
        </row>
        <row r="71">
          <cell r="C71">
            <v>4.2603572813758426</v>
          </cell>
          <cell r="D71">
            <v>4.2128591811741734</v>
          </cell>
          <cell r="E71">
            <v>4.2005549395140545</v>
          </cell>
          <cell r="F71">
            <v>4.0895701751765321</v>
          </cell>
          <cell r="G71">
            <v>4.1620732694661999</v>
          </cell>
          <cell r="H71">
            <v>4.0812959528142665</v>
          </cell>
          <cell r="I71">
            <v>3.8107794940566229</v>
          </cell>
          <cell r="J71">
            <v>4.2222931680153177</v>
          </cell>
          <cell r="K71">
            <v>4.2222931679908982</v>
          </cell>
          <cell r="L71">
            <v>4.2360061900379415</v>
          </cell>
        </row>
        <row r="72">
          <cell r="C72">
            <v>4.361266263937603</v>
          </cell>
          <cell r="D72">
            <v>4.3111906933630815</v>
          </cell>
          <cell r="E72">
            <v>4.2972988216551604</v>
          </cell>
          <cell r="F72">
            <v>4.1898558544861659</v>
          </cell>
          <cell r="G72">
            <v>4.2588054329416494</v>
          </cell>
          <cell r="H72">
            <v>4.1851255186607172</v>
          </cell>
          <cell r="I72">
            <v>3.8699902899238041</v>
          </cell>
          <cell r="J72">
            <v>4.3182871457929402</v>
          </cell>
          <cell r="K72">
            <v>4.3182871457750798</v>
          </cell>
          <cell r="L72">
            <v>4.3336338162789287</v>
          </cell>
        </row>
        <row r="73">
          <cell r="C73">
            <v>4.4064987112551979</v>
          </cell>
          <cell r="D73">
            <v>4.352288148720068</v>
          </cell>
          <cell r="E73">
            <v>4.3359938619759797</v>
          </cell>
          <cell r="F73">
            <v>4.2296845518592372</v>
          </cell>
          <cell r="G73">
            <v>4.2965526131007721</v>
          </cell>
          <cell r="H73">
            <v>4.2099040279003344</v>
          </cell>
          <cell r="I73">
            <v>3.9288948654356974</v>
          </cell>
          <cell r="J73">
            <v>4.3592178027611101</v>
          </cell>
          <cell r="K73">
            <v>4.3592178027890007</v>
          </cell>
          <cell r="L73">
            <v>4.3753000146760277</v>
          </cell>
        </row>
        <row r="74">
          <cell r="C74">
            <v>4.5027513476427492</v>
          </cell>
          <cell r="D74">
            <v>4.4447116529880786</v>
          </cell>
          <cell r="E74">
            <v>4.4253241373285181</v>
          </cell>
          <cell r="F74">
            <v>4.3057982364108174</v>
          </cell>
          <cell r="G74">
            <v>4.3857722558733547</v>
          </cell>
          <cell r="H74">
            <v>4.2656574260057427</v>
          </cell>
          <cell r="I74">
            <v>4.0177667213342243</v>
          </cell>
          <cell r="J74">
            <v>4.451960301848823</v>
          </cell>
          <cell r="K74">
            <v>4.4519603018072118</v>
          </cell>
          <cell r="L74">
            <v>4.4690162585062154</v>
          </cell>
        </row>
        <row r="75">
          <cell r="C75">
            <v>4.7042654840041109</v>
          </cell>
          <cell r="D75">
            <v>4.6373431699786236</v>
          </cell>
          <cell r="E75">
            <v>4.6133985564962572</v>
          </cell>
          <cell r="F75">
            <v>4.5241727834859375</v>
          </cell>
          <cell r="G75">
            <v>4.5709015941451243</v>
          </cell>
          <cell r="H75">
            <v>4.5102561358589401</v>
          </cell>
          <cell r="I75">
            <v>4.1980267025263966</v>
          </cell>
          <cell r="J75">
            <v>4.6447615678293053</v>
          </cell>
          <cell r="K75">
            <v>4.6447615678944638</v>
          </cell>
          <cell r="L75">
            <v>4.6626366092030196</v>
          </cell>
        </row>
        <row r="76">
          <cell r="C76">
            <v>4.8534161872612875</v>
          </cell>
          <cell r="D76">
            <v>4.7713619203691042</v>
          </cell>
          <cell r="E76">
            <v>4.7446519924627761</v>
          </cell>
          <cell r="F76">
            <v>4.6408489217550359</v>
          </cell>
          <cell r="G76">
            <v>4.7011625589912649</v>
          </cell>
          <cell r="H76">
            <v>4.5994608678601256</v>
          </cell>
          <cell r="I76">
            <v>4.3538962743593581</v>
          </cell>
          <cell r="J76">
            <v>4.7780782257386809</v>
          </cell>
          <cell r="K76">
            <v>4.7780782257878132</v>
          </cell>
          <cell r="L76">
            <v>4.7968896136586334</v>
          </cell>
        </row>
        <row r="77">
          <cell r="C77">
            <v>5.0911993324354556</v>
          </cell>
          <cell r="D77">
            <v>4.9907904981615623</v>
          </cell>
          <cell r="E77">
            <v>4.977915972202525</v>
          </cell>
          <cell r="F77">
            <v>4.9007414613828342</v>
          </cell>
          <cell r="G77">
            <v>4.9573502339054833</v>
          </cell>
          <cell r="H77">
            <v>4.8302817950352726</v>
          </cell>
          <cell r="I77">
            <v>4.5976408275586529</v>
          </cell>
          <cell r="J77">
            <v>4.9932412251712002</v>
          </cell>
          <cell r="K77">
            <v>4.9932412252323921</v>
          </cell>
          <cell r="L77">
            <v>5.0025412423016702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74451-D02F-42AC-B328-AF81E51C478A}">
  <sheetPr>
    <tabColor rgb="FF1CC29E"/>
  </sheetPr>
  <dimension ref="A1:P86"/>
  <sheetViews>
    <sheetView topLeftCell="A4" workbookViewId="0">
      <selection activeCell="E39" sqref="E39"/>
    </sheetView>
  </sheetViews>
  <sheetFormatPr defaultRowHeight="15" x14ac:dyDescent="0.25"/>
  <cols>
    <col min="1" max="1" width="11.42578125" customWidth="1"/>
    <col min="2" max="2" width="42.28515625" bestFit="1" customWidth="1"/>
    <col min="3" max="3" width="61" customWidth="1"/>
    <col min="4" max="6" width="39.140625" customWidth="1"/>
    <col min="7" max="8" width="14.42578125" customWidth="1"/>
    <col min="9" max="9" width="16.140625" customWidth="1"/>
    <col min="10" max="10" width="15.28515625" customWidth="1"/>
    <col min="11" max="11" width="3.140625" customWidth="1"/>
    <col min="12" max="12" width="178.7109375" customWidth="1"/>
    <col min="13" max="13" width="2.7109375" customWidth="1"/>
    <col min="14" max="14" width="13.5703125" customWidth="1"/>
    <col min="15" max="15" width="193.140625" customWidth="1"/>
  </cols>
  <sheetData>
    <row r="1" spans="1:6" ht="15" customHeight="1" x14ac:dyDescent="0.25">
      <c r="B1" s="259" t="s">
        <v>408</v>
      </c>
      <c r="C1" s="259"/>
      <c r="D1" s="171"/>
      <c r="E1" s="171"/>
      <c r="F1" s="171"/>
    </row>
    <row r="2" spans="1:6" x14ac:dyDescent="0.25">
      <c r="B2" s="259"/>
      <c r="C2" s="259"/>
      <c r="D2" s="171"/>
      <c r="E2" s="171"/>
      <c r="F2" s="171"/>
    </row>
    <row r="3" spans="1:6" x14ac:dyDescent="0.25">
      <c r="B3" s="259"/>
      <c r="C3" s="259"/>
      <c r="D3" s="171"/>
      <c r="E3" s="171"/>
      <c r="F3" s="171"/>
    </row>
    <row r="4" spans="1:6" x14ac:dyDescent="0.25">
      <c r="B4" s="259"/>
      <c r="C4" s="259"/>
      <c r="D4" s="171"/>
      <c r="E4" s="171"/>
      <c r="F4" s="171"/>
    </row>
    <row r="5" spans="1:6" ht="15.75" thickBot="1" x14ac:dyDescent="0.3">
      <c r="B5" s="171"/>
      <c r="C5" s="171"/>
      <c r="D5" s="171"/>
      <c r="E5" s="171"/>
      <c r="F5" s="171"/>
    </row>
    <row r="6" spans="1:6" ht="15.75" thickBot="1" x14ac:dyDescent="0.3">
      <c r="A6" s="274" t="s">
        <v>601</v>
      </c>
      <c r="B6" s="267" t="s">
        <v>450</v>
      </c>
      <c r="C6" s="268"/>
      <c r="D6" s="204"/>
      <c r="E6" s="204"/>
      <c r="F6" s="204"/>
    </row>
    <row r="7" spans="1:6" x14ac:dyDescent="0.25">
      <c r="A7" s="274"/>
      <c r="B7" s="175" t="s">
        <v>456</v>
      </c>
      <c r="C7" s="170" t="s">
        <v>455</v>
      </c>
      <c r="D7" s="204"/>
      <c r="E7" s="204"/>
      <c r="F7" s="204"/>
    </row>
    <row r="8" spans="1:6" x14ac:dyDescent="0.25">
      <c r="A8" s="274"/>
      <c r="B8" s="176"/>
      <c r="C8" s="177" t="s">
        <v>451</v>
      </c>
      <c r="D8" s="205"/>
      <c r="E8" s="205"/>
      <c r="F8" s="205"/>
    </row>
    <row r="9" spans="1:6" x14ac:dyDescent="0.25">
      <c r="A9" s="274"/>
      <c r="B9" s="178"/>
      <c r="C9" s="177" t="s">
        <v>501</v>
      </c>
      <c r="D9" s="205"/>
      <c r="E9" s="205"/>
      <c r="F9" s="205"/>
    </row>
    <row r="10" spans="1:6" x14ac:dyDescent="0.25">
      <c r="A10" s="274"/>
      <c r="B10" s="240"/>
      <c r="C10" s="177" t="s">
        <v>580</v>
      </c>
      <c r="D10" s="205"/>
      <c r="E10" s="205"/>
      <c r="F10" s="205"/>
    </row>
    <row r="11" spans="1:6" ht="30" x14ac:dyDescent="0.25">
      <c r="A11" s="274"/>
      <c r="B11" s="241"/>
      <c r="C11" s="177" t="s">
        <v>579</v>
      </c>
      <c r="D11" s="205"/>
      <c r="E11" s="205"/>
      <c r="F11" s="205"/>
    </row>
    <row r="12" spans="1:6" x14ac:dyDescent="0.25">
      <c r="A12" s="274"/>
      <c r="B12" s="179"/>
      <c r="C12" s="177" t="s">
        <v>452</v>
      </c>
      <c r="D12" s="205"/>
      <c r="E12" s="205"/>
      <c r="F12" s="205"/>
    </row>
    <row r="13" spans="1:6" x14ac:dyDescent="0.25">
      <c r="A13" s="274"/>
      <c r="B13" s="180"/>
      <c r="C13" s="177" t="s">
        <v>454</v>
      </c>
      <c r="D13" s="205"/>
      <c r="E13" s="205"/>
      <c r="F13" s="205"/>
    </row>
    <row r="14" spans="1:6" x14ac:dyDescent="0.25">
      <c r="A14" s="274"/>
      <c r="B14" s="181"/>
      <c r="C14" s="177" t="s">
        <v>453</v>
      </c>
      <c r="D14" s="205"/>
      <c r="E14" s="205"/>
      <c r="F14" s="205"/>
    </row>
    <row r="15" spans="1:6" ht="15.75" thickBot="1" x14ac:dyDescent="0.3">
      <c r="A15" s="274"/>
      <c r="B15" s="182"/>
      <c r="C15" s="183" t="s">
        <v>578</v>
      </c>
      <c r="D15" s="205"/>
      <c r="E15" s="205"/>
      <c r="F15" s="205"/>
    </row>
    <row r="16" spans="1:6" ht="15.75" thickBot="1" x14ac:dyDescent="0.3"/>
    <row r="17" spans="1:16" ht="30" customHeight="1" thickBot="1" x14ac:dyDescent="0.3">
      <c r="A17" s="260" t="s">
        <v>511</v>
      </c>
      <c r="B17" s="264" t="s">
        <v>322</v>
      </c>
      <c r="C17" s="265"/>
      <c r="D17" s="266"/>
      <c r="E17" s="11"/>
      <c r="F17" s="11"/>
    </row>
    <row r="18" spans="1:16" x14ac:dyDescent="0.25">
      <c r="A18" s="261"/>
      <c r="B18" s="226" t="s">
        <v>79</v>
      </c>
      <c r="C18" s="73" t="s">
        <v>409</v>
      </c>
      <c r="D18" s="227" t="s">
        <v>577</v>
      </c>
      <c r="E18" s="11"/>
      <c r="F18" s="11"/>
      <c r="M18" t="s">
        <v>437</v>
      </c>
    </row>
    <row r="19" spans="1:16" x14ac:dyDescent="0.25">
      <c r="A19" s="261"/>
      <c r="B19" s="53" t="s">
        <v>94</v>
      </c>
      <c r="C19" s="6" t="s">
        <v>61</v>
      </c>
      <c r="D19" s="233">
        <v>1</v>
      </c>
      <c r="E19" s="6"/>
      <c r="F19" s="6"/>
      <c r="M19" t="s">
        <v>437</v>
      </c>
      <c r="P19" s="184" t="s">
        <v>460</v>
      </c>
    </row>
    <row r="20" spans="1:16" x14ac:dyDescent="0.25">
      <c r="A20" s="261"/>
      <c r="B20" s="55" t="s">
        <v>98</v>
      </c>
      <c r="C20" s="6" t="s">
        <v>62</v>
      </c>
      <c r="D20" s="233">
        <v>2</v>
      </c>
      <c r="E20" s="6"/>
      <c r="F20" s="6"/>
      <c r="M20" t="s">
        <v>437</v>
      </c>
    </row>
    <row r="21" spans="1:16" x14ac:dyDescent="0.25">
      <c r="A21" s="261"/>
      <c r="B21" s="55" t="s">
        <v>99</v>
      </c>
      <c r="C21" s="6" t="s">
        <v>63</v>
      </c>
      <c r="D21" s="233">
        <v>3</v>
      </c>
      <c r="E21" s="232"/>
      <c r="F21" s="6"/>
      <c r="M21" t="s">
        <v>437</v>
      </c>
    </row>
    <row r="22" spans="1:16" x14ac:dyDescent="0.25">
      <c r="A22" s="261"/>
      <c r="B22" s="55" t="s">
        <v>100</v>
      </c>
      <c r="C22" s="6" t="s">
        <v>64</v>
      </c>
      <c r="D22" s="234">
        <v>4</v>
      </c>
      <c r="E22" s="6"/>
      <c r="F22" s="6"/>
      <c r="M22" t="s">
        <v>437</v>
      </c>
    </row>
    <row r="23" spans="1:16" x14ac:dyDescent="0.25">
      <c r="A23" s="261"/>
      <c r="B23" s="55" t="s">
        <v>101</v>
      </c>
      <c r="C23" s="6" t="s">
        <v>65</v>
      </c>
      <c r="D23" s="234">
        <v>5</v>
      </c>
      <c r="E23" s="6"/>
      <c r="F23" s="6"/>
      <c r="M23" t="s">
        <v>437</v>
      </c>
    </row>
    <row r="24" spans="1:16" x14ac:dyDescent="0.25">
      <c r="A24" s="261"/>
      <c r="B24" s="55" t="s">
        <v>102</v>
      </c>
      <c r="C24" s="6" t="s">
        <v>66</v>
      </c>
      <c r="D24" s="233">
        <v>6</v>
      </c>
      <c r="E24" s="6"/>
      <c r="F24" s="6"/>
      <c r="M24" t="s">
        <v>437</v>
      </c>
    </row>
    <row r="25" spans="1:16" x14ac:dyDescent="0.25">
      <c r="A25" s="261"/>
      <c r="B25" s="55" t="s">
        <v>103</v>
      </c>
      <c r="C25" s="6" t="s">
        <v>67</v>
      </c>
      <c r="D25" s="233">
        <v>7</v>
      </c>
      <c r="E25" s="6"/>
      <c r="F25" s="6"/>
      <c r="M25" t="s">
        <v>437</v>
      </c>
    </row>
    <row r="26" spans="1:16" x14ac:dyDescent="0.25">
      <c r="A26" s="261"/>
      <c r="B26" s="55" t="s">
        <v>104</v>
      </c>
      <c r="C26" s="6" t="s">
        <v>95</v>
      </c>
      <c r="D26" s="233">
        <v>8</v>
      </c>
      <c r="E26" s="6"/>
      <c r="F26" s="6"/>
      <c r="M26" t="s">
        <v>437</v>
      </c>
    </row>
    <row r="27" spans="1:16" x14ac:dyDescent="0.25">
      <c r="A27" s="261"/>
      <c r="B27" s="55" t="s">
        <v>105</v>
      </c>
      <c r="C27" s="6" t="s">
        <v>96</v>
      </c>
      <c r="D27" s="234">
        <v>9</v>
      </c>
      <c r="E27" s="6"/>
      <c r="F27" s="6"/>
      <c r="M27" t="s">
        <v>437</v>
      </c>
    </row>
    <row r="28" spans="1:16" ht="15.75" thickBot="1" x14ac:dyDescent="0.3">
      <c r="A28" s="261"/>
      <c r="B28" s="56" t="s">
        <v>106</v>
      </c>
      <c r="C28" s="64" t="s">
        <v>97</v>
      </c>
      <c r="D28" s="235">
        <v>10</v>
      </c>
      <c r="E28" s="6"/>
      <c r="F28" s="6"/>
      <c r="M28" t="s">
        <v>437</v>
      </c>
    </row>
    <row r="29" spans="1:16" s="25" customFormat="1" ht="15.75" thickBot="1" x14ac:dyDescent="0.3">
      <c r="A29" s="200"/>
      <c r="B29" s="201"/>
      <c r="C29" s="26"/>
      <c r="D29" s="26"/>
      <c r="E29" s="26"/>
      <c r="F29" s="26"/>
      <c r="G29" s="26"/>
      <c r="H29" s="202"/>
      <c r="I29" s="203"/>
      <c r="J29" s="203"/>
      <c r="K29" s="26"/>
      <c r="L29" s="26"/>
      <c r="M29" s="26"/>
    </row>
    <row r="30" spans="1:16" ht="30" customHeight="1" thickBot="1" x14ac:dyDescent="0.3">
      <c r="A30" s="263" t="s">
        <v>458</v>
      </c>
      <c r="B30" s="172" t="s">
        <v>79</v>
      </c>
      <c r="C30" s="264" t="s">
        <v>502</v>
      </c>
      <c r="D30" s="265"/>
      <c r="E30" s="265"/>
      <c r="F30" s="266"/>
      <c r="G30" s="269" t="s">
        <v>449</v>
      </c>
      <c r="H30" s="270"/>
      <c r="I30" s="270"/>
      <c r="J30" s="271"/>
      <c r="L30" s="173" t="s">
        <v>448</v>
      </c>
      <c r="N30" s="257" t="s">
        <v>459</v>
      </c>
      <c r="O30" s="258"/>
    </row>
    <row r="31" spans="1:16" ht="30.75" customHeight="1" x14ac:dyDescent="0.25">
      <c r="A31" s="263"/>
      <c r="C31" s="209" t="s">
        <v>503</v>
      </c>
      <c r="D31" s="210" t="s">
        <v>505</v>
      </c>
      <c r="E31" s="210" t="s">
        <v>513</v>
      </c>
      <c r="F31" s="211" t="s">
        <v>512</v>
      </c>
      <c r="G31" s="73" t="s">
        <v>79</v>
      </c>
      <c r="H31" s="19" t="s">
        <v>428</v>
      </c>
      <c r="I31" s="19" t="s">
        <v>83</v>
      </c>
      <c r="J31" s="123" t="s">
        <v>84</v>
      </c>
      <c r="L31" s="174"/>
      <c r="N31" s="172"/>
      <c r="O31" s="54"/>
    </row>
    <row r="32" spans="1:16" x14ac:dyDescent="0.25">
      <c r="A32" s="263"/>
      <c r="B32" s="53" t="s">
        <v>94</v>
      </c>
      <c r="C32" s="53"/>
      <c r="D32" s="6"/>
      <c r="E32" s="6"/>
      <c r="F32" s="54"/>
      <c r="G32" s="6" t="s">
        <v>94</v>
      </c>
      <c r="H32" s="156">
        <v>0</v>
      </c>
      <c r="I32" s="6">
        <v>0</v>
      </c>
      <c r="J32" s="54">
        <v>0</v>
      </c>
      <c r="L32" s="167" t="s">
        <v>457</v>
      </c>
      <c r="M32" s="184" t="s">
        <v>460</v>
      </c>
      <c r="N32" s="53" t="s">
        <v>94</v>
      </c>
      <c r="O32" s="185" t="s">
        <v>461</v>
      </c>
      <c r="P32" s="184" t="s">
        <v>460</v>
      </c>
    </row>
    <row r="33" spans="1:15" x14ac:dyDescent="0.25">
      <c r="A33" s="263"/>
      <c r="B33" s="55" t="s">
        <v>98</v>
      </c>
      <c r="C33" s="212" t="s">
        <v>504</v>
      </c>
      <c r="D33" s="208" t="s">
        <v>506</v>
      </c>
      <c r="E33" s="208" t="s">
        <v>508</v>
      </c>
      <c r="F33" s="213" t="s">
        <v>510</v>
      </c>
      <c r="G33" s="6" t="s">
        <v>419</v>
      </c>
      <c r="H33" s="156">
        <v>0.2</v>
      </c>
      <c r="I33" s="100">
        <v>13000000</v>
      </c>
      <c r="J33" s="93">
        <v>27000000</v>
      </c>
      <c r="L33" s="164" t="s">
        <v>436</v>
      </c>
      <c r="M33" s="184" t="s">
        <v>460</v>
      </c>
      <c r="N33" s="53" t="s">
        <v>419</v>
      </c>
      <c r="O33" s="54"/>
    </row>
    <row r="34" spans="1:15" ht="15.75" x14ac:dyDescent="0.25">
      <c r="A34" s="263"/>
      <c r="B34" s="55" t="s">
        <v>99</v>
      </c>
      <c r="C34" s="212" t="s">
        <v>565</v>
      </c>
      <c r="D34" s="208" t="s">
        <v>566</v>
      </c>
      <c r="E34" s="208" t="s">
        <v>508</v>
      </c>
      <c r="F34" s="213" t="s">
        <v>510</v>
      </c>
      <c r="G34" s="6" t="s">
        <v>420</v>
      </c>
      <c r="H34" s="156">
        <v>0.4</v>
      </c>
      <c r="I34" s="100">
        <v>15000000</v>
      </c>
      <c r="J34" s="93">
        <v>35000000</v>
      </c>
      <c r="L34" s="165" t="s">
        <v>438</v>
      </c>
      <c r="M34" s="184" t="s">
        <v>460</v>
      </c>
      <c r="N34" s="53" t="s">
        <v>420</v>
      </c>
      <c r="O34" s="54"/>
    </row>
    <row r="35" spans="1:15" ht="15.75" x14ac:dyDescent="0.25">
      <c r="A35" s="263"/>
      <c r="B35" s="55" t="s">
        <v>100</v>
      </c>
      <c r="C35" s="212" t="s">
        <v>504</v>
      </c>
      <c r="D35" s="208" t="s">
        <v>566</v>
      </c>
      <c r="E35" s="208" t="s">
        <v>508</v>
      </c>
      <c r="F35" s="213" t="s">
        <v>510</v>
      </c>
      <c r="G35" s="6" t="s">
        <v>421</v>
      </c>
      <c r="H35" s="156">
        <v>0.2</v>
      </c>
      <c r="I35" s="100">
        <v>13000000</v>
      </c>
      <c r="J35" s="93">
        <v>27000000</v>
      </c>
      <c r="L35" s="165" t="s">
        <v>439</v>
      </c>
      <c r="M35" s="184" t="s">
        <v>460</v>
      </c>
      <c r="N35" s="53" t="s">
        <v>421</v>
      </c>
      <c r="O35" s="54"/>
    </row>
    <row r="36" spans="1:15" x14ac:dyDescent="0.25">
      <c r="A36" s="263"/>
      <c r="B36" s="55" t="s">
        <v>101</v>
      </c>
      <c r="C36" s="212" t="s">
        <v>581</v>
      </c>
      <c r="D36" s="232" t="s">
        <v>506</v>
      </c>
      <c r="E36" s="232" t="s">
        <v>508</v>
      </c>
      <c r="F36" s="253" t="s">
        <v>510</v>
      </c>
      <c r="G36" s="6" t="s">
        <v>422</v>
      </c>
      <c r="H36" s="156">
        <v>0.2</v>
      </c>
      <c r="I36" s="100">
        <v>13000000</v>
      </c>
      <c r="J36" s="93">
        <v>27000000</v>
      </c>
      <c r="L36" s="166" t="s">
        <v>440</v>
      </c>
      <c r="M36" s="184" t="s">
        <v>460</v>
      </c>
      <c r="N36" s="53" t="s">
        <v>422</v>
      </c>
      <c r="O36" s="54"/>
    </row>
    <row r="37" spans="1:15" x14ac:dyDescent="0.25">
      <c r="A37" s="263"/>
      <c r="B37" s="55" t="s">
        <v>102</v>
      </c>
      <c r="C37" s="212" t="s">
        <v>582</v>
      </c>
      <c r="D37" s="232" t="s">
        <v>582</v>
      </c>
      <c r="E37" s="232" t="s">
        <v>583</v>
      </c>
      <c r="F37" s="253" t="s">
        <v>584</v>
      </c>
      <c r="G37" s="6" t="s">
        <v>423</v>
      </c>
      <c r="H37" s="156">
        <v>0.2</v>
      </c>
      <c r="I37" s="100">
        <v>13000000</v>
      </c>
      <c r="J37" s="93">
        <v>27000000</v>
      </c>
      <c r="L37" s="167" t="s">
        <v>441</v>
      </c>
      <c r="M37" s="184" t="s">
        <v>460</v>
      </c>
      <c r="N37" s="53" t="s">
        <v>423</v>
      </c>
      <c r="O37" s="54"/>
    </row>
    <row r="38" spans="1:15" x14ac:dyDescent="0.25">
      <c r="A38" s="263"/>
      <c r="B38" s="55" t="s">
        <v>103</v>
      </c>
      <c r="C38" s="212" t="s">
        <v>582</v>
      </c>
      <c r="D38" s="232" t="s">
        <v>582</v>
      </c>
      <c r="E38" s="232" t="s">
        <v>583</v>
      </c>
      <c r="F38" s="253" t="s">
        <v>584</v>
      </c>
      <c r="G38" s="6" t="s">
        <v>424</v>
      </c>
      <c r="H38" s="156">
        <v>0.2</v>
      </c>
      <c r="I38" s="100">
        <v>13000000</v>
      </c>
      <c r="J38" s="93">
        <v>27000000</v>
      </c>
      <c r="L38" s="167" t="s">
        <v>442</v>
      </c>
      <c r="M38" s="184" t="s">
        <v>460</v>
      </c>
      <c r="N38" s="53" t="s">
        <v>424</v>
      </c>
      <c r="O38" s="54"/>
    </row>
    <row r="39" spans="1:15" x14ac:dyDescent="0.25">
      <c r="A39" s="263"/>
      <c r="B39" s="55" t="s">
        <v>104</v>
      </c>
      <c r="C39" s="212" t="s">
        <v>504</v>
      </c>
      <c r="D39" s="232" t="s">
        <v>506</v>
      </c>
      <c r="E39" s="232" t="s">
        <v>508</v>
      </c>
      <c r="F39" s="253" t="s">
        <v>510</v>
      </c>
      <c r="G39" s="6" t="s">
        <v>425</v>
      </c>
      <c r="H39" s="156">
        <v>0.3</v>
      </c>
      <c r="I39" s="100">
        <v>17000000</v>
      </c>
      <c r="J39" s="93">
        <v>35000000</v>
      </c>
      <c r="L39" s="167" t="s">
        <v>443</v>
      </c>
      <c r="M39" s="184" t="s">
        <v>460</v>
      </c>
      <c r="N39" s="53" t="s">
        <v>425</v>
      </c>
      <c r="O39" s="54"/>
    </row>
    <row r="40" spans="1:15" x14ac:dyDescent="0.25">
      <c r="A40" s="263"/>
      <c r="B40" s="55" t="s">
        <v>105</v>
      </c>
      <c r="C40" s="212" t="s">
        <v>504</v>
      </c>
      <c r="D40" s="232" t="s">
        <v>506</v>
      </c>
      <c r="E40" s="232" t="s">
        <v>508</v>
      </c>
      <c r="F40" s="253" t="s">
        <v>510</v>
      </c>
      <c r="G40" s="6" t="s">
        <v>426</v>
      </c>
      <c r="H40" s="156">
        <v>0.12</v>
      </c>
      <c r="I40" s="100">
        <v>8000000</v>
      </c>
      <c r="J40" s="93">
        <v>13000000</v>
      </c>
      <c r="L40" s="167" t="s">
        <v>444</v>
      </c>
      <c r="M40" s="184" t="s">
        <v>460</v>
      </c>
      <c r="N40" s="53" t="s">
        <v>426</v>
      </c>
      <c r="O40" s="54"/>
    </row>
    <row r="41" spans="1:15" ht="15.75" thickBot="1" x14ac:dyDescent="0.3">
      <c r="A41" s="263"/>
      <c r="B41" s="56" t="s">
        <v>106</v>
      </c>
      <c r="C41" s="254" t="s">
        <v>504</v>
      </c>
      <c r="D41" s="255" t="s">
        <v>506</v>
      </c>
      <c r="E41" s="255" t="s">
        <v>508</v>
      </c>
      <c r="F41" s="256" t="s">
        <v>510</v>
      </c>
      <c r="G41" s="64" t="s">
        <v>427</v>
      </c>
      <c r="H41" s="157">
        <v>0.35</v>
      </c>
      <c r="I41" s="101">
        <v>13000000</v>
      </c>
      <c r="J41" s="95">
        <v>27000000</v>
      </c>
      <c r="L41" s="168" t="s">
        <v>445</v>
      </c>
      <c r="M41" s="184" t="s">
        <v>460</v>
      </c>
      <c r="N41" s="214" t="s">
        <v>427</v>
      </c>
      <c r="O41" s="215"/>
    </row>
    <row r="42" spans="1:15" ht="15.75" thickBot="1" x14ac:dyDescent="0.3">
      <c r="M42" s="184" t="s">
        <v>460</v>
      </c>
    </row>
    <row r="43" spans="1:15" ht="15" customHeight="1" x14ac:dyDescent="0.25">
      <c r="A43" s="260" t="s">
        <v>462</v>
      </c>
      <c r="B43" s="272" t="s">
        <v>42</v>
      </c>
      <c r="C43" s="273"/>
      <c r="D43" s="206"/>
      <c r="E43" s="206"/>
      <c r="F43" s="206"/>
      <c r="M43" s="184" t="s">
        <v>460</v>
      </c>
    </row>
    <row r="44" spans="1:15" x14ac:dyDescent="0.25">
      <c r="A44" s="260"/>
      <c r="B44" s="53" t="s">
        <v>30</v>
      </c>
      <c r="C44" s="54" t="s">
        <v>31</v>
      </c>
      <c r="D44" s="6"/>
      <c r="E44" s="6"/>
      <c r="F44" s="6"/>
    </row>
    <row r="45" spans="1:15" x14ac:dyDescent="0.25">
      <c r="A45" s="260"/>
      <c r="B45" s="53" t="s">
        <v>32</v>
      </c>
      <c r="C45" s="58">
        <v>32247548</v>
      </c>
      <c r="D45" s="207"/>
      <c r="E45" s="207"/>
      <c r="F45" s="207"/>
    </row>
    <row r="46" spans="1:15" x14ac:dyDescent="0.25">
      <c r="A46" s="260"/>
      <c r="B46" s="53" t="s">
        <v>33</v>
      </c>
      <c r="C46" s="58">
        <v>42566764</v>
      </c>
      <c r="D46" s="207"/>
      <c r="E46" s="207"/>
      <c r="F46" s="207"/>
    </row>
    <row r="47" spans="1:15" x14ac:dyDescent="0.25">
      <c r="A47" s="260"/>
      <c r="B47" s="53" t="s">
        <v>34</v>
      </c>
      <c r="C47" s="58">
        <v>49016273</v>
      </c>
      <c r="D47" s="207"/>
      <c r="E47" s="207"/>
      <c r="F47" s="207"/>
    </row>
    <row r="48" spans="1:15" x14ac:dyDescent="0.25">
      <c r="A48" s="260"/>
      <c r="B48" s="53" t="s">
        <v>35</v>
      </c>
      <c r="C48" s="58">
        <v>41276862</v>
      </c>
      <c r="D48" s="207"/>
      <c r="E48" s="207"/>
      <c r="F48" s="207"/>
    </row>
    <row r="49" spans="1:6" x14ac:dyDescent="0.25">
      <c r="A49" s="260"/>
      <c r="B49" s="53" t="s">
        <v>36</v>
      </c>
      <c r="C49" s="58">
        <v>33801163</v>
      </c>
      <c r="D49" s="207"/>
      <c r="E49" s="207"/>
      <c r="F49" s="207"/>
    </row>
    <row r="50" spans="1:6" x14ac:dyDescent="0.25">
      <c r="A50" s="260"/>
      <c r="B50" s="53" t="s">
        <v>37</v>
      </c>
      <c r="C50" s="58">
        <v>28171458</v>
      </c>
      <c r="D50" s="207"/>
      <c r="E50" s="207"/>
      <c r="F50" s="207"/>
    </row>
    <row r="51" spans="1:6" x14ac:dyDescent="0.25">
      <c r="A51" s="260"/>
      <c r="B51" s="53" t="s">
        <v>38</v>
      </c>
      <c r="C51" s="58">
        <v>22805466</v>
      </c>
      <c r="D51" s="207"/>
      <c r="E51" s="207"/>
      <c r="F51" s="207"/>
    </row>
    <row r="52" spans="1:6" x14ac:dyDescent="0.25">
      <c r="A52" s="260"/>
      <c r="B52" s="53" t="s">
        <v>39</v>
      </c>
      <c r="C52" s="58">
        <v>17439474</v>
      </c>
      <c r="D52" s="207"/>
      <c r="E52" s="207"/>
      <c r="F52" s="207"/>
    </row>
    <row r="53" spans="1:6" x14ac:dyDescent="0.25">
      <c r="A53" s="260"/>
      <c r="B53" s="53" t="s">
        <v>40</v>
      </c>
      <c r="C53" s="58">
        <v>12073482</v>
      </c>
      <c r="D53" s="207"/>
      <c r="E53" s="207"/>
      <c r="F53" s="207"/>
    </row>
    <row r="54" spans="1:6" ht="15.75" thickBot="1" x14ac:dyDescent="0.3">
      <c r="A54" s="260"/>
      <c r="B54" s="59" t="s">
        <v>41</v>
      </c>
      <c r="C54" s="60">
        <v>7303711</v>
      </c>
      <c r="D54" s="207"/>
      <c r="E54" s="207"/>
      <c r="F54" s="207"/>
    </row>
    <row r="55" spans="1:6" ht="15.75" thickBot="1" x14ac:dyDescent="0.3"/>
    <row r="56" spans="1:6" ht="15" customHeight="1" x14ac:dyDescent="0.25">
      <c r="A56" s="262" t="s">
        <v>463</v>
      </c>
      <c r="B56" s="272" t="s">
        <v>433</v>
      </c>
      <c r="C56" s="273"/>
      <c r="D56" s="206"/>
      <c r="E56" s="206"/>
      <c r="F56" s="206"/>
    </row>
    <row r="57" spans="1:6" x14ac:dyDescent="0.25">
      <c r="A57" s="262"/>
      <c r="B57" s="53">
        <v>2021</v>
      </c>
      <c r="C57" s="250">
        <v>0</v>
      </c>
      <c r="D57" s="6"/>
      <c r="E57" s="6"/>
      <c r="F57" s="6"/>
    </row>
    <row r="58" spans="1:6" x14ac:dyDescent="0.25">
      <c r="A58" s="262"/>
      <c r="B58" s="53">
        <v>2022</v>
      </c>
      <c r="C58" s="250">
        <v>0.03</v>
      </c>
      <c r="D58" s="6"/>
      <c r="E58" s="6"/>
      <c r="F58" s="6"/>
    </row>
    <row r="59" spans="1:6" x14ac:dyDescent="0.25">
      <c r="A59" s="262"/>
      <c r="B59" s="53">
        <v>2023</v>
      </c>
      <c r="C59" s="250">
        <v>0.05</v>
      </c>
      <c r="D59" s="6"/>
      <c r="E59" s="6"/>
      <c r="F59" s="6"/>
    </row>
    <row r="60" spans="1:6" x14ac:dyDescent="0.25">
      <c r="A60" s="262"/>
      <c r="B60" s="53">
        <v>2024</v>
      </c>
      <c r="C60" s="250">
        <v>7.4999999999999997E-2</v>
      </c>
      <c r="D60" s="6"/>
      <c r="E60" s="6"/>
      <c r="F60" s="6"/>
    </row>
    <row r="61" spans="1:6" x14ac:dyDescent="0.25">
      <c r="A61" s="262"/>
      <c r="B61" s="53">
        <v>2025</v>
      </c>
      <c r="C61" s="250">
        <v>0.1</v>
      </c>
      <c r="D61" s="6"/>
      <c r="E61" s="6"/>
      <c r="F61" s="6"/>
    </row>
    <row r="62" spans="1:6" x14ac:dyDescent="0.25">
      <c r="A62" s="262"/>
      <c r="B62" s="53">
        <v>2026</v>
      </c>
      <c r="C62" s="250">
        <v>0.11</v>
      </c>
      <c r="D62" s="6"/>
      <c r="E62" s="6"/>
      <c r="F62" s="6"/>
    </row>
    <row r="63" spans="1:6" x14ac:dyDescent="0.25">
      <c r="A63" s="262"/>
      <c r="B63" s="53">
        <v>2027</v>
      </c>
      <c r="C63" s="250">
        <v>0.12</v>
      </c>
      <c r="D63" s="6"/>
      <c r="E63" s="6"/>
      <c r="F63" s="6"/>
    </row>
    <row r="64" spans="1:6" x14ac:dyDescent="0.25">
      <c r="A64" s="262"/>
      <c r="B64" s="53">
        <v>2028</v>
      </c>
      <c r="C64" s="250">
        <v>0.13</v>
      </c>
      <c r="D64" s="6"/>
      <c r="E64" s="6"/>
      <c r="F64" s="6"/>
    </row>
    <row r="65" spans="1:6" x14ac:dyDescent="0.25">
      <c r="A65" s="262"/>
      <c r="B65" s="53">
        <v>2029</v>
      </c>
      <c r="C65" s="250">
        <v>0.14000000000000001</v>
      </c>
      <c r="D65" s="6"/>
      <c r="E65" s="6"/>
      <c r="F65" s="6"/>
    </row>
    <row r="66" spans="1:6" x14ac:dyDescent="0.25">
      <c r="A66" s="262"/>
      <c r="B66" s="53">
        <v>2030</v>
      </c>
      <c r="C66" s="250">
        <v>0.15</v>
      </c>
      <c r="D66" s="6"/>
      <c r="E66" s="6"/>
      <c r="F66" s="6"/>
    </row>
    <row r="67" spans="1:6" x14ac:dyDescent="0.25">
      <c r="A67" s="262"/>
      <c r="B67" s="53">
        <v>2031</v>
      </c>
      <c r="C67" s="250">
        <v>0.16</v>
      </c>
      <c r="D67" s="6"/>
      <c r="E67" s="6"/>
      <c r="F67" s="6"/>
    </row>
    <row r="68" spans="1:6" x14ac:dyDescent="0.25">
      <c r="A68" s="262"/>
      <c r="B68" s="53">
        <v>2032</v>
      </c>
      <c r="C68" s="250">
        <v>0.17</v>
      </c>
      <c r="D68" s="6"/>
      <c r="E68" s="6"/>
      <c r="F68" s="6"/>
    </row>
    <row r="69" spans="1:6" x14ac:dyDescent="0.25">
      <c r="A69" s="262"/>
      <c r="B69" s="53">
        <v>2033</v>
      </c>
      <c r="C69" s="250">
        <v>0.18</v>
      </c>
      <c r="D69" s="6"/>
      <c r="E69" s="6"/>
      <c r="F69" s="6"/>
    </row>
    <row r="70" spans="1:6" x14ac:dyDescent="0.25">
      <c r="A70" s="262"/>
      <c r="B70" s="53">
        <v>2034</v>
      </c>
      <c r="C70" s="250">
        <v>0.19</v>
      </c>
      <c r="D70" s="6"/>
      <c r="E70" s="6"/>
      <c r="F70" s="6"/>
    </row>
    <row r="71" spans="1:6" x14ac:dyDescent="0.25">
      <c r="A71" s="262"/>
      <c r="B71" s="53">
        <v>2035</v>
      </c>
      <c r="C71" s="250">
        <v>0.2</v>
      </c>
      <c r="D71" s="6"/>
      <c r="E71" s="6"/>
      <c r="F71" s="6"/>
    </row>
    <row r="72" spans="1:6" x14ac:dyDescent="0.25">
      <c r="A72" s="262"/>
      <c r="B72" s="53">
        <v>2036</v>
      </c>
      <c r="C72" s="250">
        <v>0.21</v>
      </c>
      <c r="D72" s="6"/>
      <c r="E72" s="6"/>
      <c r="F72" s="6"/>
    </row>
    <row r="73" spans="1:6" x14ac:dyDescent="0.25">
      <c r="A73" s="262"/>
      <c r="B73" s="53">
        <v>2037</v>
      </c>
      <c r="C73" s="250">
        <v>0.22</v>
      </c>
      <c r="D73" s="6"/>
      <c r="E73" s="6"/>
      <c r="F73" s="6"/>
    </row>
    <row r="74" spans="1:6" x14ac:dyDescent="0.25">
      <c r="A74" s="262"/>
      <c r="B74" s="53">
        <v>2038</v>
      </c>
      <c r="C74" s="250">
        <v>0.23</v>
      </c>
      <c r="D74" s="6"/>
      <c r="E74" s="6"/>
      <c r="F74" s="6"/>
    </row>
    <row r="75" spans="1:6" x14ac:dyDescent="0.25">
      <c r="A75" s="262"/>
      <c r="B75" s="53">
        <v>2039</v>
      </c>
      <c r="C75" s="250">
        <v>0.24</v>
      </c>
      <c r="D75" s="6"/>
      <c r="E75" s="6"/>
      <c r="F75" s="6"/>
    </row>
    <row r="76" spans="1:6" x14ac:dyDescent="0.25">
      <c r="A76" s="262"/>
      <c r="B76" s="53">
        <v>2040</v>
      </c>
      <c r="C76" s="250">
        <v>0.25</v>
      </c>
      <c r="D76" s="6"/>
      <c r="E76" s="6"/>
      <c r="F76" s="6"/>
    </row>
    <row r="77" spans="1:6" x14ac:dyDescent="0.25">
      <c r="A77" s="262"/>
      <c r="B77" s="53">
        <v>2041</v>
      </c>
      <c r="C77" s="250">
        <v>0.26</v>
      </c>
      <c r="D77" s="6"/>
      <c r="E77" s="6"/>
      <c r="F77" s="6"/>
    </row>
    <row r="78" spans="1:6" x14ac:dyDescent="0.25">
      <c r="A78" s="262"/>
      <c r="B78" s="53">
        <v>2042</v>
      </c>
      <c r="C78" s="250">
        <v>0.27</v>
      </c>
      <c r="D78" s="6"/>
      <c r="E78" s="6"/>
      <c r="F78" s="6"/>
    </row>
    <row r="79" spans="1:6" x14ac:dyDescent="0.25">
      <c r="A79" s="262"/>
      <c r="B79" s="53">
        <v>2043</v>
      </c>
      <c r="C79" s="250">
        <v>0.28000000000000003</v>
      </c>
      <c r="D79" s="6"/>
      <c r="E79" s="6"/>
      <c r="F79" s="6"/>
    </row>
    <row r="80" spans="1:6" x14ac:dyDescent="0.25">
      <c r="A80" s="262"/>
      <c r="B80" s="53">
        <v>2044</v>
      </c>
      <c r="C80" s="250">
        <v>0.28999999999999998</v>
      </c>
      <c r="D80" s="6"/>
      <c r="E80" s="6"/>
      <c r="F80" s="6"/>
    </row>
    <row r="81" spans="1:6" x14ac:dyDescent="0.25">
      <c r="A81" s="262"/>
      <c r="B81" s="53">
        <v>2045</v>
      </c>
      <c r="C81" s="250">
        <v>0.3</v>
      </c>
      <c r="D81" s="6"/>
      <c r="E81" s="6"/>
      <c r="F81" s="6"/>
    </row>
    <row r="82" spans="1:6" x14ac:dyDescent="0.25">
      <c r="A82" s="262"/>
      <c r="B82" s="53">
        <v>2046</v>
      </c>
      <c r="C82" s="250">
        <v>0.31</v>
      </c>
      <c r="D82" s="6"/>
      <c r="E82" s="6"/>
      <c r="F82" s="6"/>
    </row>
    <row r="83" spans="1:6" x14ac:dyDescent="0.25">
      <c r="A83" s="262"/>
      <c r="B83" s="53">
        <v>2047</v>
      </c>
      <c r="C83" s="250">
        <v>0.32</v>
      </c>
      <c r="D83" s="6"/>
      <c r="E83" s="6"/>
      <c r="F83" s="6"/>
    </row>
    <row r="84" spans="1:6" x14ac:dyDescent="0.25">
      <c r="A84" s="262"/>
      <c r="B84" s="53">
        <v>2048</v>
      </c>
      <c r="C84" s="250">
        <v>0.33</v>
      </c>
      <c r="D84" s="6"/>
      <c r="E84" s="6"/>
      <c r="F84" s="6"/>
    </row>
    <row r="85" spans="1:6" x14ac:dyDescent="0.25">
      <c r="A85" s="262"/>
      <c r="B85" s="53">
        <v>2049</v>
      </c>
      <c r="C85" s="250">
        <v>0.34</v>
      </c>
      <c r="D85" s="6"/>
      <c r="E85" s="6"/>
      <c r="F85" s="6"/>
    </row>
    <row r="86" spans="1:6" ht="15.75" thickBot="1" x14ac:dyDescent="0.3">
      <c r="A86" s="262"/>
      <c r="B86" s="59">
        <v>2050</v>
      </c>
      <c r="C86" s="251">
        <v>0.35</v>
      </c>
      <c r="D86" s="6"/>
      <c r="E86" s="6"/>
      <c r="F86" s="6"/>
    </row>
  </sheetData>
  <mergeCells count="13">
    <mergeCell ref="N30:O30"/>
    <mergeCell ref="B1:C4"/>
    <mergeCell ref="A17:A28"/>
    <mergeCell ref="A43:A54"/>
    <mergeCell ref="A56:A86"/>
    <mergeCell ref="A30:A41"/>
    <mergeCell ref="C30:F30"/>
    <mergeCell ref="B6:C6"/>
    <mergeCell ref="G30:J30"/>
    <mergeCell ref="B56:C56"/>
    <mergeCell ref="B43:C43"/>
    <mergeCell ref="B17:D17"/>
    <mergeCell ref="A6:A15"/>
  </mergeCells>
  <phoneticPr fontId="3"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3FF31-2E7A-45BF-8E3E-8C14582A9EB5}">
  <sheetPr>
    <tabColor theme="7"/>
  </sheetPr>
  <dimension ref="A1:O301"/>
  <sheetViews>
    <sheetView topLeftCell="A127" workbookViewId="0">
      <selection activeCell="H152" sqref="H152:O181"/>
    </sheetView>
  </sheetViews>
  <sheetFormatPr defaultRowHeight="15" x14ac:dyDescent="0.25"/>
  <cols>
    <col min="12" max="15" width="19.5703125" customWidth="1"/>
  </cols>
  <sheetData>
    <row r="1" spans="1:15" x14ac:dyDescent="0.25">
      <c r="A1" t="s">
        <v>43</v>
      </c>
      <c r="B1" t="s">
        <v>44</v>
      </c>
      <c r="C1" t="s">
        <v>45</v>
      </c>
      <c r="D1" t="s">
        <v>46</v>
      </c>
      <c r="E1" t="s">
        <v>47</v>
      </c>
      <c r="F1" t="s">
        <v>0</v>
      </c>
      <c r="G1" t="s">
        <v>48</v>
      </c>
      <c r="H1" t="s">
        <v>329</v>
      </c>
      <c r="I1" t="s">
        <v>330</v>
      </c>
      <c r="J1" t="s">
        <v>331</v>
      </c>
      <c r="K1" t="s">
        <v>332</v>
      </c>
      <c r="L1" t="s">
        <v>333</v>
      </c>
      <c r="M1" t="s">
        <v>334</v>
      </c>
      <c r="N1" t="s">
        <v>335</v>
      </c>
      <c r="O1" t="s">
        <v>336</v>
      </c>
    </row>
    <row r="2" spans="1:15" x14ac:dyDescent="0.25">
      <c r="A2" t="s">
        <v>1</v>
      </c>
      <c r="B2" t="s">
        <v>337</v>
      </c>
      <c r="C2" t="s">
        <v>338</v>
      </c>
      <c r="D2">
        <v>1</v>
      </c>
      <c r="E2" t="s">
        <v>61</v>
      </c>
      <c r="F2">
        <v>2022</v>
      </c>
      <c r="G2" t="s">
        <v>2</v>
      </c>
      <c r="H2" s="2">
        <v>27665.057148479998</v>
      </c>
      <c r="I2" s="2">
        <v>18420.026694</v>
      </c>
      <c r="J2" s="2">
        <v>6343.5490123199997</v>
      </c>
      <c r="K2" s="2">
        <v>31366.342065360001</v>
      </c>
      <c r="L2" s="1">
        <v>0.33015174000000003</v>
      </c>
      <c r="M2" s="1">
        <v>0.21982256999999999</v>
      </c>
      <c r="N2" s="1">
        <v>7.5703220000000002E-2</v>
      </c>
      <c r="O2" s="1">
        <v>0.37432247000000002</v>
      </c>
    </row>
    <row r="3" spans="1:15" x14ac:dyDescent="0.25">
      <c r="A3" t="s">
        <v>1</v>
      </c>
      <c r="B3" t="s">
        <v>337</v>
      </c>
      <c r="C3" t="s">
        <v>338</v>
      </c>
      <c r="D3">
        <v>1</v>
      </c>
      <c r="E3" t="s">
        <v>61</v>
      </c>
      <c r="F3">
        <v>2023</v>
      </c>
      <c r="G3" t="s">
        <v>2</v>
      </c>
      <c r="H3" s="2">
        <v>36000.198974400002</v>
      </c>
      <c r="I3" s="2">
        <v>12986.48377608</v>
      </c>
      <c r="J3" s="2">
        <v>3467.79063984</v>
      </c>
      <c r="K3" s="2">
        <v>33252.478417680002</v>
      </c>
      <c r="L3" s="1">
        <v>0.42003826</v>
      </c>
      <c r="M3" s="1">
        <v>0.15152193999999999</v>
      </c>
      <c r="N3" s="1">
        <v>4.046102E-2</v>
      </c>
      <c r="O3" s="1">
        <v>0.38797878000000002</v>
      </c>
    </row>
    <row r="4" spans="1:15" x14ac:dyDescent="0.25">
      <c r="A4" t="s">
        <v>1</v>
      </c>
      <c r="B4" t="s">
        <v>337</v>
      </c>
      <c r="C4" t="s">
        <v>338</v>
      </c>
      <c r="D4">
        <v>1</v>
      </c>
      <c r="E4" t="s">
        <v>61</v>
      </c>
      <c r="F4">
        <v>2024</v>
      </c>
      <c r="G4" t="s">
        <v>2</v>
      </c>
      <c r="H4" s="2">
        <v>35292.726624479998</v>
      </c>
      <c r="I4" s="2">
        <v>15610.121635920001</v>
      </c>
      <c r="J4" s="2">
        <v>4224.3482755200002</v>
      </c>
      <c r="K4" s="2">
        <v>27410.919896160001</v>
      </c>
      <c r="L4" s="1">
        <v>0.42759307000000002</v>
      </c>
      <c r="M4" s="1">
        <v>0.18912622000000001</v>
      </c>
      <c r="N4" s="1">
        <v>5.1180580000000003E-2</v>
      </c>
      <c r="O4" s="1">
        <v>0.33210013999999999</v>
      </c>
    </row>
    <row r="5" spans="1:15" x14ac:dyDescent="0.25">
      <c r="A5" t="s">
        <v>1</v>
      </c>
      <c r="B5" t="s">
        <v>337</v>
      </c>
      <c r="C5" t="s">
        <v>338</v>
      </c>
      <c r="D5">
        <v>1</v>
      </c>
      <c r="E5" t="s">
        <v>61</v>
      </c>
      <c r="F5">
        <v>2025</v>
      </c>
      <c r="G5" t="s">
        <v>2</v>
      </c>
      <c r="H5" s="2">
        <v>36000.198974400002</v>
      </c>
      <c r="I5" s="2">
        <v>22948.459543199999</v>
      </c>
      <c r="J5" s="2">
        <v>1601.3229633599999</v>
      </c>
      <c r="K5" s="2">
        <v>25555.189915200001</v>
      </c>
      <c r="L5" s="1">
        <v>0.41809566999999997</v>
      </c>
      <c r="M5" s="1">
        <v>0.26651661999999998</v>
      </c>
      <c r="N5" s="1">
        <v>1.8597289999999999E-2</v>
      </c>
      <c r="O5" s="1">
        <v>0.29679042</v>
      </c>
    </row>
    <row r="6" spans="1:15" x14ac:dyDescent="0.25">
      <c r="A6" t="s">
        <v>1</v>
      </c>
      <c r="B6" t="s">
        <v>337</v>
      </c>
      <c r="C6" t="s">
        <v>338</v>
      </c>
      <c r="D6">
        <v>1</v>
      </c>
      <c r="E6" t="s">
        <v>61</v>
      </c>
      <c r="F6">
        <v>2026</v>
      </c>
      <c r="G6" t="s">
        <v>2</v>
      </c>
      <c r="H6" s="2">
        <v>36000.198974400002</v>
      </c>
      <c r="I6" s="2">
        <v>26507.675402159999</v>
      </c>
      <c r="J6" s="2">
        <v>5789.6470370400002</v>
      </c>
      <c r="K6" s="2">
        <v>15490.261779599999</v>
      </c>
      <c r="L6" s="1">
        <v>0.42965927999999998</v>
      </c>
      <c r="M6" s="1">
        <v>0.31636682999999999</v>
      </c>
      <c r="N6" s="1">
        <v>6.9098939999999998E-2</v>
      </c>
      <c r="O6" s="1">
        <v>0.18487493999999999</v>
      </c>
    </row>
    <row r="7" spans="1:15" x14ac:dyDescent="0.25">
      <c r="A7" t="s">
        <v>1</v>
      </c>
      <c r="B7" t="s">
        <v>337</v>
      </c>
      <c r="C7" t="s">
        <v>338</v>
      </c>
      <c r="D7">
        <v>1</v>
      </c>
      <c r="E7" t="s">
        <v>61</v>
      </c>
      <c r="F7">
        <v>2027</v>
      </c>
      <c r="G7" t="s">
        <v>2</v>
      </c>
      <c r="H7" s="2">
        <v>36000.198974400002</v>
      </c>
      <c r="I7" s="2">
        <v>28597.593840720001</v>
      </c>
      <c r="J7" s="2">
        <v>10549.72081488</v>
      </c>
      <c r="K7" s="2">
        <v>9560.0769923999997</v>
      </c>
      <c r="L7" s="1">
        <v>0.42499377999999999</v>
      </c>
      <c r="M7" s="1">
        <v>0.33760367000000002</v>
      </c>
      <c r="N7" s="1">
        <v>0.1245428</v>
      </c>
      <c r="O7" s="1">
        <v>0.11285974</v>
      </c>
    </row>
    <row r="8" spans="1:15" x14ac:dyDescent="0.25">
      <c r="A8" t="s">
        <v>1</v>
      </c>
      <c r="B8" t="s">
        <v>337</v>
      </c>
      <c r="C8" t="s">
        <v>338</v>
      </c>
      <c r="D8">
        <v>1</v>
      </c>
      <c r="E8" t="s">
        <v>61</v>
      </c>
      <c r="F8">
        <v>2028</v>
      </c>
      <c r="G8" t="s">
        <v>2</v>
      </c>
      <c r="H8" s="2">
        <v>36108.800805120001</v>
      </c>
      <c r="I8" s="2">
        <v>33021.590679120003</v>
      </c>
      <c r="J8" s="2">
        <v>7295.9593183200004</v>
      </c>
      <c r="K8" s="2">
        <v>9586.2689841600004</v>
      </c>
      <c r="L8" s="1">
        <v>0.41980816999999998</v>
      </c>
      <c r="M8" s="1">
        <v>0.38391565</v>
      </c>
      <c r="N8" s="1">
        <v>8.4824289999999997E-2</v>
      </c>
      <c r="O8" s="1">
        <v>0.11145189</v>
      </c>
    </row>
    <row r="9" spans="1:15" x14ac:dyDescent="0.25">
      <c r="A9" t="s">
        <v>1</v>
      </c>
      <c r="B9" t="s">
        <v>337</v>
      </c>
      <c r="C9" t="s">
        <v>338</v>
      </c>
      <c r="D9">
        <v>1</v>
      </c>
      <c r="E9" t="s">
        <v>61</v>
      </c>
      <c r="F9">
        <v>2029</v>
      </c>
      <c r="G9" t="s">
        <v>2</v>
      </c>
      <c r="H9" s="2">
        <v>34761.1379352</v>
      </c>
      <c r="I9" s="2">
        <v>32992.181665919998</v>
      </c>
      <c r="J9" s="2">
        <v>8250.5385623999991</v>
      </c>
      <c r="K9" s="2">
        <v>9560.0769923999997</v>
      </c>
      <c r="L9" s="1">
        <v>0.40625921999999998</v>
      </c>
      <c r="M9" s="1">
        <v>0.38558513999999999</v>
      </c>
      <c r="N9" s="1">
        <v>9.6425419999999998E-2</v>
      </c>
      <c r="O9" s="1">
        <v>0.11173022000000001</v>
      </c>
    </row>
    <row r="10" spans="1:15" x14ac:dyDescent="0.25">
      <c r="A10" t="s">
        <v>1</v>
      </c>
      <c r="B10" t="s">
        <v>337</v>
      </c>
      <c r="C10" t="s">
        <v>338</v>
      </c>
      <c r="D10">
        <v>1</v>
      </c>
      <c r="E10" t="s">
        <v>61</v>
      </c>
      <c r="F10">
        <v>2030</v>
      </c>
      <c r="G10" t="s">
        <v>2</v>
      </c>
      <c r="H10" s="2">
        <v>34676.893162560002</v>
      </c>
      <c r="I10" s="2">
        <v>28729.275207359999</v>
      </c>
      <c r="J10" s="2">
        <v>13014.3184356</v>
      </c>
      <c r="K10" s="2">
        <v>9560.0769923999997</v>
      </c>
      <c r="L10" s="1">
        <v>0.40331084</v>
      </c>
      <c r="M10" s="1">
        <v>0.33413685999999998</v>
      </c>
      <c r="N10" s="1">
        <v>0.15136348999999999</v>
      </c>
      <c r="O10" s="1">
        <v>0.11118881</v>
      </c>
    </row>
    <row r="11" spans="1:15" x14ac:dyDescent="0.25">
      <c r="A11" t="s">
        <v>1</v>
      </c>
      <c r="B11" t="s">
        <v>337</v>
      </c>
      <c r="C11" t="s">
        <v>338</v>
      </c>
      <c r="D11">
        <v>1</v>
      </c>
      <c r="E11" t="s">
        <v>61</v>
      </c>
      <c r="F11">
        <v>2031</v>
      </c>
      <c r="G11" t="s">
        <v>2</v>
      </c>
      <c r="H11" s="2">
        <v>35906.611695599997</v>
      </c>
      <c r="I11" s="2">
        <v>28631.483058959999</v>
      </c>
      <c r="J11" s="2">
        <v>12324.154251600001</v>
      </c>
      <c r="K11" s="2">
        <v>9560.0769923999997</v>
      </c>
      <c r="L11" s="1">
        <v>0.41547842000000001</v>
      </c>
      <c r="M11" s="1">
        <v>0.33129730000000002</v>
      </c>
      <c r="N11" s="1">
        <v>0.14260381999999999</v>
      </c>
      <c r="O11" s="1">
        <v>0.11062045</v>
      </c>
    </row>
    <row r="12" spans="1:15" x14ac:dyDescent="0.25">
      <c r="A12" t="s">
        <v>1</v>
      </c>
      <c r="B12" t="s">
        <v>337</v>
      </c>
      <c r="C12" t="s">
        <v>338</v>
      </c>
      <c r="D12">
        <v>1</v>
      </c>
      <c r="E12" t="s">
        <v>61</v>
      </c>
      <c r="F12">
        <v>2032</v>
      </c>
      <c r="G12" t="s">
        <v>2</v>
      </c>
      <c r="H12" s="2">
        <v>36108.800805120001</v>
      </c>
      <c r="I12" s="2">
        <v>28737.2403648</v>
      </c>
      <c r="J12" s="2">
        <v>12927.05182848</v>
      </c>
      <c r="K12" s="2">
        <v>9586.2689841600004</v>
      </c>
      <c r="L12" s="1">
        <v>0.41333636000000001</v>
      </c>
      <c r="M12" s="1">
        <v>0.32895433000000002</v>
      </c>
      <c r="N12" s="1">
        <v>0.14797558</v>
      </c>
      <c r="O12" s="1">
        <v>0.10973373</v>
      </c>
    </row>
    <row r="13" spans="1:15" x14ac:dyDescent="0.25">
      <c r="A13" t="s">
        <v>1</v>
      </c>
      <c r="B13" t="s">
        <v>337</v>
      </c>
      <c r="C13" t="s">
        <v>338</v>
      </c>
      <c r="D13">
        <v>1</v>
      </c>
      <c r="E13" t="s">
        <v>61</v>
      </c>
      <c r="F13">
        <v>2033</v>
      </c>
      <c r="G13" t="s">
        <v>2</v>
      </c>
      <c r="H13" s="2">
        <v>35907.458631119996</v>
      </c>
      <c r="I13" s="2">
        <v>28675.790021519999</v>
      </c>
      <c r="J13" s="2">
        <v>13040.777430960001</v>
      </c>
      <c r="K13" s="2">
        <v>9560.0769923999997</v>
      </c>
      <c r="L13" s="1">
        <v>0.41185787000000001</v>
      </c>
      <c r="M13" s="1">
        <v>0.32891076000000002</v>
      </c>
      <c r="N13" s="1">
        <v>0.14957746999999999</v>
      </c>
      <c r="O13" s="1">
        <v>0.1096539</v>
      </c>
    </row>
    <row r="14" spans="1:15" x14ac:dyDescent="0.25">
      <c r="A14" t="s">
        <v>1</v>
      </c>
      <c r="B14" t="s">
        <v>337</v>
      </c>
      <c r="C14" t="s">
        <v>338</v>
      </c>
      <c r="D14">
        <v>1</v>
      </c>
      <c r="E14" t="s">
        <v>61</v>
      </c>
      <c r="F14">
        <v>2034</v>
      </c>
      <c r="G14" t="s">
        <v>2</v>
      </c>
      <c r="H14" s="2">
        <v>35840.045109120001</v>
      </c>
      <c r="I14" s="2">
        <v>29007.564994799999</v>
      </c>
      <c r="J14" s="2">
        <v>13083.716014080001</v>
      </c>
      <c r="K14" s="2">
        <v>9560.0769923999997</v>
      </c>
      <c r="L14" s="1">
        <v>0.40964075999999999</v>
      </c>
      <c r="M14" s="1">
        <v>0.3315476</v>
      </c>
      <c r="N14" s="1">
        <v>0.14954287999999999</v>
      </c>
      <c r="O14" s="1">
        <v>0.10926876000000001</v>
      </c>
    </row>
    <row r="15" spans="1:15" x14ac:dyDescent="0.25">
      <c r="A15" t="s">
        <v>1</v>
      </c>
      <c r="B15" t="s">
        <v>337</v>
      </c>
      <c r="C15" t="s">
        <v>338</v>
      </c>
      <c r="D15">
        <v>1</v>
      </c>
      <c r="E15" t="s">
        <v>61</v>
      </c>
      <c r="F15">
        <v>2035</v>
      </c>
      <c r="G15" t="s">
        <v>2</v>
      </c>
      <c r="H15" s="2">
        <v>36000.198974400002</v>
      </c>
      <c r="I15" s="2">
        <v>28775.000775839999</v>
      </c>
      <c r="J15" s="2">
        <v>13237.044581280001</v>
      </c>
      <c r="K15" s="2">
        <v>9560.0769923999997</v>
      </c>
      <c r="L15" s="1">
        <v>0.41109107</v>
      </c>
      <c r="M15" s="1">
        <v>0.32858556999999999</v>
      </c>
      <c r="N15" s="1">
        <v>0.15115556999999999</v>
      </c>
      <c r="O15" s="1">
        <v>0.10916779</v>
      </c>
    </row>
    <row r="16" spans="1:15" x14ac:dyDescent="0.25">
      <c r="A16" t="s">
        <v>1</v>
      </c>
      <c r="B16" t="s">
        <v>337</v>
      </c>
      <c r="C16" t="s">
        <v>338</v>
      </c>
      <c r="D16">
        <v>1</v>
      </c>
      <c r="E16" t="s">
        <v>61</v>
      </c>
      <c r="F16">
        <v>2036</v>
      </c>
      <c r="G16" t="s">
        <v>2</v>
      </c>
      <c r="H16" s="2">
        <v>36108.800805120001</v>
      </c>
      <c r="I16" s="2">
        <v>29548.074055199999</v>
      </c>
      <c r="J16" s="2">
        <v>13284.540991919999</v>
      </c>
      <c r="K16" s="2">
        <v>9586.2689841600004</v>
      </c>
      <c r="L16" s="1">
        <v>0.40788144999999998</v>
      </c>
      <c r="M16" s="1">
        <v>0.33377213</v>
      </c>
      <c r="N16" s="1">
        <v>0.15006087000000001</v>
      </c>
      <c r="O16" s="1">
        <v>0.10828554999999999</v>
      </c>
    </row>
    <row r="17" spans="1:15" x14ac:dyDescent="0.25">
      <c r="A17" t="s">
        <v>1</v>
      </c>
      <c r="B17" t="s">
        <v>337</v>
      </c>
      <c r="C17" t="s">
        <v>338</v>
      </c>
      <c r="D17">
        <v>1</v>
      </c>
      <c r="E17" t="s">
        <v>61</v>
      </c>
      <c r="F17">
        <v>2037</v>
      </c>
      <c r="G17" t="s">
        <v>2</v>
      </c>
      <c r="H17" s="2">
        <v>35847.971422559996</v>
      </c>
      <c r="I17" s="2">
        <v>32774.048916480002</v>
      </c>
      <c r="J17" s="2">
        <v>14347.1489508</v>
      </c>
      <c r="K17" s="2">
        <v>9560.0769923999997</v>
      </c>
      <c r="L17" s="1">
        <v>0.38742314</v>
      </c>
      <c r="M17" s="1">
        <v>0.35420204999999999</v>
      </c>
      <c r="N17" s="1">
        <v>0.15505529000000001</v>
      </c>
      <c r="O17" s="1">
        <v>0.10331952</v>
      </c>
    </row>
    <row r="18" spans="1:15" x14ac:dyDescent="0.25">
      <c r="A18" t="s">
        <v>1</v>
      </c>
      <c r="B18" t="s">
        <v>337</v>
      </c>
      <c r="C18" t="s">
        <v>338</v>
      </c>
      <c r="D18">
        <v>1</v>
      </c>
      <c r="E18" t="s">
        <v>61</v>
      </c>
      <c r="F18">
        <v>2038</v>
      </c>
      <c r="G18" t="s">
        <v>2</v>
      </c>
      <c r="H18" s="2">
        <v>33662.932968720001</v>
      </c>
      <c r="I18" s="2">
        <v>26531.243966639999</v>
      </c>
      <c r="J18" s="2">
        <v>18735.267336000001</v>
      </c>
      <c r="K18" s="2">
        <v>9560.0769923999997</v>
      </c>
      <c r="L18" s="1">
        <v>0.38041717000000003</v>
      </c>
      <c r="M18" s="1">
        <v>0.29982356999999998</v>
      </c>
      <c r="N18" s="1">
        <v>0.21172299999999999</v>
      </c>
      <c r="O18" s="1">
        <v>0.10803626</v>
      </c>
    </row>
    <row r="19" spans="1:15" x14ac:dyDescent="0.25">
      <c r="A19" t="s">
        <v>1</v>
      </c>
      <c r="B19" t="s">
        <v>337</v>
      </c>
      <c r="C19" t="s">
        <v>338</v>
      </c>
      <c r="D19">
        <v>1</v>
      </c>
      <c r="E19" t="s">
        <v>61</v>
      </c>
      <c r="F19">
        <v>2039</v>
      </c>
      <c r="G19" t="s">
        <v>2</v>
      </c>
      <c r="H19" s="2">
        <v>36000.198974400002</v>
      </c>
      <c r="I19" s="2">
        <v>27416.103783359998</v>
      </c>
      <c r="J19" s="2">
        <v>15814.701758159999</v>
      </c>
      <c r="K19" s="2">
        <v>9560.0769923999997</v>
      </c>
      <c r="L19" s="1">
        <v>0.40544837</v>
      </c>
      <c r="M19" s="1">
        <v>0.30877092</v>
      </c>
      <c r="N19" s="1">
        <v>0.17811138000000001</v>
      </c>
      <c r="O19" s="1">
        <v>0.10766934</v>
      </c>
    </row>
    <row r="20" spans="1:15" x14ac:dyDescent="0.25">
      <c r="A20" t="s">
        <v>1</v>
      </c>
      <c r="B20" t="s">
        <v>337</v>
      </c>
      <c r="C20" t="s">
        <v>338</v>
      </c>
      <c r="D20">
        <v>1</v>
      </c>
      <c r="E20" t="s">
        <v>61</v>
      </c>
      <c r="F20">
        <v>2040</v>
      </c>
      <c r="G20" t="s">
        <v>2</v>
      </c>
      <c r="H20" s="2">
        <v>36108.800805120001</v>
      </c>
      <c r="I20" s="2">
        <v>23499.333839039999</v>
      </c>
      <c r="J20" s="2">
        <v>20356.923851039999</v>
      </c>
      <c r="K20" s="2">
        <v>9586.2689841600004</v>
      </c>
      <c r="L20" s="1">
        <v>0.40321905000000002</v>
      </c>
      <c r="M20" s="1">
        <v>0.26241189999999998</v>
      </c>
      <c r="N20" s="1">
        <v>0.2273213</v>
      </c>
      <c r="O20" s="1">
        <v>0.10704776000000001</v>
      </c>
    </row>
    <row r="21" spans="1:15" x14ac:dyDescent="0.25">
      <c r="A21" t="s">
        <v>1</v>
      </c>
      <c r="B21" t="s">
        <v>337</v>
      </c>
      <c r="C21" t="s">
        <v>338</v>
      </c>
      <c r="D21">
        <v>1</v>
      </c>
      <c r="E21" t="s">
        <v>61</v>
      </c>
      <c r="F21">
        <v>2041</v>
      </c>
      <c r="G21" t="s">
        <v>2</v>
      </c>
      <c r="H21" s="2">
        <v>36000.198974400002</v>
      </c>
      <c r="I21" s="2">
        <v>25775.607245039999</v>
      </c>
      <c r="J21" s="2">
        <v>17901.933846</v>
      </c>
      <c r="K21" s="2">
        <v>9560.0769923999997</v>
      </c>
      <c r="L21" s="1">
        <v>0.40341864</v>
      </c>
      <c r="M21" s="1">
        <v>0.28884175000000001</v>
      </c>
      <c r="N21" s="1">
        <v>0.20060928</v>
      </c>
      <c r="O21" s="1">
        <v>0.10713033</v>
      </c>
    </row>
    <row r="22" spans="1:15" x14ac:dyDescent="0.25">
      <c r="A22" t="s">
        <v>1</v>
      </c>
      <c r="B22" t="s">
        <v>337</v>
      </c>
      <c r="C22" t="s">
        <v>338</v>
      </c>
      <c r="D22">
        <v>1</v>
      </c>
      <c r="E22" t="s">
        <v>61</v>
      </c>
      <c r="F22">
        <v>2042</v>
      </c>
      <c r="G22" t="s">
        <v>2</v>
      </c>
      <c r="H22" s="2">
        <v>33692.806222079998</v>
      </c>
      <c r="I22" s="2">
        <v>27439.177400159999</v>
      </c>
      <c r="J22" s="2">
        <v>18701.18658768</v>
      </c>
      <c r="K22" s="2">
        <v>9552.6200440800003</v>
      </c>
      <c r="L22" s="1">
        <v>0.37693694</v>
      </c>
      <c r="M22" s="1">
        <v>0.30697470999999998</v>
      </c>
      <c r="N22" s="1">
        <v>0.20921878999999999</v>
      </c>
      <c r="O22" s="1">
        <v>0.10686956</v>
      </c>
    </row>
    <row r="23" spans="1:15" x14ac:dyDescent="0.25">
      <c r="A23" t="s">
        <v>1</v>
      </c>
      <c r="B23" t="s">
        <v>337</v>
      </c>
      <c r="C23" t="s">
        <v>338</v>
      </c>
      <c r="D23">
        <v>1</v>
      </c>
      <c r="E23" t="s">
        <v>61</v>
      </c>
      <c r="F23">
        <v>2043</v>
      </c>
      <c r="G23" t="s">
        <v>2</v>
      </c>
      <c r="H23" s="2">
        <v>33700.132783200002</v>
      </c>
      <c r="I23" s="2">
        <v>27660.12379872</v>
      </c>
      <c r="J23" s="2">
        <v>18686.885300400001</v>
      </c>
      <c r="K23" s="2">
        <v>9552.6283288800005</v>
      </c>
      <c r="L23" s="1">
        <v>0.37611852000000001</v>
      </c>
      <c r="M23" s="1">
        <v>0.30870753000000001</v>
      </c>
      <c r="N23" s="1">
        <v>0.20855952</v>
      </c>
      <c r="O23" s="1">
        <v>0.10661443</v>
      </c>
    </row>
    <row r="24" spans="1:15" x14ac:dyDescent="0.25">
      <c r="A24" t="s">
        <v>1</v>
      </c>
      <c r="B24" t="s">
        <v>337</v>
      </c>
      <c r="C24" t="s">
        <v>338</v>
      </c>
      <c r="D24">
        <v>1</v>
      </c>
      <c r="E24" t="s">
        <v>61</v>
      </c>
      <c r="F24">
        <v>2044</v>
      </c>
      <c r="G24" t="s">
        <v>2</v>
      </c>
      <c r="H24" s="2">
        <v>36108.800805120001</v>
      </c>
      <c r="I24" s="2">
        <v>25152.654788880001</v>
      </c>
      <c r="J24" s="2">
        <v>19573.43436168</v>
      </c>
      <c r="K24" s="2">
        <v>9586.2689841600004</v>
      </c>
      <c r="L24" s="1">
        <v>0.39934016999999999</v>
      </c>
      <c r="M24" s="1">
        <v>0.27817222000000003</v>
      </c>
      <c r="N24" s="1">
        <v>0.21646962</v>
      </c>
      <c r="O24" s="1">
        <v>0.10601798</v>
      </c>
    </row>
    <row r="25" spans="1:15" x14ac:dyDescent="0.25">
      <c r="A25" t="s">
        <v>1</v>
      </c>
      <c r="B25" t="s">
        <v>337</v>
      </c>
      <c r="C25" t="s">
        <v>338</v>
      </c>
      <c r="D25">
        <v>1</v>
      </c>
      <c r="E25" t="s">
        <v>61</v>
      </c>
      <c r="F25">
        <v>2045</v>
      </c>
      <c r="G25" t="s">
        <v>2</v>
      </c>
      <c r="H25" s="2">
        <v>36000.198974400002</v>
      </c>
      <c r="I25" s="2">
        <v>27089.028359280001</v>
      </c>
      <c r="J25" s="2">
        <v>17449.640085359999</v>
      </c>
      <c r="K25" s="2">
        <v>9560.0769923999997</v>
      </c>
      <c r="L25" s="1">
        <v>0.39956293999999998</v>
      </c>
      <c r="M25" s="1">
        <v>0.30065867000000002</v>
      </c>
      <c r="N25" s="1">
        <v>0.19367197</v>
      </c>
      <c r="O25" s="1">
        <v>0.10610643</v>
      </c>
    </row>
    <row r="26" spans="1:15" x14ac:dyDescent="0.25">
      <c r="A26" t="s">
        <v>1</v>
      </c>
      <c r="B26" t="s">
        <v>337</v>
      </c>
      <c r="C26" t="s">
        <v>338</v>
      </c>
      <c r="D26">
        <v>1</v>
      </c>
      <c r="E26" t="s">
        <v>61</v>
      </c>
      <c r="F26">
        <v>2046</v>
      </c>
      <c r="G26" t="s">
        <v>2</v>
      </c>
      <c r="H26" s="2">
        <v>33721.555820399997</v>
      </c>
      <c r="I26" s="2">
        <v>30174.88172352</v>
      </c>
      <c r="J26" s="2">
        <v>16788.96602376</v>
      </c>
      <c r="K26" s="2">
        <v>9552.6231508799992</v>
      </c>
      <c r="L26" s="1">
        <v>0.37369563</v>
      </c>
      <c r="M26" s="1">
        <v>0.33439207999999998</v>
      </c>
      <c r="N26" s="1">
        <v>0.18605200999999999</v>
      </c>
      <c r="O26" s="1">
        <v>0.10586028</v>
      </c>
    </row>
    <row r="27" spans="1:15" x14ac:dyDescent="0.25">
      <c r="A27" t="s">
        <v>1</v>
      </c>
      <c r="B27" t="s">
        <v>337</v>
      </c>
      <c r="C27" t="s">
        <v>338</v>
      </c>
      <c r="D27">
        <v>1</v>
      </c>
      <c r="E27" t="s">
        <v>61</v>
      </c>
      <c r="F27">
        <v>2047</v>
      </c>
      <c r="G27" t="s">
        <v>2</v>
      </c>
      <c r="H27" s="2">
        <v>36000.198974400002</v>
      </c>
      <c r="I27" s="2">
        <v>28037.305893119999</v>
      </c>
      <c r="J27" s="2">
        <v>16895.954742239999</v>
      </c>
      <c r="K27" s="2">
        <v>9560.0769923999997</v>
      </c>
      <c r="L27" s="1">
        <v>0.39782066999999999</v>
      </c>
      <c r="M27" s="1">
        <v>0.30982661</v>
      </c>
      <c r="N27" s="1">
        <v>0.18670897</v>
      </c>
      <c r="O27" s="1">
        <v>0.10564374999999999</v>
      </c>
    </row>
    <row r="28" spans="1:15" x14ac:dyDescent="0.25">
      <c r="A28" t="s">
        <v>1</v>
      </c>
      <c r="B28" t="s">
        <v>337</v>
      </c>
      <c r="C28" t="s">
        <v>338</v>
      </c>
      <c r="D28">
        <v>1</v>
      </c>
      <c r="E28" t="s">
        <v>61</v>
      </c>
      <c r="F28">
        <v>2048</v>
      </c>
      <c r="G28" t="s">
        <v>2</v>
      </c>
      <c r="H28" s="2">
        <v>36108.800805120001</v>
      </c>
      <c r="I28" s="2">
        <v>30415.567434479999</v>
      </c>
      <c r="J28" s="2">
        <v>15136.49562648</v>
      </c>
      <c r="K28" s="2">
        <v>9586.2689841600004</v>
      </c>
      <c r="L28" s="1">
        <v>0.39572531999999999</v>
      </c>
      <c r="M28" s="1">
        <v>0.33333175999999998</v>
      </c>
      <c r="N28" s="1">
        <v>0.16588462000000001</v>
      </c>
      <c r="O28" s="1">
        <v>0.10505829999999999</v>
      </c>
    </row>
    <row r="29" spans="1:15" x14ac:dyDescent="0.25">
      <c r="A29" t="s">
        <v>1</v>
      </c>
      <c r="B29" t="s">
        <v>337</v>
      </c>
      <c r="C29" t="s">
        <v>338</v>
      </c>
      <c r="D29">
        <v>1</v>
      </c>
      <c r="E29" t="s">
        <v>61</v>
      </c>
      <c r="F29">
        <v>2049</v>
      </c>
      <c r="G29" t="s">
        <v>2</v>
      </c>
      <c r="H29" s="2">
        <v>36000.198974400002</v>
      </c>
      <c r="I29" s="2">
        <v>28424.337142799999</v>
      </c>
      <c r="J29" s="2">
        <v>16925.871109200001</v>
      </c>
      <c r="K29" s="2">
        <v>9560.0769923999997</v>
      </c>
      <c r="L29" s="1">
        <v>0.39599612000000001</v>
      </c>
      <c r="M29" s="1">
        <v>0.31266292000000001</v>
      </c>
      <c r="N29" s="1">
        <v>0.18618172999999999</v>
      </c>
      <c r="O29" s="1">
        <v>0.10515924</v>
      </c>
    </row>
    <row r="30" spans="1:15" x14ac:dyDescent="0.25">
      <c r="A30" t="s">
        <v>1</v>
      </c>
      <c r="B30" t="s">
        <v>337</v>
      </c>
      <c r="C30" t="s">
        <v>338</v>
      </c>
      <c r="D30">
        <v>1</v>
      </c>
      <c r="E30" t="s">
        <v>61</v>
      </c>
      <c r="F30">
        <v>2050</v>
      </c>
      <c r="G30" t="s">
        <v>2</v>
      </c>
      <c r="H30" s="2">
        <v>36000.198974400002</v>
      </c>
      <c r="I30" s="2">
        <v>29078.858666159998</v>
      </c>
      <c r="J30" s="2">
        <v>14156.058835919999</v>
      </c>
      <c r="K30" s="2">
        <v>9560.0769923999997</v>
      </c>
      <c r="L30" s="1">
        <v>0.40542959000000001</v>
      </c>
      <c r="M30" s="1">
        <v>0.32748234999999998</v>
      </c>
      <c r="N30" s="1">
        <v>0.15942371</v>
      </c>
      <c r="O30" s="1">
        <v>0.10766435000000001</v>
      </c>
    </row>
    <row r="31" spans="1:15" x14ac:dyDescent="0.25">
      <c r="A31" t="s">
        <v>1</v>
      </c>
      <c r="B31" t="s">
        <v>337</v>
      </c>
      <c r="C31" t="s">
        <v>338</v>
      </c>
      <c r="D31">
        <v>1</v>
      </c>
      <c r="E31" t="s">
        <v>61</v>
      </c>
      <c r="F31">
        <v>2051</v>
      </c>
      <c r="G31" t="s">
        <v>2</v>
      </c>
      <c r="H31" s="2">
        <v>36000.198974400002</v>
      </c>
      <c r="I31" s="2">
        <v>28436.709255599999</v>
      </c>
      <c r="J31" s="2">
        <v>12451.590028320001</v>
      </c>
      <c r="K31" s="2">
        <v>9560.0769923999997</v>
      </c>
      <c r="L31" s="1">
        <v>0.41643483999999997</v>
      </c>
      <c r="M31" s="1">
        <v>0.32894363999999998</v>
      </c>
      <c r="N31" s="1">
        <v>0.14403464999999999</v>
      </c>
      <c r="O31" s="1">
        <v>0.11058687</v>
      </c>
    </row>
    <row r="32" spans="1:15" x14ac:dyDescent="0.25">
      <c r="A32" t="s">
        <v>1</v>
      </c>
      <c r="B32" t="s">
        <v>337</v>
      </c>
      <c r="C32" t="s">
        <v>338</v>
      </c>
      <c r="D32">
        <v>1</v>
      </c>
      <c r="E32" t="s">
        <v>62</v>
      </c>
      <c r="F32">
        <v>2022</v>
      </c>
      <c r="G32" t="s">
        <v>2</v>
      </c>
      <c r="H32">
        <v>27665.057148479958</v>
      </c>
      <c r="I32">
        <v>18385.097673359993</v>
      </c>
      <c r="J32">
        <v>6333.7514539199883</v>
      </c>
      <c r="K32">
        <v>31314.912659999813</v>
      </c>
      <c r="L32">
        <v>0.33053103377376603</v>
      </c>
      <c r="M32">
        <v>0.219657790959641</v>
      </c>
      <c r="N32">
        <v>7.5673128180951399E-2</v>
      </c>
      <c r="O32">
        <v>0.37413804708564102</v>
      </c>
    </row>
    <row r="33" spans="1:15" x14ac:dyDescent="0.25">
      <c r="A33" t="s">
        <v>1</v>
      </c>
      <c r="B33" t="s">
        <v>337</v>
      </c>
      <c r="C33" t="s">
        <v>338</v>
      </c>
      <c r="D33">
        <v>1</v>
      </c>
      <c r="E33" t="s">
        <v>62</v>
      </c>
      <c r="F33">
        <v>2023</v>
      </c>
      <c r="G33" t="s">
        <v>2</v>
      </c>
      <c r="H33">
        <v>36000.198974399864</v>
      </c>
      <c r="I33">
        <v>12394.451720880013</v>
      </c>
      <c r="J33">
        <v>3412.4301261600008</v>
      </c>
      <c r="K33">
        <v>33252.478417679784</v>
      </c>
      <c r="L33">
        <v>0.42323519303922102</v>
      </c>
      <c r="M33">
        <v>0.14571497703199601</v>
      </c>
      <c r="N33">
        <v>4.0118126130503098E-2</v>
      </c>
      <c r="O33">
        <v>0.39093170379828002</v>
      </c>
    </row>
    <row r="34" spans="1:15" x14ac:dyDescent="0.25">
      <c r="A34" t="s">
        <v>1</v>
      </c>
      <c r="B34" t="s">
        <v>337</v>
      </c>
      <c r="C34" t="s">
        <v>338</v>
      </c>
      <c r="D34">
        <v>1</v>
      </c>
      <c r="E34" t="s">
        <v>62</v>
      </c>
      <c r="F34">
        <v>2024</v>
      </c>
      <c r="G34" t="s">
        <v>2</v>
      </c>
      <c r="H34">
        <v>35312.388781679882</v>
      </c>
      <c r="I34">
        <v>14629.48461408002</v>
      </c>
      <c r="J34">
        <v>4213.0227232800062</v>
      </c>
      <c r="K34">
        <v>27410.91989615979</v>
      </c>
      <c r="L34">
        <v>0.43293122666852801</v>
      </c>
      <c r="M34">
        <v>0.179358036598982</v>
      </c>
      <c r="N34">
        <v>5.1651818483553401E-2</v>
      </c>
      <c r="O34">
        <v>0.33605891824893602</v>
      </c>
    </row>
    <row r="35" spans="1:15" x14ac:dyDescent="0.25">
      <c r="A35" t="s">
        <v>1</v>
      </c>
      <c r="B35" t="s">
        <v>337</v>
      </c>
      <c r="C35" t="s">
        <v>338</v>
      </c>
      <c r="D35">
        <v>1</v>
      </c>
      <c r="E35" t="s">
        <v>62</v>
      </c>
      <c r="F35">
        <v>2025</v>
      </c>
      <c r="G35" t="s">
        <v>2</v>
      </c>
      <c r="H35">
        <v>36000.198974399864</v>
      </c>
      <c r="I35">
        <v>20480.414241839975</v>
      </c>
      <c r="J35">
        <v>1369.5678611999999</v>
      </c>
      <c r="K35">
        <v>25555.18991519991</v>
      </c>
      <c r="L35">
        <v>0.43162926494957699</v>
      </c>
      <c r="M35">
        <v>0.24555270239907301</v>
      </c>
      <c r="N35">
        <v>1.6420619498483599E-2</v>
      </c>
      <c r="O35">
        <v>0.306397413152866</v>
      </c>
    </row>
    <row r="36" spans="1:15" x14ac:dyDescent="0.25">
      <c r="A36" t="s">
        <v>1</v>
      </c>
      <c r="B36" t="s">
        <v>337</v>
      </c>
      <c r="C36" t="s">
        <v>338</v>
      </c>
      <c r="D36">
        <v>1</v>
      </c>
      <c r="E36" t="s">
        <v>62</v>
      </c>
      <c r="F36">
        <v>2026</v>
      </c>
      <c r="G36" t="s">
        <v>2</v>
      </c>
      <c r="H36">
        <v>36000.198974399864</v>
      </c>
      <c r="I36">
        <v>25411.091171519951</v>
      </c>
      <c r="J36">
        <v>4566.733226639999</v>
      </c>
      <c r="K36">
        <v>15490.261779600101</v>
      </c>
      <c r="L36">
        <v>0.44189219040466599</v>
      </c>
      <c r="M36">
        <v>0.31191390765202898</v>
      </c>
      <c r="N36">
        <v>5.6055349859281102E-2</v>
      </c>
      <c r="O36">
        <v>0.190138552084024</v>
      </c>
    </row>
    <row r="37" spans="1:15" x14ac:dyDescent="0.25">
      <c r="A37" t="s">
        <v>1</v>
      </c>
      <c r="B37" t="s">
        <v>337</v>
      </c>
      <c r="C37" t="s">
        <v>338</v>
      </c>
      <c r="D37">
        <v>1</v>
      </c>
      <c r="E37" t="s">
        <v>62</v>
      </c>
      <c r="F37">
        <v>2027</v>
      </c>
      <c r="G37" t="s">
        <v>2</v>
      </c>
      <c r="H37">
        <v>36000.198974399864</v>
      </c>
      <c r="I37">
        <v>28385.159639999933</v>
      </c>
      <c r="J37">
        <v>7907.4416846399963</v>
      </c>
      <c r="K37">
        <v>9560.0769924000033</v>
      </c>
      <c r="L37">
        <v>0.43981592542214498</v>
      </c>
      <c r="M37">
        <v>0.34678267373465299</v>
      </c>
      <c r="N37">
        <v>9.6605543339488203E-2</v>
      </c>
      <c r="O37">
        <v>0.116795857503714</v>
      </c>
    </row>
    <row r="38" spans="1:15" x14ac:dyDescent="0.25">
      <c r="A38" t="s">
        <v>1</v>
      </c>
      <c r="B38" t="s">
        <v>337</v>
      </c>
      <c r="C38" t="s">
        <v>338</v>
      </c>
      <c r="D38">
        <v>1</v>
      </c>
      <c r="E38" t="s">
        <v>62</v>
      </c>
      <c r="F38">
        <v>2028</v>
      </c>
      <c r="G38" t="s">
        <v>2</v>
      </c>
      <c r="H38">
        <v>36003.187706639867</v>
      </c>
      <c r="I38">
        <v>32178.478382399891</v>
      </c>
      <c r="J38">
        <v>3551.1252671999996</v>
      </c>
      <c r="K38">
        <v>9586.268984160004</v>
      </c>
      <c r="L38">
        <v>0.44273983929390398</v>
      </c>
      <c r="M38">
        <v>0.39570647087781802</v>
      </c>
      <c r="N38">
        <v>4.3669039611808999E-2</v>
      </c>
      <c r="O38">
        <v>0.11788465021647</v>
      </c>
    </row>
    <row r="39" spans="1:15" x14ac:dyDescent="0.25">
      <c r="A39" t="s">
        <v>1</v>
      </c>
      <c r="B39" t="s">
        <v>337</v>
      </c>
      <c r="C39" t="s">
        <v>338</v>
      </c>
      <c r="D39">
        <v>1</v>
      </c>
      <c r="E39" t="s">
        <v>62</v>
      </c>
      <c r="F39">
        <v>2029</v>
      </c>
      <c r="G39" t="s">
        <v>2</v>
      </c>
      <c r="H39">
        <v>34832.061131279894</v>
      </c>
      <c r="I39">
        <v>31940.767371599886</v>
      </c>
      <c r="J39">
        <v>3583.02383568</v>
      </c>
      <c r="K39">
        <v>9560.0769924000033</v>
      </c>
      <c r="L39">
        <v>0.435858800903486</v>
      </c>
      <c r="M39">
        <v>0.39967960879641401</v>
      </c>
      <c r="N39">
        <v>4.4834914211426401E-2</v>
      </c>
      <c r="O39">
        <v>0.119626676088673</v>
      </c>
    </row>
    <row r="40" spans="1:15" x14ac:dyDescent="0.25">
      <c r="A40" t="s">
        <v>1</v>
      </c>
      <c r="B40" t="s">
        <v>337</v>
      </c>
      <c r="C40" t="s">
        <v>338</v>
      </c>
      <c r="D40">
        <v>1</v>
      </c>
      <c r="E40" t="s">
        <v>62</v>
      </c>
      <c r="F40">
        <v>2030</v>
      </c>
      <c r="G40" t="s">
        <v>2</v>
      </c>
      <c r="H40">
        <v>34715.1958543199</v>
      </c>
      <c r="I40">
        <v>26138.315632799946</v>
      </c>
      <c r="J40">
        <v>8845.8502567199921</v>
      </c>
      <c r="K40">
        <v>9560.0769924000033</v>
      </c>
      <c r="L40">
        <v>0.43799446990591701</v>
      </c>
      <c r="M40">
        <v>0.32978174018848699</v>
      </c>
      <c r="N40">
        <v>0.111606269206085</v>
      </c>
      <c r="O40">
        <v>0.120617520699511</v>
      </c>
    </row>
    <row r="41" spans="1:15" x14ac:dyDescent="0.25">
      <c r="A41" t="s">
        <v>1</v>
      </c>
      <c r="B41" t="s">
        <v>337</v>
      </c>
      <c r="C41" t="s">
        <v>338</v>
      </c>
      <c r="D41">
        <v>1</v>
      </c>
      <c r="E41" t="s">
        <v>62</v>
      </c>
      <c r="F41">
        <v>2031</v>
      </c>
      <c r="G41" t="s">
        <v>2</v>
      </c>
      <c r="H41">
        <v>35147.20242575989</v>
      </c>
      <c r="I41">
        <v>25513.244359919958</v>
      </c>
      <c r="J41">
        <v>8331.9527385599995</v>
      </c>
      <c r="K41">
        <v>9560.0769924000033</v>
      </c>
      <c r="L41">
        <v>0.447435955991975</v>
      </c>
      <c r="M41">
        <v>0.32479236163248698</v>
      </c>
      <c r="N41">
        <v>0.106068619450782</v>
      </c>
      <c r="O41">
        <v>0.12170306292475599</v>
      </c>
    </row>
    <row r="42" spans="1:15" x14ac:dyDescent="0.25">
      <c r="A42" t="s">
        <v>1</v>
      </c>
      <c r="B42" t="s">
        <v>337</v>
      </c>
      <c r="C42" t="s">
        <v>338</v>
      </c>
      <c r="D42">
        <v>1</v>
      </c>
      <c r="E42" t="s">
        <v>62</v>
      </c>
      <c r="F42">
        <v>2032</v>
      </c>
      <c r="G42" t="s">
        <v>2</v>
      </c>
      <c r="H42">
        <v>36108.800805119863</v>
      </c>
      <c r="I42">
        <v>22527.090971039972</v>
      </c>
      <c r="J42">
        <v>10177.433873759988</v>
      </c>
      <c r="K42">
        <v>9586.268984160004</v>
      </c>
      <c r="L42">
        <v>0.46057382023023402</v>
      </c>
      <c r="M42">
        <v>0.28733682968875401</v>
      </c>
      <c r="N42">
        <v>0.12981487877918099</v>
      </c>
      <c r="O42">
        <v>0.122274471301831</v>
      </c>
    </row>
    <row r="43" spans="1:15" x14ac:dyDescent="0.25">
      <c r="A43" t="s">
        <v>1</v>
      </c>
      <c r="B43" t="s">
        <v>337</v>
      </c>
      <c r="C43" t="s">
        <v>338</v>
      </c>
      <c r="D43">
        <v>1</v>
      </c>
      <c r="E43" t="s">
        <v>62</v>
      </c>
      <c r="F43">
        <v>2033</v>
      </c>
      <c r="G43" t="s">
        <v>2</v>
      </c>
      <c r="H43">
        <v>35033.358459839888</v>
      </c>
      <c r="I43">
        <v>22587.788071679977</v>
      </c>
      <c r="J43">
        <v>9995.2388759999885</v>
      </c>
      <c r="K43">
        <v>9560.0769924000033</v>
      </c>
      <c r="L43">
        <v>0.45393838186441998</v>
      </c>
      <c r="M43">
        <v>0.29267716307897801</v>
      </c>
      <c r="N43">
        <v>0.12951149307940299</v>
      </c>
      <c r="O43">
        <v>0.12387296197719901</v>
      </c>
    </row>
    <row r="44" spans="1:15" x14ac:dyDescent="0.25">
      <c r="A44" t="s">
        <v>1</v>
      </c>
      <c r="B44" t="s">
        <v>337</v>
      </c>
      <c r="C44" t="s">
        <v>338</v>
      </c>
      <c r="D44">
        <v>1</v>
      </c>
      <c r="E44" t="s">
        <v>62</v>
      </c>
      <c r="F44">
        <v>2034</v>
      </c>
      <c r="G44" t="s">
        <v>2</v>
      </c>
      <c r="H44">
        <v>34845.924762479895</v>
      </c>
      <c r="I44">
        <v>22197.740961359974</v>
      </c>
      <c r="J44">
        <v>9835.1991887999848</v>
      </c>
      <c r="K44">
        <v>9560.0769924000033</v>
      </c>
      <c r="L44">
        <v>0.45586613176525898</v>
      </c>
      <c r="M44">
        <v>0.29039832849774699</v>
      </c>
      <c r="N44">
        <v>0.12866739051697301</v>
      </c>
      <c r="O44">
        <v>0.12506814922001999</v>
      </c>
    </row>
    <row r="45" spans="1:15" x14ac:dyDescent="0.25">
      <c r="A45" t="s">
        <v>1</v>
      </c>
      <c r="B45" t="s">
        <v>337</v>
      </c>
      <c r="C45" t="s">
        <v>338</v>
      </c>
      <c r="D45">
        <v>1</v>
      </c>
      <c r="E45" t="s">
        <v>62</v>
      </c>
      <c r="F45">
        <v>2035</v>
      </c>
      <c r="G45" t="s">
        <v>2</v>
      </c>
      <c r="H45">
        <v>36000.198974399864</v>
      </c>
      <c r="I45">
        <v>19175.281300799998</v>
      </c>
      <c r="J45">
        <v>11102.795249759976</v>
      </c>
      <c r="K45">
        <v>9560.0769924000033</v>
      </c>
      <c r="L45">
        <v>0.47469647980761698</v>
      </c>
      <c r="M45">
        <v>0.25284411731400203</v>
      </c>
      <c r="N45">
        <v>0.146400796974308</v>
      </c>
      <c r="O45">
        <v>0.126058605904073</v>
      </c>
    </row>
    <row r="46" spans="1:15" x14ac:dyDescent="0.25">
      <c r="A46" t="s">
        <v>1</v>
      </c>
      <c r="B46" t="s">
        <v>337</v>
      </c>
      <c r="C46" t="s">
        <v>338</v>
      </c>
      <c r="D46">
        <v>1</v>
      </c>
      <c r="E46" t="s">
        <v>62</v>
      </c>
      <c r="F46">
        <v>2036</v>
      </c>
      <c r="G46" t="s">
        <v>2</v>
      </c>
      <c r="H46">
        <v>34654.613953919899</v>
      </c>
      <c r="I46">
        <v>20594.631651359992</v>
      </c>
      <c r="J46">
        <v>10824.823439039979</v>
      </c>
      <c r="K46">
        <v>9586.268984160004</v>
      </c>
      <c r="L46">
        <v>0.45802880157468101</v>
      </c>
      <c r="M46">
        <v>0.272198514941974</v>
      </c>
      <c r="N46">
        <v>0.14307130685783201</v>
      </c>
      <c r="O46">
        <v>0.12670137662551201</v>
      </c>
    </row>
    <row r="47" spans="1:15" x14ac:dyDescent="0.25">
      <c r="A47" t="s">
        <v>1</v>
      </c>
      <c r="B47" t="s">
        <v>337</v>
      </c>
      <c r="C47" t="s">
        <v>338</v>
      </c>
      <c r="D47">
        <v>1</v>
      </c>
      <c r="E47" t="s">
        <v>62</v>
      </c>
      <c r="F47">
        <v>2037</v>
      </c>
      <c r="G47" t="s">
        <v>2</v>
      </c>
      <c r="H47">
        <v>34338.002099759906</v>
      </c>
      <c r="I47">
        <v>19691.17911719999</v>
      </c>
      <c r="J47">
        <v>10877.802775679982</v>
      </c>
      <c r="K47">
        <v>9560.0769924000033</v>
      </c>
      <c r="L47">
        <v>0.46111665541169</v>
      </c>
      <c r="M47">
        <v>0.26442804183121799</v>
      </c>
      <c r="N47">
        <v>0.14607536045857</v>
      </c>
      <c r="O47">
        <v>0.12837994229852301</v>
      </c>
    </row>
    <row r="48" spans="1:15" x14ac:dyDescent="0.25">
      <c r="A48" t="s">
        <v>1</v>
      </c>
      <c r="B48" t="s">
        <v>337</v>
      </c>
      <c r="C48" t="s">
        <v>338</v>
      </c>
      <c r="D48">
        <v>1</v>
      </c>
      <c r="E48" t="s">
        <v>62</v>
      </c>
      <c r="F48">
        <v>2038</v>
      </c>
      <c r="G48" t="s">
        <v>2</v>
      </c>
      <c r="H48">
        <v>33786.640325039909</v>
      </c>
      <c r="I48">
        <v>18389.111610480009</v>
      </c>
      <c r="J48">
        <v>12007.582661759972</v>
      </c>
      <c r="K48">
        <v>9560.0769924000033</v>
      </c>
      <c r="L48">
        <v>0.45816486648372301</v>
      </c>
      <c r="M48">
        <v>0.24936616321468799</v>
      </c>
      <c r="N48">
        <v>0.16282922640699199</v>
      </c>
      <c r="O48">
        <v>0.12963974389459801</v>
      </c>
    </row>
    <row r="49" spans="1:15" x14ac:dyDescent="0.25">
      <c r="A49" t="s">
        <v>1</v>
      </c>
      <c r="B49" t="s">
        <v>337</v>
      </c>
      <c r="C49" t="s">
        <v>338</v>
      </c>
      <c r="D49">
        <v>1</v>
      </c>
      <c r="E49" t="s">
        <v>62</v>
      </c>
      <c r="F49">
        <v>2039</v>
      </c>
      <c r="G49" t="s">
        <v>2</v>
      </c>
      <c r="H49">
        <v>36000.198974399864</v>
      </c>
      <c r="I49">
        <v>16867.173365280021</v>
      </c>
      <c r="J49">
        <v>10697.65322519998</v>
      </c>
      <c r="K49">
        <v>9560.0769924000033</v>
      </c>
      <c r="L49">
        <v>0.492309722864326</v>
      </c>
      <c r="M49">
        <v>0.230661876365476</v>
      </c>
      <c r="N49">
        <v>0.146292488503799</v>
      </c>
      <c r="O49">
        <v>0.130735912266399</v>
      </c>
    </row>
    <row r="50" spans="1:15" x14ac:dyDescent="0.25">
      <c r="A50" t="s">
        <v>1</v>
      </c>
      <c r="B50" t="s">
        <v>337</v>
      </c>
      <c r="C50" t="s">
        <v>338</v>
      </c>
      <c r="D50">
        <v>1</v>
      </c>
      <c r="E50" t="s">
        <v>62</v>
      </c>
      <c r="F50">
        <v>2040</v>
      </c>
      <c r="G50" t="s">
        <v>2</v>
      </c>
      <c r="H50">
        <v>36108.800805119863</v>
      </c>
      <c r="I50">
        <v>12394.275625920014</v>
      </c>
      <c r="J50">
        <v>14767.556960879958</v>
      </c>
      <c r="K50">
        <v>9586.268984160004</v>
      </c>
      <c r="L50">
        <v>0.49561262732156702</v>
      </c>
      <c r="M50">
        <v>0.170118070103256</v>
      </c>
      <c r="N50">
        <v>0.20269262731829199</v>
      </c>
      <c r="O50">
        <v>0.13157667525688499</v>
      </c>
    </row>
    <row r="51" spans="1:15" x14ac:dyDescent="0.25">
      <c r="A51" t="s">
        <v>1</v>
      </c>
      <c r="B51" t="s">
        <v>337</v>
      </c>
      <c r="C51" t="s">
        <v>338</v>
      </c>
      <c r="D51">
        <v>1</v>
      </c>
      <c r="E51" t="s">
        <v>62</v>
      </c>
      <c r="F51">
        <v>2041</v>
      </c>
      <c r="G51" t="s">
        <v>2</v>
      </c>
      <c r="H51">
        <v>36000.198974399864</v>
      </c>
      <c r="I51">
        <v>14560.286773200016</v>
      </c>
      <c r="J51">
        <v>11709.685470479975</v>
      </c>
      <c r="K51">
        <v>9560.0769924000033</v>
      </c>
      <c r="L51">
        <v>0.50118438779315699</v>
      </c>
      <c r="M51">
        <v>0.202704113321938</v>
      </c>
      <c r="N51">
        <v>0.163018864088675</v>
      </c>
      <c r="O51">
        <v>0.13309263479623101</v>
      </c>
    </row>
    <row r="52" spans="1:15" x14ac:dyDescent="0.25">
      <c r="A52" t="s">
        <v>1</v>
      </c>
      <c r="B52" t="s">
        <v>337</v>
      </c>
      <c r="C52" t="s">
        <v>338</v>
      </c>
      <c r="D52">
        <v>1</v>
      </c>
      <c r="E52" t="s">
        <v>62</v>
      </c>
      <c r="F52">
        <v>2042</v>
      </c>
      <c r="G52" t="s">
        <v>2</v>
      </c>
      <c r="H52">
        <v>33349.388530079916</v>
      </c>
      <c r="I52">
        <v>15056.285233680012</v>
      </c>
      <c r="J52">
        <v>13315.358803199968</v>
      </c>
      <c r="K52">
        <v>9541.4512862400024</v>
      </c>
      <c r="L52">
        <v>0.46797959777516801</v>
      </c>
      <c r="M52">
        <v>0.21127926532417601</v>
      </c>
      <c r="N52">
        <v>0.18684949054862399</v>
      </c>
      <c r="O52">
        <v>0.13389164635203199</v>
      </c>
    </row>
    <row r="53" spans="1:15" x14ac:dyDescent="0.25">
      <c r="A53" t="s">
        <v>1</v>
      </c>
      <c r="B53" t="s">
        <v>337</v>
      </c>
      <c r="C53" t="s">
        <v>338</v>
      </c>
      <c r="D53">
        <v>1</v>
      </c>
      <c r="E53" t="s">
        <v>62</v>
      </c>
      <c r="F53">
        <v>2043</v>
      </c>
      <c r="G53" t="s">
        <v>2</v>
      </c>
      <c r="H53">
        <v>33343.103734079916</v>
      </c>
      <c r="I53">
        <v>14667.984263520017</v>
      </c>
      <c r="J53">
        <v>13210.146301199969</v>
      </c>
      <c r="K53">
        <v>9540.7584696000013</v>
      </c>
      <c r="L53">
        <v>0.47120074533810902</v>
      </c>
      <c r="M53">
        <v>0.20728619545138499</v>
      </c>
      <c r="N53">
        <v>0.18668420410990999</v>
      </c>
      <c r="O53">
        <v>0.134828855100596</v>
      </c>
    </row>
    <row r="54" spans="1:15" x14ac:dyDescent="0.25">
      <c r="A54" t="s">
        <v>1</v>
      </c>
      <c r="B54" t="s">
        <v>337</v>
      </c>
      <c r="C54" t="s">
        <v>338</v>
      </c>
      <c r="D54">
        <v>1</v>
      </c>
      <c r="E54" t="s">
        <v>62</v>
      </c>
      <c r="F54">
        <v>2044</v>
      </c>
      <c r="G54" t="s">
        <v>2</v>
      </c>
      <c r="H54">
        <v>36108.800805119863</v>
      </c>
      <c r="I54">
        <v>10750.280917920009</v>
      </c>
      <c r="J54">
        <v>14118.507502799976</v>
      </c>
      <c r="K54">
        <v>9586.268984160004</v>
      </c>
      <c r="L54">
        <v>0.51171806249112906</v>
      </c>
      <c r="M54">
        <v>0.15234825859332801</v>
      </c>
      <c r="N54">
        <v>0.20008128609950601</v>
      </c>
      <c r="O54">
        <v>0.135852392816037</v>
      </c>
    </row>
    <row r="55" spans="1:15" x14ac:dyDescent="0.25">
      <c r="A55" t="s">
        <v>1</v>
      </c>
      <c r="B55" t="s">
        <v>337</v>
      </c>
      <c r="C55" t="s">
        <v>338</v>
      </c>
      <c r="D55">
        <v>1</v>
      </c>
      <c r="E55" t="s">
        <v>62</v>
      </c>
      <c r="F55">
        <v>2045</v>
      </c>
      <c r="G55" t="s">
        <v>2</v>
      </c>
      <c r="H55">
        <v>36000.198974399864</v>
      </c>
      <c r="I55">
        <v>12822.157203360008</v>
      </c>
      <c r="J55">
        <v>11327.206886639971</v>
      </c>
      <c r="K55">
        <v>9560.0769924000033</v>
      </c>
      <c r="L55">
        <v>0.51643071094710402</v>
      </c>
      <c r="M55">
        <v>0.18393664338120899</v>
      </c>
      <c r="N55">
        <v>0.16249125483090299</v>
      </c>
      <c r="O55">
        <v>0.137141390840785</v>
      </c>
    </row>
    <row r="56" spans="1:15" x14ac:dyDescent="0.25">
      <c r="A56" t="s">
        <v>1</v>
      </c>
      <c r="B56" t="s">
        <v>337</v>
      </c>
      <c r="C56" t="s">
        <v>338</v>
      </c>
      <c r="D56">
        <v>1</v>
      </c>
      <c r="E56" t="s">
        <v>62</v>
      </c>
      <c r="F56">
        <v>2046</v>
      </c>
      <c r="G56" t="s">
        <v>2</v>
      </c>
      <c r="H56">
        <v>33324.236907359918</v>
      </c>
      <c r="I56">
        <v>18014.083240560016</v>
      </c>
      <c r="J56">
        <v>8309.0054047200028</v>
      </c>
      <c r="K56">
        <v>9538.6945183200023</v>
      </c>
      <c r="L56">
        <v>0.48166142340867801</v>
      </c>
      <c r="M56">
        <v>0.26037172281458099</v>
      </c>
      <c r="N56">
        <v>0.12009659460390899</v>
      </c>
      <c r="O56">
        <v>0.13787025917283199</v>
      </c>
    </row>
    <row r="57" spans="1:15" x14ac:dyDescent="0.25">
      <c r="A57" t="s">
        <v>1</v>
      </c>
      <c r="B57" t="s">
        <v>337</v>
      </c>
      <c r="C57" t="s">
        <v>338</v>
      </c>
      <c r="D57">
        <v>1</v>
      </c>
      <c r="E57" t="s">
        <v>62</v>
      </c>
      <c r="F57">
        <v>2047</v>
      </c>
      <c r="G57" t="s">
        <v>2</v>
      </c>
      <c r="H57">
        <v>36000.198974399864</v>
      </c>
      <c r="I57">
        <v>12202.65186984002</v>
      </c>
      <c r="J57">
        <v>11041.176309599994</v>
      </c>
      <c r="K57">
        <v>9560.0769924000033</v>
      </c>
      <c r="L57">
        <v>0.52322749378268396</v>
      </c>
      <c r="M57">
        <v>0.177353546292876</v>
      </c>
      <c r="N57">
        <v>0.16047264108159201</v>
      </c>
      <c r="O57">
        <v>0.138946318842849</v>
      </c>
    </row>
    <row r="58" spans="1:15" x14ac:dyDescent="0.25">
      <c r="A58" t="s">
        <v>1</v>
      </c>
      <c r="B58" t="s">
        <v>337</v>
      </c>
      <c r="C58" t="s">
        <v>338</v>
      </c>
      <c r="D58">
        <v>1</v>
      </c>
      <c r="E58" t="s">
        <v>62</v>
      </c>
      <c r="F58">
        <v>2048</v>
      </c>
      <c r="G58" t="s">
        <v>2</v>
      </c>
      <c r="H58">
        <v>36108.800805119863</v>
      </c>
      <c r="I58">
        <v>15046.004438880012</v>
      </c>
      <c r="J58">
        <v>8009.1287839200004</v>
      </c>
      <c r="K58">
        <v>9586.268984160004</v>
      </c>
      <c r="L58">
        <v>0.52521736988580703</v>
      </c>
      <c r="M58">
        <v>0.21885032741265301</v>
      </c>
      <c r="N58">
        <v>0.11649607467359401</v>
      </c>
      <c r="O58">
        <v>0.139436228027947</v>
      </c>
    </row>
    <row r="59" spans="1:15" x14ac:dyDescent="0.25">
      <c r="A59" t="s">
        <v>1</v>
      </c>
      <c r="B59" t="s">
        <v>337</v>
      </c>
      <c r="C59" t="s">
        <v>338</v>
      </c>
      <c r="D59">
        <v>1</v>
      </c>
      <c r="E59" t="s">
        <v>62</v>
      </c>
      <c r="F59">
        <v>2049</v>
      </c>
      <c r="G59" t="s">
        <v>2</v>
      </c>
      <c r="H59">
        <v>35983.533380399866</v>
      </c>
      <c r="I59">
        <v>13615.101987600028</v>
      </c>
      <c r="J59">
        <v>8790.7275216000016</v>
      </c>
      <c r="K59">
        <v>9560.0769924000033</v>
      </c>
      <c r="L59">
        <v>0.52956335538436194</v>
      </c>
      <c r="M59">
        <v>0.20037107018459399</v>
      </c>
      <c r="N59">
        <v>0.12937159654098501</v>
      </c>
      <c r="O59">
        <v>0.140693977890059</v>
      </c>
    </row>
    <row r="60" spans="1:15" x14ac:dyDescent="0.25">
      <c r="A60" t="s">
        <v>1</v>
      </c>
      <c r="B60" t="s">
        <v>337</v>
      </c>
      <c r="C60" t="s">
        <v>338</v>
      </c>
      <c r="D60">
        <v>1</v>
      </c>
      <c r="E60" t="s">
        <v>62</v>
      </c>
      <c r="F60">
        <v>2050</v>
      </c>
      <c r="G60" t="s">
        <v>2</v>
      </c>
      <c r="H60">
        <v>35896.71964847987</v>
      </c>
      <c r="I60">
        <v>14526.582707280022</v>
      </c>
      <c r="J60">
        <v>5278.7024099999971</v>
      </c>
      <c r="K60">
        <v>9560.0769924000033</v>
      </c>
      <c r="L60">
        <v>0.55003945141531796</v>
      </c>
      <c r="M60">
        <v>0.22258840533329599</v>
      </c>
      <c r="N60">
        <v>8.0884677101799404E-2</v>
      </c>
      <c r="O60">
        <v>0.14648746614958699</v>
      </c>
    </row>
    <row r="61" spans="1:15" x14ac:dyDescent="0.25">
      <c r="A61" t="s">
        <v>1</v>
      </c>
      <c r="B61" t="s">
        <v>337</v>
      </c>
      <c r="C61" t="s">
        <v>338</v>
      </c>
      <c r="D61">
        <v>1</v>
      </c>
      <c r="E61" t="s">
        <v>62</v>
      </c>
      <c r="F61">
        <v>2051</v>
      </c>
      <c r="G61" t="s">
        <v>2</v>
      </c>
      <c r="H61">
        <v>35896.71964847987</v>
      </c>
      <c r="I61">
        <v>14526.431777760028</v>
      </c>
      <c r="J61">
        <v>5127.5666865599969</v>
      </c>
      <c r="K61">
        <v>9560.0769924000033</v>
      </c>
      <c r="L61">
        <v>0.551317482615307</v>
      </c>
      <c r="M61">
        <v>0.22310327733349899</v>
      </c>
      <c r="N61">
        <v>7.8751406403121907E-2</v>
      </c>
      <c r="O61">
        <v>0.146827833648072</v>
      </c>
    </row>
    <row r="62" spans="1:15" x14ac:dyDescent="0.25">
      <c r="A62" t="s">
        <v>1</v>
      </c>
      <c r="B62" t="s">
        <v>337</v>
      </c>
      <c r="C62" t="s">
        <v>338</v>
      </c>
      <c r="D62">
        <v>1</v>
      </c>
      <c r="E62" t="s">
        <v>63</v>
      </c>
      <c r="F62">
        <v>2022</v>
      </c>
      <c r="G62" t="s">
        <v>2</v>
      </c>
      <c r="H62">
        <v>27665.057148479958</v>
      </c>
      <c r="I62">
        <v>18377.422566959998</v>
      </c>
      <c r="J62">
        <v>6331.8672115199906</v>
      </c>
      <c r="K62">
        <v>31305.507971279818</v>
      </c>
      <c r="L62">
        <v>0.33060594072638499</v>
      </c>
      <c r="M62">
        <v>0.21961585126202901</v>
      </c>
      <c r="N62">
        <v>7.5667760409240198E-2</v>
      </c>
      <c r="O62">
        <v>0.37411044760234602</v>
      </c>
    </row>
    <row r="63" spans="1:15" x14ac:dyDescent="0.25">
      <c r="A63" t="s">
        <v>1</v>
      </c>
      <c r="B63" t="s">
        <v>337</v>
      </c>
      <c r="C63" t="s">
        <v>338</v>
      </c>
      <c r="D63">
        <v>1</v>
      </c>
      <c r="E63" t="s">
        <v>63</v>
      </c>
      <c r="F63">
        <v>2023</v>
      </c>
      <c r="G63" t="s">
        <v>2</v>
      </c>
      <c r="H63">
        <v>36000.198974399864</v>
      </c>
      <c r="I63">
        <v>11958.852282960013</v>
      </c>
      <c r="J63">
        <v>3376.0166836800004</v>
      </c>
      <c r="K63">
        <v>33252.478417679784</v>
      </c>
      <c r="L63">
        <v>0.42559691732551103</v>
      </c>
      <c r="M63">
        <v>0.14137840376933</v>
      </c>
      <c r="N63">
        <v>3.9911509779027701E-2</v>
      </c>
      <c r="O63">
        <v>0.39311316912613098</v>
      </c>
    </row>
    <row r="64" spans="1:15" x14ac:dyDescent="0.25">
      <c r="A64" t="s">
        <v>1</v>
      </c>
      <c r="B64" t="s">
        <v>337</v>
      </c>
      <c r="C64" t="s">
        <v>338</v>
      </c>
      <c r="D64">
        <v>1</v>
      </c>
      <c r="E64" t="s">
        <v>63</v>
      </c>
      <c r="F64">
        <v>2024</v>
      </c>
      <c r="G64" t="s">
        <v>2</v>
      </c>
      <c r="H64">
        <v>35255.003465279886</v>
      </c>
      <c r="I64">
        <v>13909.681436400018</v>
      </c>
      <c r="J64">
        <v>4206.9446990400056</v>
      </c>
      <c r="K64">
        <v>27410.91989615979</v>
      </c>
      <c r="L64">
        <v>0.43641855431464999</v>
      </c>
      <c r="M64">
        <v>0.17218671016241299</v>
      </c>
      <c r="N64">
        <v>5.2077394502169097E-2</v>
      </c>
      <c r="O64">
        <v>0.33931734102076799</v>
      </c>
    </row>
    <row r="65" spans="1:15" x14ac:dyDescent="0.25">
      <c r="A65" t="s">
        <v>1</v>
      </c>
      <c r="B65" t="s">
        <v>337</v>
      </c>
      <c r="C65" t="s">
        <v>338</v>
      </c>
      <c r="D65">
        <v>1</v>
      </c>
      <c r="E65" t="s">
        <v>63</v>
      </c>
      <c r="F65">
        <v>2025</v>
      </c>
      <c r="G65" t="s">
        <v>2</v>
      </c>
      <c r="H65">
        <v>36000.198974399864</v>
      </c>
      <c r="I65">
        <v>19102.716430079996</v>
      </c>
      <c r="J65">
        <v>1295.1873453599997</v>
      </c>
      <c r="K65">
        <v>25555.18991519991</v>
      </c>
      <c r="L65">
        <v>0.43927702968006699</v>
      </c>
      <c r="M65">
        <v>0.23309272646502199</v>
      </c>
      <c r="N65">
        <v>1.5803969593432901E-2</v>
      </c>
      <c r="O65">
        <v>0.31182627426147802</v>
      </c>
    </row>
    <row r="66" spans="1:15" x14ac:dyDescent="0.25">
      <c r="A66" t="s">
        <v>1</v>
      </c>
      <c r="B66" t="s">
        <v>337</v>
      </c>
      <c r="C66" t="s">
        <v>338</v>
      </c>
      <c r="D66">
        <v>1</v>
      </c>
      <c r="E66" t="s">
        <v>63</v>
      </c>
      <c r="F66">
        <v>2026</v>
      </c>
      <c r="G66" t="s">
        <v>2</v>
      </c>
      <c r="H66">
        <v>36000.198974399864</v>
      </c>
      <c r="I66">
        <v>24399.443285039961</v>
      </c>
      <c r="J66">
        <v>4400.4770445599997</v>
      </c>
      <c r="K66">
        <v>15490.261779600101</v>
      </c>
      <c r="L66">
        <v>0.448374991979621</v>
      </c>
      <c r="M66">
        <v>0.30388999224745</v>
      </c>
      <c r="N66">
        <v>5.4807026510163601E-2</v>
      </c>
      <c r="O66">
        <v>0.192927989262765</v>
      </c>
    </row>
    <row r="67" spans="1:15" x14ac:dyDescent="0.25">
      <c r="A67" t="s">
        <v>1</v>
      </c>
      <c r="B67" t="s">
        <v>337</v>
      </c>
      <c r="C67" t="s">
        <v>338</v>
      </c>
      <c r="D67">
        <v>1</v>
      </c>
      <c r="E67" t="s">
        <v>63</v>
      </c>
      <c r="F67">
        <v>2027</v>
      </c>
      <c r="G67" t="s">
        <v>2</v>
      </c>
      <c r="H67">
        <v>36000.198974399864</v>
      </c>
      <c r="I67">
        <v>28286.297178719924</v>
      </c>
      <c r="J67">
        <v>6965.3675215199992</v>
      </c>
      <c r="K67">
        <v>9560.0769924000033</v>
      </c>
      <c r="L67">
        <v>0.44548118356329702</v>
      </c>
      <c r="M67">
        <v>0.35002620832068299</v>
      </c>
      <c r="N67">
        <v>8.61923060382698E-2</v>
      </c>
      <c r="O67">
        <v>0.11830030207775</v>
      </c>
    </row>
    <row r="68" spans="1:15" x14ac:dyDescent="0.25">
      <c r="A68" t="s">
        <v>1</v>
      </c>
      <c r="B68" t="s">
        <v>337</v>
      </c>
      <c r="C68" t="s">
        <v>338</v>
      </c>
      <c r="D68">
        <v>1</v>
      </c>
      <c r="E68" t="s">
        <v>63</v>
      </c>
      <c r="F68">
        <v>2028</v>
      </c>
      <c r="G68" t="s">
        <v>2</v>
      </c>
      <c r="H68">
        <v>35962.689609599867</v>
      </c>
      <c r="I68">
        <v>31781.009226719911</v>
      </c>
      <c r="J68">
        <v>2783.8985443200004</v>
      </c>
      <c r="K68">
        <v>9586.268984160004</v>
      </c>
      <c r="L68">
        <v>0.44889469503123403</v>
      </c>
      <c r="M68">
        <v>0.39669798336787998</v>
      </c>
      <c r="N68">
        <v>3.4749272137777898E-2</v>
      </c>
      <c r="O68">
        <v>0.119658049463108</v>
      </c>
    </row>
    <row r="69" spans="1:15" x14ac:dyDescent="0.25">
      <c r="A69" t="s">
        <v>1</v>
      </c>
      <c r="B69" t="s">
        <v>337</v>
      </c>
      <c r="C69" t="s">
        <v>338</v>
      </c>
      <c r="D69">
        <v>1</v>
      </c>
      <c r="E69" t="s">
        <v>63</v>
      </c>
      <c r="F69">
        <v>2029</v>
      </c>
      <c r="G69" t="s">
        <v>2</v>
      </c>
      <c r="H69">
        <v>34927.945341839892</v>
      </c>
      <c r="I69">
        <v>31202.243059439912</v>
      </c>
      <c r="J69">
        <v>3071.0246649600008</v>
      </c>
      <c r="K69">
        <v>9560.0769924000033</v>
      </c>
      <c r="L69">
        <v>0.44346588680600801</v>
      </c>
      <c r="M69">
        <v>0.39616216336996302</v>
      </c>
      <c r="N69">
        <v>3.8991548547180302E-2</v>
      </c>
      <c r="O69">
        <v>0.121380401276849</v>
      </c>
    </row>
    <row r="70" spans="1:15" x14ac:dyDescent="0.25">
      <c r="A70" t="s">
        <v>1</v>
      </c>
      <c r="B70" t="s">
        <v>337</v>
      </c>
      <c r="C70" t="s">
        <v>338</v>
      </c>
      <c r="D70">
        <v>1</v>
      </c>
      <c r="E70" t="s">
        <v>63</v>
      </c>
      <c r="F70">
        <v>2030</v>
      </c>
      <c r="G70" t="s">
        <v>2</v>
      </c>
      <c r="H70">
        <v>34839.281311199898</v>
      </c>
      <c r="I70">
        <v>25517.868107519949</v>
      </c>
      <c r="J70">
        <v>8223.8990603999937</v>
      </c>
      <c r="K70">
        <v>9560.0769924000033</v>
      </c>
      <c r="L70">
        <v>0.44585077449259197</v>
      </c>
      <c r="M70">
        <v>0.32656130755143098</v>
      </c>
      <c r="N70">
        <v>0.10524418493815201</v>
      </c>
      <c r="O70">
        <v>0.122343733017825</v>
      </c>
    </row>
    <row r="71" spans="1:15" x14ac:dyDescent="0.25">
      <c r="A71" t="s">
        <v>1</v>
      </c>
      <c r="B71" t="s">
        <v>337</v>
      </c>
      <c r="C71" t="s">
        <v>338</v>
      </c>
      <c r="D71">
        <v>1</v>
      </c>
      <c r="E71" t="s">
        <v>63</v>
      </c>
      <c r="F71">
        <v>2031</v>
      </c>
      <c r="G71" t="s">
        <v>2</v>
      </c>
      <c r="H71">
        <v>35307.265189199883</v>
      </c>
      <c r="I71">
        <v>24848.148222479955</v>
      </c>
      <c r="J71">
        <v>7760.6081284799993</v>
      </c>
      <c r="K71">
        <v>9560.0769924000033</v>
      </c>
      <c r="L71">
        <v>0.45571816157420197</v>
      </c>
      <c r="M71">
        <v>0.32072017942459202</v>
      </c>
      <c r="N71">
        <v>0.100167771422028</v>
      </c>
      <c r="O71">
        <v>0.123393887579178</v>
      </c>
    </row>
    <row r="72" spans="1:15" x14ac:dyDescent="0.25">
      <c r="A72" t="s">
        <v>1</v>
      </c>
      <c r="B72" t="s">
        <v>337</v>
      </c>
      <c r="C72" t="s">
        <v>338</v>
      </c>
      <c r="D72">
        <v>1</v>
      </c>
      <c r="E72" t="s">
        <v>63</v>
      </c>
      <c r="F72">
        <v>2032</v>
      </c>
      <c r="G72" t="s">
        <v>2</v>
      </c>
      <c r="H72">
        <v>36108.800805119863</v>
      </c>
      <c r="I72">
        <v>22575.272471759967</v>
      </c>
      <c r="J72">
        <v>9018.90917015999</v>
      </c>
      <c r="K72">
        <v>9586.268984160004</v>
      </c>
      <c r="L72">
        <v>0.46719045839462697</v>
      </c>
      <c r="M72">
        <v>0.29208812420515801</v>
      </c>
      <c r="N72">
        <v>0.116690341841237</v>
      </c>
      <c r="O72">
        <v>0.12403107555897799</v>
      </c>
    </row>
    <row r="73" spans="1:15" x14ac:dyDescent="0.25">
      <c r="A73" t="s">
        <v>1</v>
      </c>
      <c r="B73" t="s">
        <v>337</v>
      </c>
      <c r="C73" t="s">
        <v>338</v>
      </c>
      <c r="D73">
        <v>1</v>
      </c>
      <c r="E73" t="s">
        <v>63</v>
      </c>
      <c r="F73">
        <v>2033</v>
      </c>
      <c r="G73" t="s">
        <v>2</v>
      </c>
      <c r="H73">
        <v>35260.687472399884</v>
      </c>
      <c r="I73">
        <v>22454.83047599997</v>
      </c>
      <c r="J73">
        <v>8771.5294483199923</v>
      </c>
      <c r="K73">
        <v>9560.0769924000033</v>
      </c>
      <c r="L73">
        <v>0.46366891260709803</v>
      </c>
      <c r="M73">
        <v>0.29527520805523899</v>
      </c>
      <c r="N73">
        <v>0.11534334162903501</v>
      </c>
      <c r="O73">
        <v>0.125712537708629</v>
      </c>
    </row>
    <row r="74" spans="1:15" x14ac:dyDescent="0.25">
      <c r="A74" t="s">
        <v>1</v>
      </c>
      <c r="B74" t="s">
        <v>337</v>
      </c>
      <c r="C74" t="s">
        <v>338</v>
      </c>
      <c r="D74">
        <v>1</v>
      </c>
      <c r="E74" t="s">
        <v>63</v>
      </c>
      <c r="F74">
        <v>2034</v>
      </c>
      <c r="G74" t="s">
        <v>2</v>
      </c>
      <c r="H74">
        <v>35083.081607279892</v>
      </c>
      <c r="I74">
        <v>22040.492777039981</v>
      </c>
      <c r="J74">
        <v>8527.7994230399909</v>
      </c>
      <c r="K74">
        <v>9560.0769924000033</v>
      </c>
      <c r="L74">
        <v>0.46645931216888498</v>
      </c>
      <c r="M74">
        <v>0.29304703662371501</v>
      </c>
      <c r="N74">
        <v>0.11338432289710899</v>
      </c>
      <c r="O74">
        <v>0.12710932831029101</v>
      </c>
    </row>
    <row r="75" spans="1:15" x14ac:dyDescent="0.25">
      <c r="A75" t="s">
        <v>1</v>
      </c>
      <c r="B75" t="s">
        <v>337</v>
      </c>
      <c r="C75" t="s">
        <v>338</v>
      </c>
      <c r="D75">
        <v>1</v>
      </c>
      <c r="E75" t="s">
        <v>63</v>
      </c>
      <c r="F75">
        <v>2035</v>
      </c>
      <c r="G75" t="s">
        <v>2</v>
      </c>
      <c r="H75">
        <v>36000.198974399864</v>
      </c>
      <c r="I75">
        <v>18592.183275119998</v>
      </c>
      <c r="J75">
        <v>10317.120366719986</v>
      </c>
      <c r="K75">
        <v>9560.0769924000033</v>
      </c>
      <c r="L75">
        <v>0.48342154156894401</v>
      </c>
      <c r="M75">
        <v>0.24966145065982001</v>
      </c>
      <c r="N75">
        <v>0.13854140738996501</v>
      </c>
      <c r="O75">
        <v>0.12837560038127099</v>
      </c>
    </row>
    <row r="76" spans="1:15" x14ac:dyDescent="0.25">
      <c r="A76" t="s">
        <v>1</v>
      </c>
      <c r="B76" t="s">
        <v>337</v>
      </c>
      <c r="C76" t="s">
        <v>338</v>
      </c>
      <c r="D76">
        <v>1</v>
      </c>
      <c r="E76" t="s">
        <v>63</v>
      </c>
      <c r="F76">
        <v>2036</v>
      </c>
      <c r="G76" t="s">
        <v>2</v>
      </c>
      <c r="H76">
        <v>34858.716411359892</v>
      </c>
      <c r="I76">
        <v>19503.520974239997</v>
      </c>
      <c r="J76">
        <v>10118.083958399988</v>
      </c>
      <c r="K76">
        <v>9586.268984160004</v>
      </c>
      <c r="L76">
        <v>0.47064022060303601</v>
      </c>
      <c r="M76">
        <v>0.26332413693984802</v>
      </c>
      <c r="N76">
        <v>0.136607935015919</v>
      </c>
      <c r="O76">
        <v>0.129427707441196</v>
      </c>
    </row>
    <row r="77" spans="1:15" x14ac:dyDescent="0.25">
      <c r="A77" t="s">
        <v>1</v>
      </c>
      <c r="B77" t="s">
        <v>337</v>
      </c>
      <c r="C77" t="s">
        <v>338</v>
      </c>
      <c r="D77">
        <v>1</v>
      </c>
      <c r="E77" t="s">
        <v>63</v>
      </c>
      <c r="F77">
        <v>2037</v>
      </c>
      <c r="G77" t="s">
        <v>2</v>
      </c>
      <c r="H77">
        <v>34548.283158719903</v>
      </c>
      <c r="I77">
        <v>18659.02057728</v>
      </c>
      <c r="J77">
        <v>9888.6101090399825</v>
      </c>
      <c r="K77">
        <v>9560.0769924000033</v>
      </c>
      <c r="L77">
        <v>0.47550494818820999</v>
      </c>
      <c r="M77">
        <v>0.25681324226969199</v>
      </c>
      <c r="N77">
        <v>0.13610178589628899</v>
      </c>
      <c r="O77">
        <v>0.13158002364580901</v>
      </c>
    </row>
    <row r="78" spans="1:15" x14ac:dyDescent="0.25">
      <c r="A78" t="s">
        <v>1</v>
      </c>
      <c r="B78" t="s">
        <v>337</v>
      </c>
      <c r="C78" t="s">
        <v>338</v>
      </c>
      <c r="D78">
        <v>1</v>
      </c>
      <c r="E78" t="s">
        <v>63</v>
      </c>
      <c r="F78">
        <v>2038</v>
      </c>
      <c r="G78" t="s">
        <v>2</v>
      </c>
      <c r="H78">
        <v>33941.717506559908</v>
      </c>
      <c r="I78">
        <v>16354.588051920029</v>
      </c>
      <c r="J78">
        <v>11780.481749519975</v>
      </c>
      <c r="K78">
        <v>9560.0769924000033</v>
      </c>
      <c r="L78">
        <v>0.47380238984539702</v>
      </c>
      <c r="M78">
        <v>0.228298491449028</v>
      </c>
      <c r="N78">
        <v>0.16444719997960899</v>
      </c>
      <c r="O78">
        <v>0.13345191872596601</v>
      </c>
    </row>
    <row r="79" spans="1:15" x14ac:dyDescent="0.25">
      <c r="A79" t="s">
        <v>1</v>
      </c>
      <c r="B79" t="s">
        <v>337</v>
      </c>
      <c r="C79" t="s">
        <v>338</v>
      </c>
      <c r="D79">
        <v>1</v>
      </c>
      <c r="E79" t="s">
        <v>63</v>
      </c>
      <c r="F79">
        <v>2039</v>
      </c>
      <c r="G79" t="s">
        <v>2</v>
      </c>
      <c r="H79">
        <v>36000.198974399864</v>
      </c>
      <c r="I79">
        <v>15605.588008320023</v>
      </c>
      <c r="J79">
        <v>9517.3693257599843</v>
      </c>
      <c r="K79">
        <v>9560.0769924000033</v>
      </c>
      <c r="L79">
        <v>0.50931737688281098</v>
      </c>
      <c r="M79">
        <v>0.22078203386496401</v>
      </c>
      <c r="N79">
        <v>0.134648188563291</v>
      </c>
      <c r="O79">
        <v>0.13525240068893399</v>
      </c>
    </row>
    <row r="80" spans="1:15" x14ac:dyDescent="0.25">
      <c r="A80" t="s">
        <v>1</v>
      </c>
      <c r="B80" t="s">
        <v>337</v>
      </c>
      <c r="C80" t="s">
        <v>338</v>
      </c>
      <c r="D80">
        <v>1</v>
      </c>
      <c r="E80" t="s">
        <v>63</v>
      </c>
      <c r="F80">
        <v>2040</v>
      </c>
      <c r="G80" t="s">
        <v>2</v>
      </c>
      <c r="H80">
        <v>36108.800805119863</v>
      </c>
      <c r="I80">
        <v>11453.611178400015</v>
      </c>
      <c r="J80">
        <v>12867.68569583996</v>
      </c>
      <c r="K80">
        <v>9586.268984160004</v>
      </c>
      <c r="L80">
        <v>0.51571943141021903</v>
      </c>
      <c r="M80">
        <v>0.163584769164659</v>
      </c>
      <c r="N80">
        <v>0.183781111603215</v>
      </c>
      <c r="O80">
        <v>0.13691468782190699</v>
      </c>
    </row>
    <row r="81" spans="1:15" x14ac:dyDescent="0.25">
      <c r="A81" t="s">
        <v>1</v>
      </c>
      <c r="B81" t="s">
        <v>337</v>
      </c>
      <c r="C81" t="s">
        <v>338</v>
      </c>
      <c r="D81">
        <v>1</v>
      </c>
      <c r="E81" t="s">
        <v>63</v>
      </c>
      <c r="F81">
        <v>2041</v>
      </c>
      <c r="G81" t="s">
        <v>2</v>
      </c>
      <c r="H81">
        <v>36000.198974399864</v>
      </c>
      <c r="I81">
        <v>12596.327133840012</v>
      </c>
      <c r="J81">
        <v>10305.38494991998</v>
      </c>
      <c r="K81">
        <v>9560.0769924000033</v>
      </c>
      <c r="L81">
        <v>0.52584214977533805</v>
      </c>
      <c r="M81">
        <v>0.183990086944853</v>
      </c>
      <c r="N81">
        <v>0.15052710625799201</v>
      </c>
      <c r="O81">
        <v>0.13964065702181799</v>
      </c>
    </row>
    <row r="82" spans="1:15" x14ac:dyDescent="0.25">
      <c r="A82" t="s">
        <v>1</v>
      </c>
      <c r="B82" t="s">
        <v>337</v>
      </c>
      <c r="C82" t="s">
        <v>338</v>
      </c>
      <c r="D82">
        <v>1</v>
      </c>
      <c r="E82" t="s">
        <v>63</v>
      </c>
      <c r="F82">
        <v>2042</v>
      </c>
      <c r="G82" t="s">
        <v>2</v>
      </c>
      <c r="H82">
        <v>33399.027506399914</v>
      </c>
      <c r="I82">
        <v>12899.44632624001</v>
      </c>
      <c r="J82">
        <v>11734.844551199976</v>
      </c>
      <c r="K82">
        <v>9560.0769924000033</v>
      </c>
      <c r="L82">
        <v>0.49411673019965202</v>
      </c>
      <c r="M82">
        <v>0.19083885717589399</v>
      </c>
      <c r="N82">
        <v>0.17360933691644301</v>
      </c>
      <c r="O82">
        <v>0.141435075708011</v>
      </c>
    </row>
    <row r="83" spans="1:15" x14ac:dyDescent="0.25">
      <c r="A83" t="s">
        <v>1</v>
      </c>
      <c r="B83" t="s">
        <v>337</v>
      </c>
      <c r="C83" t="s">
        <v>338</v>
      </c>
      <c r="D83">
        <v>1</v>
      </c>
      <c r="E83" t="s">
        <v>63</v>
      </c>
      <c r="F83">
        <v>2043</v>
      </c>
      <c r="G83" t="s">
        <v>2</v>
      </c>
      <c r="H83">
        <v>33376.816486799915</v>
      </c>
      <c r="I83">
        <v>12595.383502320012</v>
      </c>
      <c r="J83">
        <v>11374.109881199975</v>
      </c>
      <c r="K83">
        <v>9541.6977588000027</v>
      </c>
      <c r="L83">
        <v>0.49899552505536399</v>
      </c>
      <c r="M83">
        <v>0.18830555653800901</v>
      </c>
      <c r="N83">
        <v>0.17004707247773099</v>
      </c>
      <c r="O83">
        <v>0.14265184592889599</v>
      </c>
    </row>
    <row r="84" spans="1:15" x14ac:dyDescent="0.25">
      <c r="A84" t="s">
        <v>1</v>
      </c>
      <c r="B84" t="s">
        <v>337</v>
      </c>
      <c r="C84" t="s">
        <v>338</v>
      </c>
      <c r="D84">
        <v>1</v>
      </c>
      <c r="E84" t="s">
        <v>63</v>
      </c>
      <c r="F84">
        <v>2044</v>
      </c>
      <c r="G84" t="s">
        <v>2</v>
      </c>
      <c r="H84">
        <v>36108.800805119863</v>
      </c>
      <c r="I84">
        <v>7666.2263030400045</v>
      </c>
      <c r="J84">
        <v>13187.151972719983</v>
      </c>
      <c r="K84">
        <v>9586.268984160004</v>
      </c>
      <c r="L84">
        <v>0.54259418296020401</v>
      </c>
      <c r="M84">
        <v>0.115197672161304</v>
      </c>
      <c r="N84">
        <v>0.19815867020417599</v>
      </c>
      <c r="O84">
        <v>0.144049474674316</v>
      </c>
    </row>
    <row r="85" spans="1:15" x14ac:dyDescent="0.25">
      <c r="A85" t="s">
        <v>1</v>
      </c>
      <c r="B85" t="s">
        <v>337</v>
      </c>
      <c r="C85" t="s">
        <v>338</v>
      </c>
      <c r="D85">
        <v>1</v>
      </c>
      <c r="E85" t="s">
        <v>63</v>
      </c>
      <c r="F85">
        <v>2045</v>
      </c>
      <c r="G85" t="s">
        <v>2</v>
      </c>
      <c r="H85">
        <v>36000.198974399864</v>
      </c>
      <c r="I85">
        <v>9526.8331802400062</v>
      </c>
      <c r="J85">
        <v>10313.152648559979</v>
      </c>
      <c r="K85">
        <v>9560.0769924000033</v>
      </c>
      <c r="L85">
        <v>0.55045955453380102</v>
      </c>
      <c r="M85">
        <v>0.145669648999493</v>
      </c>
      <c r="N85">
        <v>0.15769283433134301</v>
      </c>
      <c r="O85">
        <v>0.14617796213536299</v>
      </c>
    </row>
    <row r="86" spans="1:15" x14ac:dyDescent="0.25">
      <c r="A86" t="s">
        <v>1</v>
      </c>
      <c r="B86" t="s">
        <v>337</v>
      </c>
      <c r="C86" t="s">
        <v>338</v>
      </c>
      <c r="D86">
        <v>1</v>
      </c>
      <c r="E86" t="s">
        <v>63</v>
      </c>
      <c r="F86">
        <v>2046</v>
      </c>
      <c r="G86" t="s">
        <v>2</v>
      </c>
      <c r="H86">
        <v>33354.760097279919</v>
      </c>
      <c r="I86">
        <v>15690.501451680031</v>
      </c>
      <c r="J86">
        <v>5991.8988175200057</v>
      </c>
      <c r="K86">
        <v>9538.8933537600024</v>
      </c>
      <c r="L86">
        <v>0.51651902176898701</v>
      </c>
      <c r="M86">
        <v>0.242977087445686</v>
      </c>
      <c r="N86">
        <v>9.2788246917014303E-2</v>
      </c>
      <c r="O86">
        <v>0.14771564386831301</v>
      </c>
    </row>
    <row r="87" spans="1:15" x14ac:dyDescent="0.25">
      <c r="A87" t="s">
        <v>1</v>
      </c>
      <c r="B87" t="s">
        <v>337</v>
      </c>
      <c r="C87" t="s">
        <v>338</v>
      </c>
      <c r="D87">
        <v>1</v>
      </c>
      <c r="E87" t="s">
        <v>63</v>
      </c>
      <c r="F87">
        <v>2047</v>
      </c>
      <c r="G87" t="s">
        <v>2</v>
      </c>
      <c r="H87">
        <v>35876.615531039868</v>
      </c>
      <c r="I87">
        <v>8675.2762099200099</v>
      </c>
      <c r="J87">
        <v>9797.7423655199946</v>
      </c>
      <c r="K87">
        <v>9560.0769924000033</v>
      </c>
      <c r="L87">
        <v>0.56136406993817001</v>
      </c>
      <c r="M87">
        <v>0.13574269169356401</v>
      </c>
      <c r="N87">
        <v>0.15330600306362099</v>
      </c>
      <c r="O87">
        <v>0.14958723530464499</v>
      </c>
    </row>
    <row r="88" spans="1:15" x14ac:dyDescent="0.25">
      <c r="A88" t="s">
        <v>1</v>
      </c>
      <c r="B88" t="s">
        <v>337</v>
      </c>
      <c r="C88" t="s">
        <v>338</v>
      </c>
      <c r="D88">
        <v>1</v>
      </c>
      <c r="E88" t="s">
        <v>63</v>
      </c>
      <c r="F88">
        <v>2048</v>
      </c>
      <c r="G88" t="s">
        <v>2</v>
      </c>
      <c r="H88">
        <v>36004.355391359866</v>
      </c>
      <c r="I88">
        <v>10860.786024960007</v>
      </c>
      <c r="J88">
        <v>7112.2709210400035</v>
      </c>
      <c r="K88">
        <v>9586.268984160004</v>
      </c>
      <c r="L88">
        <v>0.56642967560738799</v>
      </c>
      <c r="M88">
        <v>0.170864647848567</v>
      </c>
      <c r="N88">
        <v>0.111892054915204</v>
      </c>
      <c r="O88">
        <v>0.15081362162884199</v>
      </c>
    </row>
    <row r="89" spans="1:15" x14ac:dyDescent="0.25">
      <c r="A89" t="s">
        <v>1</v>
      </c>
      <c r="B89" t="s">
        <v>337</v>
      </c>
      <c r="C89" t="s">
        <v>338</v>
      </c>
      <c r="D89">
        <v>1</v>
      </c>
      <c r="E89" t="s">
        <v>63</v>
      </c>
      <c r="F89">
        <v>2049</v>
      </c>
      <c r="G89" t="s">
        <v>2</v>
      </c>
      <c r="H89">
        <v>35493.970661999876</v>
      </c>
      <c r="I89">
        <v>9572.7896464800106</v>
      </c>
      <c r="J89">
        <v>7841.5999504800038</v>
      </c>
      <c r="K89">
        <v>9560.0769924000033</v>
      </c>
      <c r="L89">
        <v>0.56819046903926196</v>
      </c>
      <c r="M89">
        <v>0.15324202217451199</v>
      </c>
      <c r="N89">
        <v>0.125528991847948</v>
      </c>
      <c r="O89">
        <v>0.153038516938278</v>
      </c>
    </row>
    <row r="90" spans="1:15" x14ac:dyDescent="0.25">
      <c r="A90" t="s">
        <v>1</v>
      </c>
      <c r="B90" t="s">
        <v>337</v>
      </c>
      <c r="C90" t="s">
        <v>338</v>
      </c>
      <c r="D90">
        <v>1</v>
      </c>
      <c r="E90" t="s">
        <v>63</v>
      </c>
      <c r="F90">
        <v>2050</v>
      </c>
      <c r="G90" t="s">
        <v>2</v>
      </c>
      <c r="H90">
        <v>35321.084354399878</v>
      </c>
      <c r="I90">
        <v>13265.352578640013</v>
      </c>
      <c r="J90">
        <v>2538.1216528800014</v>
      </c>
      <c r="K90">
        <v>9560.0769924000033</v>
      </c>
      <c r="L90">
        <v>0.58204328027667396</v>
      </c>
      <c r="M90">
        <v>0.21859491207654499</v>
      </c>
      <c r="N90">
        <v>4.1824781984630799E-2</v>
      </c>
      <c r="O90">
        <v>0.15753702566215</v>
      </c>
    </row>
    <row r="91" spans="1:15" x14ac:dyDescent="0.25">
      <c r="A91" t="s">
        <v>1</v>
      </c>
      <c r="B91" t="s">
        <v>337</v>
      </c>
      <c r="C91" t="s">
        <v>338</v>
      </c>
      <c r="D91">
        <v>1</v>
      </c>
      <c r="E91" t="s">
        <v>63</v>
      </c>
      <c r="F91">
        <v>2051</v>
      </c>
      <c r="G91" t="s">
        <v>2</v>
      </c>
      <c r="H91">
        <v>35321.084354159881</v>
      </c>
      <c r="I91">
        <v>11175.196989600016</v>
      </c>
      <c r="J91">
        <v>2434.5664984800014</v>
      </c>
      <c r="K91">
        <v>9560.0769924000033</v>
      </c>
      <c r="L91">
        <v>0.60387289915514897</v>
      </c>
      <c r="M91">
        <v>0.19105864749435</v>
      </c>
      <c r="N91">
        <v>4.16229783571175E-2</v>
      </c>
      <c r="O91">
        <v>0.16344547499338299</v>
      </c>
    </row>
    <row r="92" spans="1:15" x14ac:dyDescent="0.25">
      <c r="A92" t="s">
        <v>1</v>
      </c>
      <c r="B92" t="s">
        <v>337</v>
      </c>
      <c r="C92" t="s">
        <v>338</v>
      </c>
      <c r="D92">
        <v>1</v>
      </c>
      <c r="E92" t="s">
        <v>64</v>
      </c>
      <c r="F92">
        <v>2022</v>
      </c>
      <c r="G92" t="s">
        <v>2</v>
      </c>
      <c r="H92">
        <v>27665.057148479958</v>
      </c>
      <c r="I92">
        <v>18385.097673359996</v>
      </c>
      <c r="J92">
        <v>6333.7514539199883</v>
      </c>
      <c r="K92">
        <v>31314.912659999813</v>
      </c>
      <c r="L92">
        <v>0.33053103377376603</v>
      </c>
      <c r="M92">
        <v>0.219657790959641</v>
      </c>
      <c r="N92">
        <v>7.5673128180951399E-2</v>
      </c>
      <c r="O92">
        <v>0.37413804708564102</v>
      </c>
    </row>
    <row r="93" spans="1:15" x14ac:dyDescent="0.25">
      <c r="A93" t="s">
        <v>1</v>
      </c>
      <c r="B93" t="s">
        <v>337</v>
      </c>
      <c r="C93" t="s">
        <v>338</v>
      </c>
      <c r="D93">
        <v>1</v>
      </c>
      <c r="E93" t="s">
        <v>64</v>
      </c>
      <c r="F93">
        <v>2023</v>
      </c>
      <c r="G93" t="s">
        <v>2</v>
      </c>
      <c r="H93">
        <v>36000.198974399864</v>
      </c>
      <c r="I93">
        <v>12329.069081040014</v>
      </c>
      <c r="J93">
        <v>3381.0050347200004</v>
      </c>
      <c r="K93">
        <v>33252.478417679784</v>
      </c>
      <c r="L93">
        <v>0.42371743305745102</v>
      </c>
      <c r="M93">
        <v>0.14511146193167199</v>
      </c>
      <c r="N93">
        <v>3.9793968235692402E-2</v>
      </c>
      <c r="O93">
        <v>0.39137713677518499</v>
      </c>
    </row>
    <row r="94" spans="1:15" x14ac:dyDescent="0.25">
      <c r="A94" t="s">
        <v>1</v>
      </c>
      <c r="B94" t="s">
        <v>337</v>
      </c>
      <c r="C94" t="s">
        <v>338</v>
      </c>
      <c r="D94">
        <v>1</v>
      </c>
      <c r="E94" t="s">
        <v>64</v>
      </c>
      <c r="F94">
        <v>2024</v>
      </c>
      <c r="G94" t="s">
        <v>2</v>
      </c>
      <c r="H94">
        <v>35256.892261439883</v>
      </c>
      <c r="I94">
        <v>14362.78564176002</v>
      </c>
      <c r="J94">
        <v>4206.3405028800062</v>
      </c>
      <c r="K94">
        <v>27410.91989615979</v>
      </c>
      <c r="L94">
        <v>0.43400075136100802</v>
      </c>
      <c r="M94">
        <v>0.176801168802346</v>
      </c>
      <c r="N94">
        <v>5.1778668556296897E-2</v>
      </c>
      <c r="O94">
        <v>0.33741941128034902</v>
      </c>
    </row>
    <row r="95" spans="1:15" x14ac:dyDescent="0.25">
      <c r="A95" t="s">
        <v>1</v>
      </c>
      <c r="B95" t="s">
        <v>337</v>
      </c>
      <c r="C95" t="s">
        <v>338</v>
      </c>
      <c r="D95">
        <v>1</v>
      </c>
      <c r="E95" t="s">
        <v>64</v>
      </c>
      <c r="F95">
        <v>2025</v>
      </c>
      <c r="G95" t="s">
        <v>2</v>
      </c>
      <c r="H95">
        <v>36000.198974399864</v>
      </c>
      <c r="I95">
        <v>19059.156869759994</v>
      </c>
      <c r="J95">
        <v>1239.9942739199998</v>
      </c>
      <c r="K95">
        <v>25555.18991519991</v>
      </c>
      <c r="L95">
        <v>0.43980699127700401</v>
      </c>
      <c r="M95">
        <v>0.23284178082255499</v>
      </c>
      <c r="N95">
        <v>1.51487537944243E-2</v>
      </c>
      <c r="O95">
        <v>0.31220247410601598</v>
      </c>
    </row>
    <row r="96" spans="1:15" x14ac:dyDescent="0.25">
      <c r="A96" t="s">
        <v>1</v>
      </c>
      <c r="B96" t="s">
        <v>337</v>
      </c>
      <c r="C96" t="s">
        <v>338</v>
      </c>
      <c r="D96">
        <v>1</v>
      </c>
      <c r="E96" t="s">
        <v>64</v>
      </c>
      <c r="F96">
        <v>2026</v>
      </c>
      <c r="G96" t="s">
        <v>2</v>
      </c>
      <c r="H96">
        <v>36000.198974399864</v>
      </c>
      <c r="I96">
        <v>24443.390588159953</v>
      </c>
      <c r="J96">
        <v>4272.0730310399995</v>
      </c>
      <c r="K96">
        <v>15490.261779600101</v>
      </c>
      <c r="L96">
        <v>0.44884713013081401</v>
      </c>
      <c r="M96">
        <v>0.30475791880939301</v>
      </c>
      <c r="N96">
        <v>5.3263808932142602E-2</v>
      </c>
      <c r="O96">
        <v>0.19313114212765101</v>
      </c>
    </row>
    <row r="97" spans="1:15" x14ac:dyDescent="0.25">
      <c r="A97" t="s">
        <v>1</v>
      </c>
      <c r="B97" t="s">
        <v>337</v>
      </c>
      <c r="C97" t="s">
        <v>338</v>
      </c>
      <c r="D97">
        <v>1</v>
      </c>
      <c r="E97" t="s">
        <v>64</v>
      </c>
      <c r="F97">
        <v>2027</v>
      </c>
      <c r="G97" t="s">
        <v>2</v>
      </c>
      <c r="H97">
        <v>35856.788141279867</v>
      </c>
      <c r="I97">
        <v>27845.30409575993</v>
      </c>
      <c r="J97">
        <v>7454.9457386399981</v>
      </c>
      <c r="K97">
        <v>9560.0769924000033</v>
      </c>
      <c r="L97">
        <v>0.44422782151542101</v>
      </c>
      <c r="M97">
        <v>0.34497397617310199</v>
      </c>
      <c r="N97">
        <v>9.2358922164005902E-2</v>
      </c>
      <c r="O97">
        <v>0.118439280147471</v>
      </c>
    </row>
    <row r="98" spans="1:15" x14ac:dyDescent="0.25">
      <c r="A98" t="s">
        <v>1</v>
      </c>
      <c r="B98" t="s">
        <v>337</v>
      </c>
      <c r="C98" t="s">
        <v>338</v>
      </c>
      <c r="D98">
        <v>1</v>
      </c>
      <c r="E98" t="s">
        <v>64</v>
      </c>
      <c r="F98">
        <v>2028</v>
      </c>
      <c r="G98" t="s">
        <v>2</v>
      </c>
      <c r="H98">
        <v>34950.128655599896</v>
      </c>
      <c r="I98">
        <v>31087.14917903989</v>
      </c>
      <c r="J98">
        <v>2885.2112891999996</v>
      </c>
      <c r="K98">
        <v>9586.268984160004</v>
      </c>
      <c r="L98">
        <v>0.44517490147431799</v>
      </c>
      <c r="M98">
        <v>0.39597046149010701</v>
      </c>
      <c r="N98">
        <v>3.6750183784985999E-2</v>
      </c>
      <c r="O98">
        <v>0.122104453250588</v>
      </c>
    </row>
    <row r="99" spans="1:15" x14ac:dyDescent="0.25">
      <c r="A99" t="s">
        <v>1</v>
      </c>
      <c r="B99" t="s">
        <v>337</v>
      </c>
      <c r="C99" t="s">
        <v>338</v>
      </c>
      <c r="D99">
        <v>1</v>
      </c>
      <c r="E99" t="s">
        <v>64</v>
      </c>
      <c r="F99">
        <v>2029</v>
      </c>
      <c r="G99" t="s">
        <v>2</v>
      </c>
      <c r="H99">
        <v>33997.202267039909</v>
      </c>
      <c r="I99">
        <v>30212.309301599922</v>
      </c>
      <c r="J99">
        <v>2277.8487864000003</v>
      </c>
      <c r="K99">
        <v>9560.0769924000033</v>
      </c>
      <c r="L99">
        <v>0.44705256946024402</v>
      </c>
      <c r="M99">
        <v>0.39728241155015098</v>
      </c>
      <c r="N99">
        <v>2.99529986262803E-2</v>
      </c>
      <c r="O99">
        <v>0.12571202036332499</v>
      </c>
    </row>
    <row r="100" spans="1:15" x14ac:dyDescent="0.25">
      <c r="A100" t="s">
        <v>1</v>
      </c>
      <c r="B100" t="s">
        <v>337</v>
      </c>
      <c r="C100" t="s">
        <v>338</v>
      </c>
      <c r="D100">
        <v>1</v>
      </c>
      <c r="E100" t="s">
        <v>64</v>
      </c>
      <c r="F100">
        <v>2030</v>
      </c>
      <c r="G100" t="s">
        <v>2</v>
      </c>
      <c r="H100">
        <v>33707.751948959914</v>
      </c>
      <c r="I100">
        <v>23244.931166159971</v>
      </c>
      <c r="J100">
        <v>8099.4468359999946</v>
      </c>
      <c r="K100">
        <v>9560.0769924000033</v>
      </c>
      <c r="L100">
        <v>0.45177261643629002</v>
      </c>
      <c r="M100">
        <v>0.31154327312360502</v>
      </c>
      <c r="N100">
        <v>0.108553910516695</v>
      </c>
      <c r="O100">
        <v>0.12813019992340899</v>
      </c>
    </row>
    <row r="101" spans="1:15" x14ac:dyDescent="0.25">
      <c r="A101" t="s">
        <v>1</v>
      </c>
      <c r="B101" t="s">
        <v>337</v>
      </c>
      <c r="C101" t="s">
        <v>338</v>
      </c>
      <c r="D101">
        <v>1</v>
      </c>
      <c r="E101" t="s">
        <v>64</v>
      </c>
      <c r="F101">
        <v>2031</v>
      </c>
      <c r="G101" t="s">
        <v>2</v>
      </c>
      <c r="H101">
        <v>33469.501115039915</v>
      </c>
      <c r="I101">
        <v>22173.293007839991</v>
      </c>
      <c r="J101">
        <v>7846.5754319999987</v>
      </c>
      <c r="K101">
        <v>9560.0769924000033</v>
      </c>
      <c r="L101">
        <v>0.45817597116738401</v>
      </c>
      <c r="M101">
        <v>0.30353813828676601</v>
      </c>
      <c r="N101">
        <v>0.107414577424915</v>
      </c>
      <c r="O101">
        <v>0.130871313120934</v>
      </c>
    </row>
    <row r="102" spans="1:15" x14ac:dyDescent="0.25">
      <c r="A102" t="s">
        <v>1</v>
      </c>
      <c r="B102" t="s">
        <v>337</v>
      </c>
      <c r="C102" t="s">
        <v>338</v>
      </c>
      <c r="D102">
        <v>1</v>
      </c>
      <c r="E102" t="s">
        <v>64</v>
      </c>
      <c r="F102">
        <v>2032</v>
      </c>
      <c r="G102" t="s">
        <v>2</v>
      </c>
      <c r="H102">
        <v>36108.800805119863</v>
      </c>
      <c r="I102">
        <v>17056.670434080024</v>
      </c>
      <c r="J102">
        <v>9382.360499280001</v>
      </c>
      <c r="K102">
        <v>9586.268984160004</v>
      </c>
      <c r="L102">
        <v>0.50057878927416699</v>
      </c>
      <c r="M102">
        <v>0.236457795456049</v>
      </c>
      <c r="N102">
        <v>0.13006830895911201</v>
      </c>
      <c r="O102">
        <v>0.132895106310673</v>
      </c>
    </row>
    <row r="103" spans="1:15" x14ac:dyDescent="0.25">
      <c r="A103" t="s">
        <v>1</v>
      </c>
      <c r="B103" t="s">
        <v>337</v>
      </c>
      <c r="C103" t="s">
        <v>338</v>
      </c>
      <c r="D103">
        <v>1</v>
      </c>
      <c r="E103" t="s">
        <v>64</v>
      </c>
      <c r="F103">
        <v>2033</v>
      </c>
      <c r="G103" t="s">
        <v>2</v>
      </c>
      <c r="H103">
        <v>33287.071110479912</v>
      </c>
      <c r="I103">
        <v>18228.772729440014</v>
      </c>
      <c r="J103">
        <v>9064.0779979199979</v>
      </c>
      <c r="K103">
        <v>9536.0539284000024</v>
      </c>
      <c r="L103">
        <v>0.47474303461818601</v>
      </c>
      <c r="M103">
        <v>0.25998030449170401</v>
      </c>
      <c r="N103">
        <v>0.12927265004681401</v>
      </c>
      <c r="O103">
        <v>0.136004010843296</v>
      </c>
    </row>
    <row r="104" spans="1:15" x14ac:dyDescent="0.25">
      <c r="A104" t="s">
        <v>1</v>
      </c>
      <c r="B104" t="s">
        <v>337</v>
      </c>
      <c r="C104" t="s">
        <v>338</v>
      </c>
      <c r="D104">
        <v>1</v>
      </c>
      <c r="E104" t="s">
        <v>64</v>
      </c>
      <c r="F104">
        <v>2034</v>
      </c>
      <c r="G104" t="s">
        <v>2</v>
      </c>
      <c r="H104">
        <v>33264.277930559918</v>
      </c>
      <c r="I104">
        <v>16914.541342080025</v>
      </c>
      <c r="J104">
        <v>8803.2908875199937</v>
      </c>
      <c r="K104">
        <v>9529.0768716000021</v>
      </c>
      <c r="L104">
        <v>0.485530602690324</v>
      </c>
      <c r="M104">
        <v>0.246887290600277</v>
      </c>
      <c r="N104">
        <v>0.128494210492062</v>
      </c>
      <c r="O104">
        <v>0.139087896217337</v>
      </c>
    </row>
    <row r="105" spans="1:15" x14ac:dyDescent="0.25">
      <c r="A105" t="s">
        <v>1</v>
      </c>
      <c r="B105" t="s">
        <v>337</v>
      </c>
      <c r="C105" t="s">
        <v>338</v>
      </c>
      <c r="D105">
        <v>1</v>
      </c>
      <c r="E105" t="s">
        <v>64</v>
      </c>
      <c r="F105">
        <v>2035</v>
      </c>
      <c r="G105" t="s">
        <v>2</v>
      </c>
      <c r="H105">
        <v>35182.675994639889</v>
      </c>
      <c r="I105">
        <v>12632.460527520012</v>
      </c>
      <c r="J105">
        <v>9857.3549591999799</v>
      </c>
      <c r="K105">
        <v>9560.0769924000033</v>
      </c>
      <c r="L105">
        <v>0.52329810973042501</v>
      </c>
      <c r="M105">
        <v>0.18789198173278701</v>
      </c>
      <c r="N105">
        <v>0.14661577242950599</v>
      </c>
      <c r="O105">
        <v>0.14219413610728199</v>
      </c>
    </row>
    <row r="106" spans="1:15" x14ac:dyDescent="0.25">
      <c r="A106" t="s">
        <v>1</v>
      </c>
      <c r="B106" t="s">
        <v>337</v>
      </c>
      <c r="C106" t="s">
        <v>338</v>
      </c>
      <c r="D106">
        <v>1</v>
      </c>
      <c r="E106" t="s">
        <v>64</v>
      </c>
      <c r="F106">
        <v>2036</v>
      </c>
      <c r="G106" t="s">
        <v>2</v>
      </c>
      <c r="H106">
        <v>33255.999918239919</v>
      </c>
      <c r="I106">
        <v>13952.965136640014</v>
      </c>
      <c r="J106">
        <v>9653.0567987999821</v>
      </c>
      <c r="K106">
        <v>9534.3915434400005</v>
      </c>
      <c r="L106">
        <v>0.50087042683065297</v>
      </c>
      <c r="M106">
        <v>0.210146368195925</v>
      </c>
      <c r="N106">
        <v>0.145385214425132</v>
      </c>
      <c r="O106">
        <v>0.14359799054829001</v>
      </c>
    </row>
    <row r="107" spans="1:15" x14ac:dyDescent="0.25">
      <c r="A107" t="s">
        <v>1</v>
      </c>
      <c r="B107" t="s">
        <v>337</v>
      </c>
      <c r="C107" t="s">
        <v>338</v>
      </c>
      <c r="D107">
        <v>1</v>
      </c>
      <c r="E107" t="s">
        <v>64</v>
      </c>
      <c r="F107">
        <v>2037</v>
      </c>
      <c r="G107" t="s">
        <v>2</v>
      </c>
      <c r="H107">
        <v>33218.296878719913</v>
      </c>
      <c r="I107">
        <v>12454.275652320013</v>
      </c>
      <c r="J107">
        <v>9431.1337511999791</v>
      </c>
      <c r="K107">
        <v>9491.7469435200001</v>
      </c>
      <c r="L107">
        <v>0.51425131677027802</v>
      </c>
      <c r="M107">
        <v>0.19280421500864101</v>
      </c>
      <c r="N107">
        <v>0.146003058732916</v>
      </c>
      <c r="O107">
        <v>0.146941409488165</v>
      </c>
    </row>
    <row r="108" spans="1:15" x14ac:dyDescent="0.25">
      <c r="A108" t="s">
        <v>1</v>
      </c>
      <c r="B108" t="s">
        <v>337</v>
      </c>
      <c r="C108" t="s">
        <v>338</v>
      </c>
      <c r="D108">
        <v>1</v>
      </c>
      <c r="E108" t="s">
        <v>64</v>
      </c>
      <c r="F108">
        <v>2038</v>
      </c>
      <c r="G108" t="s">
        <v>2</v>
      </c>
      <c r="H108">
        <v>33213.479692319917</v>
      </c>
      <c r="I108">
        <v>11786.092850640016</v>
      </c>
      <c r="J108">
        <v>8857.651545599987</v>
      </c>
      <c r="K108">
        <v>9469.9021835999993</v>
      </c>
      <c r="L108">
        <v>0.52447476535693305</v>
      </c>
      <c r="M108">
        <v>0.186114443279601</v>
      </c>
      <c r="N108">
        <v>0.13987136424811999</v>
      </c>
      <c r="O108">
        <v>0.14953942711534601</v>
      </c>
    </row>
    <row r="109" spans="1:15" x14ac:dyDescent="0.25">
      <c r="A109" t="s">
        <v>1</v>
      </c>
      <c r="B109" t="s">
        <v>337</v>
      </c>
      <c r="C109" t="s">
        <v>338</v>
      </c>
      <c r="D109">
        <v>1</v>
      </c>
      <c r="E109" t="s">
        <v>64</v>
      </c>
      <c r="F109">
        <v>2039</v>
      </c>
      <c r="G109" t="s">
        <v>2</v>
      </c>
      <c r="H109">
        <v>33456.808985279917</v>
      </c>
      <c r="I109">
        <v>10077.642692160005</v>
      </c>
      <c r="J109">
        <v>8998.5930847199834</v>
      </c>
      <c r="K109">
        <v>9560.0769924000033</v>
      </c>
      <c r="L109">
        <v>0.53881666825396701</v>
      </c>
      <c r="M109">
        <v>0.162298857061731</v>
      </c>
      <c r="N109">
        <v>0.14492093214912599</v>
      </c>
      <c r="O109">
        <v>0.153963542535175</v>
      </c>
    </row>
    <row r="110" spans="1:15" x14ac:dyDescent="0.25">
      <c r="A110" t="s">
        <v>1</v>
      </c>
      <c r="B110" t="s">
        <v>337</v>
      </c>
      <c r="C110" t="s">
        <v>338</v>
      </c>
      <c r="D110">
        <v>1</v>
      </c>
      <c r="E110" t="s">
        <v>64</v>
      </c>
      <c r="F110">
        <v>2040</v>
      </c>
      <c r="G110" t="s">
        <v>2</v>
      </c>
      <c r="H110">
        <v>33235.846121999915</v>
      </c>
      <c r="I110">
        <v>6945.2317917599994</v>
      </c>
      <c r="J110">
        <v>11365.372509839966</v>
      </c>
      <c r="K110">
        <v>9497.4335277600003</v>
      </c>
      <c r="L110">
        <v>0.54445824824125599</v>
      </c>
      <c r="M110">
        <v>0.113774408543434</v>
      </c>
      <c r="N110">
        <v>0.18618363993509901</v>
      </c>
      <c r="O110">
        <v>0.15558370328021101</v>
      </c>
    </row>
    <row r="111" spans="1:15" x14ac:dyDescent="0.25">
      <c r="A111" t="s">
        <v>1</v>
      </c>
      <c r="B111" t="s">
        <v>337</v>
      </c>
      <c r="C111" t="s">
        <v>338</v>
      </c>
      <c r="D111">
        <v>1</v>
      </c>
      <c r="E111" t="s">
        <v>64</v>
      </c>
      <c r="F111">
        <v>2041</v>
      </c>
      <c r="G111" t="s">
        <v>2</v>
      </c>
      <c r="H111">
        <v>33207.175828559913</v>
      </c>
      <c r="I111">
        <v>8901.977187120001</v>
      </c>
      <c r="J111">
        <v>8063.9053473599861</v>
      </c>
      <c r="K111">
        <v>9400.6064395199974</v>
      </c>
      <c r="L111">
        <v>0.55741368167655503</v>
      </c>
      <c r="M111">
        <v>0.14942806047979601</v>
      </c>
      <c r="N111">
        <v>0.135360236340764</v>
      </c>
      <c r="O111">
        <v>0.15779802150288499</v>
      </c>
    </row>
    <row r="112" spans="1:15" x14ac:dyDescent="0.25">
      <c r="A112" t="s">
        <v>1</v>
      </c>
      <c r="B112" t="s">
        <v>337</v>
      </c>
      <c r="C112" t="s">
        <v>338</v>
      </c>
      <c r="D112">
        <v>1</v>
      </c>
      <c r="E112" t="s">
        <v>64</v>
      </c>
      <c r="F112">
        <v>2042</v>
      </c>
      <c r="G112" t="s">
        <v>2</v>
      </c>
      <c r="H112">
        <v>33205.370103119916</v>
      </c>
      <c r="I112">
        <v>8225.2789317599982</v>
      </c>
      <c r="J112">
        <v>7539.2345987999906</v>
      </c>
      <c r="K112">
        <v>9378.8836895999975</v>
      </c>
      <c r="L112">
        <v>0.56908434618929304</v>
      </c>
      <c r="M112">
        <v>0.140967484131893</v>
      </c>
      <c r="N112">
        <v>0.12920983500866501</v>
      </c>
      <c r="O112">
        <v>0.160738334670149</v>
      </c>
    </row>
    <row r="113" spans="1:15" x14ac:dyDescent="0.25">
      <c r="A113" t="s">
        <v>1</v>
      </c>
      <c r="B113" t="s">
        <v>337</v>
      </c>
      <c r="C113" t="s">
        <v>338</v>
      </c>
      <c r="D113">
        <v>1</v>
      </c>
      <c r="E113" t="s">
        <v>64</v>
      </c>
      <c r="F113">
        <v>2043</v>
      </c>
      <c r="G113" t="s">
        <v>2</v>
      </c>
      <c r="H113">
        <v>33203.710535519916</v>
      </c>
      <c r="I113">
        <v>7788.8885556000005</v>
      </c>
      <c r="J113">
        <v>7013.5046399999892</v>
      </c>
      <c r="K113">
        <v>9358.1540805599961</v>
      </c>
      <c r="L113">
        <v>0.578822280670375</v>
      </c>
      <c r="M113">
        <v>0.13577947057504</v>
      </c>
      <c r="N113">
        <v>0.122262623235264</v>
      </c>
      <c r="O113">
        <v>0.16313562551932101</v>
      </c>
    </row>
    <row r="114" spans="1:15" x14ac:dyDescent="0.25">
      <c r="A114" t="s">
        <v>1</v>
      </c>
      <c r="B114" t="s">
        <v>337</v>
      </c>
      <c r="C114" t="s">
        <v>338</v>
      </c>
      <c r="D114">
        <v>1</v>
      </c>
      <c r="E114" t="s">
        <v>64</v>
      </c>
      <c r="F114">
        <v>2044</v>
      </c>
      <c r="G114" t="s">
        <v>2</v>
      </c>
      <c r="H114">
        <v>33212.082116399921</v>
      </c>
      <c r="I114">
        <v>5002.3953309600001</v>
      </c>
      <c r="J114">
        <v>8451.1597677599784</v>
      </c>
      <c r="K114">
        <v>9364.4418364799949</v>
      </c>
      <c r="L114">
        <v>0.59275451112274602</v>
      </c>
      <c r="M114">
        <v>8.9280533164215803E-2</v>
      </c>
      <c r="N114">
        <v>0.15083255120837899</v>
      </c>
      <c r="O114">
        <v>0.16713240450465899</v>
      </c>
    </row>
    <row r="115" spans="1:15" x14ac:dyDescent="0.25">
      <c r="A115" t="s">
        <v>1</v>
      </c>
      <c r="B115" t="s">
        <v>337</v>
      </c>
      <c r="C115" t="s">
        <v>338</v>
      </c>
      <c r="D115">
        <v>1</v>
      </c>
      <c r="E115" t="s">
        <v>64</v>
      </c>
      <c r="F115">
        <v>2045</v>
      </c>
      <c r="G115" t="s">
        <v>2</v>
      </c>
      <c r="H115">
        <v>33198.859659599919</v>
      </c>
      <c r="I115">
        <v>4421.1450710399986</v>
      </c>
      <c r="J115">
        <v>8292.90835271998</v>
      </c>
      <c r="K115">
        <v>9318.0090386399952</v>
      </c>
      <c r="L115">
        <v>0.60109189533839003</v>
      </c>
      <c r="M115">
        <v>8.0048366045276306E-2</v>
      </c>
      <c r="N115">
        <v>0.15014973558474601</v>
      </c>
      <c r="O115">
        <v>0.16871000303158801</v>
      </c>
    </row>
    <row r="116" spans="1:15" x14ac:dyDescent="0.25">
      <c r="A116" t="s">
        <v>1</v>
      </c>
      <c r="B116" t="s">
        <v>337</v>
      </c>
      <c r="C116" t="s">
        <v>338</v>
      </c>
      <c r="D116">
        <v>1</v>
      </c>
      <c r="E116" t="s">
        <v>64</v>
      </c>
      <c r="F116">
        <v>2046</v>
      </c>
      <c r="G116" t="s">
        <v>2</v>
      </c>
      <c r="H116">
        <v>32678.661755759924</v>
      </c>
      <c r="I116">
        <v>9213.9760365600141</v>
      </c>
      <c r="J116">
        <v>2998.2638419200021</v>
      </c>
      <c r="K116">
        <v>9298.6163887199946</v>
      </c>
      <c r="L116">
        <v>0.60304396399897997</v>
      </c>
      <c r="M116">
        <v>0.170032441193813</v>
      </c>
      <c r="N116">
        <v>5.5329221430787501E-2</v>
      </c>
      <c r="O116">
        <v>0.171594373376419</v>
      </c>
    </row>
    <row r="117" spans="1:15" x14ac:dyDescent="0.25">
      <c r="A117" t="s">
        <v>1</v>
      </c>
      <c r="B117" t="s">
        <v>337</v>
      </c>
      <c r="C117" t="s">
        <v>338</v>
      </c>
      <c r="D117">
        <v>1</v>
      </c>
      <c r="E117" t="s">
        <v>64</v>
      </c>
      <c r="F117">
        <v>2047</v>
      </c>
      <c r="G117" t="s">
        <v>2</v>
      </c>
      <c r="H117">
        <v>30646.547308079938</v>
      </c>
      <c r="I117">
        <v>5027.1614229600018</v>
      </c>
      <c r="J117">
        <v>6689.9621620799908</v>
      </c>
      <c r="K117">
        <v>9269.6065295999942</v>
      </c>
      <c r="L117">
        <v>0.59354255313250204</v>
      </c>
      <c r="M117">
        <v>9.7362818590863404E-2</v>
      </c>
      <c r="N117">
        <v>0.12956687035977801</v>
      </c>
      <c r="O117">
        <v>0.17952775791685699</v>
      </c>
    </row>
    <row r="118" spans="1:15" x14ac:dyDescent="0.25">
      <c r="A118" t="s">
        <v>1</v>
      </c>
      <c r="B118" t="s">
        <v>337</v>
      </c>
      <c r="C118" t="s">
        <v>338</v>
      </c>
      <c r="D118">
        <v>1</v>
      </c>
      <c r="E118" t="s">
        <v>64</v>
      </c>
      <c r="F118">
        <v>2048</v>
      </c>
      <c r="G118" t="s">
        <v>2</v>
      </c>
      <c r="H118">
        <v>33167.54812823992</v>
      </c>
      <c r="I118">
        <v>6615.0205022400014</v>
      </c>
      <c r="J118">
        <v>4823.3795279999995</v>
      </c>
      <c r="K118">
        <v>9265.7820578399933</v>
      </c>
      <c r="L118">
        <v>0.61567631102726605</v>
      </c>
      <c r="M118">
        <v>0.122792055790256</v>
      </c>
      <c r="N118">
        <v>8.9534520399324496E-2</v>
      </c>
      <c r="O118">
        <v>0.17199711278315399</v>
      </c>
    </row>
    <row r="119" spans="1:15" x14ac:dyDescent="0.25">
      <c r="A119" t="s">
        <v>1</v>
      </c>
      <c r="B119" t="s">
        <v>337</v>
      </c>
      <c r="C119" t="s">
        <v>338</v>
      </c>
      <c r="D119">
        <v>1</v>
      </c>
      <c r="E119" t="s">
        <v>64</v>
      </c>
      <c r="F119">
        <v>2049</v>
      </c>
      <c r="G119" t="s">
        <v>2</v>
      </c>
      <c r="H119">
        <v>31203.389554319943</v>
      </c>
      <c r="I119">
        <v>5857.8425140800009</v>
      </c>
      <c r="J119">
        <v>4921.8272539199979</v>
      </c>
      <c r="K119">
        <v>9234.5721736799933</v>
      </c>
      <c r="L119">
        <v>0.609231404165124</v>
      </c>
      <c r="M119">
        <v>0.114371601008873</v>
      </c>
      <c r="N119">
        <v>9.6096346319809595E-2</v>
      </c>
      <c r="O119">
        <v>0.18030064850619301</v>
      </c>
    </row>
    <row r="120" spans="1:15" x14ac:dyDescent="0.25">
      <c r="A120" t="s">
        <v>1</v>
      </c>
      <c r="B120" t="s">
        <v>337</v>
      </c>
      <c r="C120" t="s">
        <v>338</v>
      </c>
      <c r="D120">
        <v>1</v>
      </c>
      <c r="E120" t="s">
        <v>64</v>
      </c>
      <c r="F120">
        <v>2050</v>
      </c>
      <c r="G120" t="s">
        <v>2</v>
      </c>
      <c r="H120">
        <v>29813.461691279943</v>
      </c>
      <c r="I120">
        <v>6070.2104784000012</v>
      </c>
      <c r="J120">
        <v>2489.4862080000016</v>
      </c>
      <c r="K120">
        <v>9560.0769924000033</v>
      </c>
      <c r="L120">
        <v>0.62197891423556195</v>
      </c>
      <c r="M120">
        <v>0.126638864068605</v>
      </c>
      <c r="N120">
        <v>5.1936536075216498E-2</v>
      </c>
      <c r="O120">
        <v>0.19944568562061701</v>
      </c>
    </row>
    <row r="121" spans="1:15" x14ac:dyDescent="0.25">
      <c r="A121" t="s">
        <v>1</v>
      </c>
      <c r="B121" t="s">
        <v>337</v>
      </c>
      <c r="C121" t="s">
        <v>338</v>
      </c>
      <c r="D121">
        <v>1</v>
      </c>
      <c r="E121" t="s">
        <v>64</v>
      </c>
      <c r="F121">
        <v>2051</v>
      </c>
      <c r="G121" t="s">
        <v>2</v>
      </c>
      <c r="H121">
        <v>30465.398980559941</v>
      </c>
      <c r="I121">
        <v>6097.1109633600017</v>
      </c>
      <c r="J121">
        <v>2489.4862080000016</v>
      </c>
      <c r="K121">
        <v>9560.0769924000033</v>
      </c>
      <c r="L121">
        <v>0.62670437629997799</v>
      </c>
      <c r="M121">
        <v>0.125423800487974</v>
      </c>
      <c r="N121">
        <v>5.1211274215958502E-2</v>
      </c>
      <c r="O121">
        <v>0.19666054899608901</v>
      </c>
    </row>
    <row r="122" spans="1:15" x14ac:dyDescent="0.25">
      <c r="A122" t="s">
        <v>1</v>
      </c>
      <c r="B122" t="s">
        <v>337</v>
      </c>
      <c r="C122" t="s">
        <v>338</v>
      </c>
      <c r="D122">
        <v>1</v>
      </c>
      <c r="E122" t="s">
        <v>65</v>
      </c>
      <c r="F122">
        <v>2022</v>
      </c>
      <c r="G122" t="s">
        <v>2</v>
      </c>
      <c r="H122">
        <v>27665.057148479958</v>
      </c>
      <c r="I122">
        <v>18385.097673119995</v>
      </c>
      <c r="J122">
        <v>6333.7514539199883</v>
      </c>
      <c r="K122">
        <v>31314.912659759815</v>
      </c>
      <c r="L122">
        <v>0.33053103377566201</v>
      </c>
      <c r="M122">
        <v>0.219657790958034</v>
      </c>
      <c r="N122">
        <v>7.5673128181385399E-2</v>
      </c>
      <c r="O122">
        <v>0.37413804708491899</v>
      </c>
    </row>
    <row r="123" spans="1:15" x14ac:dyDescent="0.25">
      <c r="A123" t="s">
        <v>1</v>
      </c>
      <c r="B123" t="s">
        <v>337</v>
      </c>
      <c r="C123" t="s">
        <v>338</v>
      </c>
      <c r="D123">
        <v>1</v>
      </c>
      <c r="E123" t="s">
        <v>65</v>
      </c>
      <c r="F123">
        <v>2023</v>
      </c>
      <c r="G123" t="s">
        <v>2</v>
      </c>
      <c r="H123">
        <v>36000.198974399864</v>
      </c>
      <c r="I123">
        <v>12394.451721360017</v>
      </c>
      <c r="J123">
        <v>3412.4301261600008</v>
      </c>
      <c r="K123">
        <v>33252.478417679784</v>
      </c>
      <c r="L123">
        <v>0.42323519303683299</v>
      </c>
      <c r="M123">
        <v>0.14571497703681699</v>
      </c>
      <c r="N123">
        <v>4.0118126130276703E-2</v>
      </c>
      <c r="O123">
        <v>0.390931703796074</v>
      </c>
    </row>
    <row r="124" spans="1:15" x14ac:dyDescent="0.25">
      <c r="A124" t="s">
        <v>1</v>
      </c>
      <c r="B124" t="s">
        <v>337</v>
      </c>
      <c r="C124" t="s">
        <v>338</v>
      </c>
      <c r="D124">
        <v>1</v>
      </c>
      <c r="E124" t="s">
        <v>65</v>
      </c>
      <c r="F124">
        <v>2024</v>
      </c>
      <c r="G124" t="s">
        <v>2</v>
      </c>
      <c r="H124">
        <v>35312.388781679882</v>
      </c>
      <c r="I124">
        <v>14603.174326800021</v>
      </c>
      <c r="J124">
        <v>4213.0227232800062</v>
      </c>
      <c r="K124">
        <v>27410.91989615979</v>
      </c>
      <c r="L124">
        <v>0.433070920242146</v>
      </c>
      <c r="M124">
        <v>0.179093240711168</v>
      </c>
      <c r="N124">
        <v>5.1668484934627702E-2</v>
      </c>
      <c r="O124">
        <v>0.336167354112058</v>
      </c>
    </row>
    <row r="125" spans="1:15" x14ac:dyDescent="0.25">
      <c r="A125" t="s">
        <v>1</v>
      </c>
      <c r="B125" t="s">
        <v>337</v>
      </c>
      <c r="C125" t="s">
        <v>338</v>
      </c>
      <c r="D125">
        <v>1</v>
      </c>
      <c r="E125" t="s">
        <v>65</v>
      </c>
      <c r="F125">
        <v>2025</v>
      </c>
      <c r="G125" t="s">
        <v>2</v>
      </c>
      <c r="H125">
        <v>36000.198974399864</v>
      </c>
      <c r="I125">
        <v>19592.566404479992</v>
      </c>
      <c r="J125">
        <v>1278.8512022399998</v>
      </c>
      <c r="K125">
        <v>25555.18991519991</v>
      </c>
      <c r="L125">
        <v>0.43675353328176297</v>
      </c>
      <c r="M125">
        <v>0.23769653632468199</v>
      </c>
      <c r="N125">
        <v>1.55149915009397E-2</v>
      </c>
      <c r="O125">
        <v>0.31003493889261502</v>
      </c>
    </row>
    <row r="126" spans="1:15" x14ac:dyDescent="0.25">
      <c r="A126" t="s">
        <v>1</v>
      </c>
      <c r="B126" t="s">
        <v>337</v>
      </c>
      <c r="C126" t="s">
        <v>338</v>
      </c>
      <c r="D126">
        <v>1</v>
      </c>
      <c r="E126" t="s">
        <v>65</v>
      </c>
      <c r="F126">
        <v>2026</v>
      </c>
      <c r="G126" t="s">
        <v>2</v>
      </c>
      <c r="H126">
        <v>36000.198974399864</v>
      </c>
      <c r="I126">
        <v>24566.693621999944</v>
      </c>
      <c r="J126">
        <v>4268.5362760799999</v>
      </c>
      <c r="K126">
        <v>15490.261779600101</v>
      </c>
      <c r="L126">
        <v>0.44817789529292601</v>
      </c>
      <c r="M126">
        <v>0.30583856077138899</v>
      </c>
      <c r="N126">
        <v>5.3140361961761397E-2</v>
      </c>
      <c r="O126">
        <v>0.192843181973923</v>
      </c>
    </row>
    <row r="127" spans="1:15" x14ac:dyDescent="0.25">
      <c r="A127" t="s">
        <v>1</v>
      </c>
      <c r="B127" t="s">
        <v>337</v>
      </c>
      <c r="C127" t="s">
        <v>338</v>
      </c>
      <c r="D127">
        <v>1</v>
      </c>
      <c r="E127" t="s">
        <v>65</v>
      </c>
      <c r="F127">
        <v>2027</v>
      </c>
      <c r="G127" t="s">
        <v>2</v>
      </c>
      <c r="H127">
        <v>36000.198974399864</v>
      </c>
      <c r="I127">
        <v>27994.542688319932</v>
      </c>
      <c r="J127">
        <v>5395.8996295200013</v>
      </c>
      <c r="K127">
        <v>9560.0769924000033</v>
      </c>
      <c r="L127">
        <v>0.45598317224434698</v>
      </c>
      <c r="M127">
        <v>0.354582495214187</v>
      </c>
      <c r="N127">
        <v>6.8345161978973404E-2</v>
      </c>
      <c r="O127">
        <v>0.12108917056249199</v>
      </c>
    </row>
    <row r="128" spans="1:15" x14ac:dyDescent="0.25">
      <c r="A128" t="s">
        <v>1</v>
      </c>
      <c r="B128" t="s">
        <v>337</v>
      </c>
      <c r="C128" t="s">
        <v>338</v>
      </c>
      <c r="D128">
        <v>1</v>
      </c>
      <c r="E128" t="s">
        <v>65</v>
      </c>
      <c r="F128">
        <v>2028</v>
      </c>
      <c r="G128" t="s">
        <v>2</v>
      </c>
      <c r="H128">
        <v>36108.800805119863</v>
      </c>
      <c r="I128">
        <v>30347.310116879926</v>
      </c>
      <c r="J128">
        <v>2485.2739924800007</v>
      </c>
      <c r="K128">
        <v>9586.268984160004</v>
      </c>
      <c r="L128">
        <v>0.45982273775462101</v>
      </c>
      <c r="M128">
        <v>0.38645379825113502</v>
      </c>
      <c r="N128">
        <v>3.1648392242660001E-2</v>
      </c>
      <c r="O128">
        <v>0.122075071751584</v>
      </c>
    </row>
    <row r="129" spans="1:15" x14ac:dyDescent="0.25">
      <c r="A129" t="s">
        <v>1</v>
      </c>
      <c r="B129" t="s">
        <v>337</v>
      </c>
      <c r="C129" t="s">
        <v>338</v>
      </c>
      <c r="D129">
        <v>1</v>
      </c>
      <c r="E129" t="s">
        <v>65</v>
      </c>
      <c r="F129">
        <v>2029</v>
      </c>
      <c r="G129" t="s">
        <v>2</v>
      </c>
      <c r="H129">
        <v>35228.939604479885</v>
      </c>
      <c r="I129">
        <v>29299.890381119923</v>
      </c>
      <c r="J129">
        <v>2306.4355327200001</v>
      </c>
      <c r="K129">
        <v>9560.0769924000033</v>
      </c>
      <c r="L129">
        <v>0.46113988689214302</v>
      </c>
      <c r="M129">
        <v>0.38352979930692199</v>
      </c>
      <c r="N129">
        <v>3.01907872511516E-2</v>
      </c>
      <c r="O129">
        <v>0.125139526549783</v>
      </c>
    </row>
    <row r="130" spans="1:15" x14ac:dyDescent="0.25">
      <c r="A130" t="s">
        <v>1</v>
      </c>
      <c r="B130" t="s">
        <v>337</v>
      </c>
      <c r="C130" t="s">
        <v>338</v>
      </c>
      <c r="D130">
        <v>1</v>
      </c>
      <c r="E130" t="s">
        <v>65</v>
      </c>
      <c r="F130">
        <v>2030</v>
      </c>
      <c r="G130" t="s">
        <v>2</v>
      </c>
      <c r="H130">
        <v>35031.910268399894</v>
      </c>
      <c r="I130">
        <v>24393.910376639968</v>
      </c>
      <c r="J130">
        <v>6058.2065404799996</v>
      </c>
      <c r="K130">
        <v>9560.0769924000033</v>
      </c>
      <c r="L130">
        <v>0.46681762214582201</v>
      </c>
      <c r="M130">
        <v>0.32506098438866199</v>
      </c>
      <c r="N130">
        <v>8.0728614284165195E-2</v>
      </c>
      <c r="O130">
        <v>0.12739277918135</v>
      </c>
    </row>
    <row r="131" spans="1:15" x14ac:dyDescent="0.25">
      <c r="A131" t="s">
        <v>1</v>
      </c>
      <c r="B131" t="s">
        <v>337</v>
      </c>
      <c r="C131" t="s">
        <v>338</v>
      </c>
      <c r="D131">
        <v>1</v>
      </c>
      <c r="E131" t="s">
        <v>65</v>
      </c>
      <c r="F131">
        <v>2031</v>
      </c>
      <c r="G131" t="s">
        <v>2</v>
      </c>
      <c r="H131">
        <v>35047.837680959892</v>
      </c>
      <c r="I131">
        <v>23375.78543735998</v>
      </c>
      <c r="J131">
        <v>5702.7809558400013</v>
      </c>
      <c r="K131">
        <v>9560.0769924000033</v>
      </c>
      <c r="L131">
        <v>0.47563456924074998</v>
      </c>
      <c r="M131">
        <v>0.317233026995074</v>
      </c>
      <c r="N131">
        <v>7.7392499591461897E-2</v>
      </c>
      <c r="O131">
        <v>0.129739904172714</v>
      </c>
    </row>
    <row r="132" spans="1:15" x14ac:dyDescent="0.25">
      <c r="A132" t="s">
        <v>1</v>
      </c>
      <c r="B132" t="s">
        <v>337</v>
      </c>
      <c r="C132" t="s">
        <v>338</v>
      </c>
      <c r="D132">
        <v>1</v>
      </c>
      <c r="E132" t="s">
        <v>65</v>
      </c>
      <c r="F132">
        <v>2032</v>
      </c>
      <c r="G132" t="s">
        <v>2</v>
      </c>
      <c r="H132">
        <v>36108.800805119863</v>
      </c>
      <c r="I132">
        <v>20539.332040559995</v>
      </c>
      <c r="J132">
        <v>6687.8966824799954</v>
      </c>
      <c r="K132">
        <v>9586.268984160004</v>
      </c>
      <c r="L132">
        <v>0.49516816586656898</v>
      </c>
      <c r="M132">
        <v>0.28166051344486898</v>
      </c>
      <c r="N132">
        <v>9.1712642345607207E-2</v>
      </c>
      <c r="O132">
        <v>0.13145867834295499</v>
      </c>
    </row>
    <row r="133" spans="1:15" x14ac:dyDescent="0.25">
      <c r="A133" t="s">
        <v>1</v>
      </c>
      <c r="B133" t="s">
        <v>337</v>
      </c>
      <c r="C133" t="s">
        <v>338</v>
      </c>
      <c r="D133">
        <v>1</v>
      </c>
      <c r="E133" t="s">
        <v>65</v>
      </c>
      <c r="F133">
        <v>2033</v>
      </c>
      <c r="G133" t="s">
        <v>2</v>
      </c>
      <c r="H133">
        <v>34804.684377839898</v>
      </c>
      <c r="I133">
        <v>20514.641974079997</v>
      </c>
      <c r="J133">
        <v>6352.8697641600011</v>
      </c>
      <c r="K133">
        <v>9560.0769924000033</v>
      </c>
      <c r="L133">
        <v>0.48860836330234397</v>
      </c>
      <c r="M133">
        <v>0.287996452715164</v>
      </c>
      <c r="N133">
        <v>8.9185273569540494E-2</v>
      </c>
      <c r="O133">
        <v>0.13420991041295199</v>
      </c>
    </row>
    <row r="134" spans="1:15" x14ac:dyDescent="0.25">
      <c r="A134" t="s">
        <v>1</v>
      </c>
      <c r="B134" t="s">
        <v>337</v>
      </c>
      <c r="C134" t="s">
        <v>338</v>
      </c>
      <c r="D134">
        <v>1</v>
      </c>
      <c r="E134" t="s">
        <v>65</v>
      </c>
      <c r="F134">
        <v>2034</v>
      </c>
      <c r="G134" t="s">
        <v>2</v>
      </c>
      <c r="H134">
        <v>34558.889047439901</v>
      </c>
      <c r="I134">
        <v>19886.751950159993</v>
      </c>
      <c r="J134">
        <v>6046.9844508000006</v>
      </c>
      <c r="K134">
        <v>9560.0769924000033</v>
      </c>
      <c r="L134">
        <v>0.49332699301136801</v>
      </c>
      <c r="M134">
        <v>0.28388272339623</v>
      </c>
      <c r="N134">
        <v>8.6320502137803803E-2</v>
      </c>
      <c r="O134">
        <v>0.13646978145459901</v>
      </c>
    </row>
    <row r="135" spans="1:15" x14ac:dyDescent="0.25">
      <c r="A135" t="s">
        <v>1</v>
      </c>
      <c r="B135" t="s">
        <v>337</v>
      </c>
      <c r="C135" t="s">
        <v>338</v>
      </c>
      <c r="D135">
        <v>1</v>
      </c>
      <c r="E135" t="s">
        <v>65</v>
      </c>
      <c r="F135">
        <v>2035</v>
      </c>
      <c r="G135" t="s">
        <v>2</v>
      </c>
      <c r="H135">
        <v>36000.198974399864</v>
      </c>
      <c r="I135">
        <v>14776.993139520022</v>
      </c>
      <c r="J135">
        <v>8686.9178507999877</v>
      </c>
      <c r="K135">
        <v>9560.0769924000033</v>
      </c>
      <c r="L135">
        <v>0.52155918905302601</v>
      </c>
      <c r="M135">
        <v>0.214084276699992</v>
      </c>
      <c r="N135">
        <v>0.12585324411277199</v>
      </c>
      <c r="O135">
        <v>0.138503290134211</v>
      </c>
    </row>
    <row r="136" spans="1:15" x14ac:dyDescent="0.25">
      <c r="A136" t="s">
        <v>1</v>
      </c>
      <c r="B136" t="s">
        <v>337</v>
      </c>
      <c r="C136" t="s">
        <v>338</v>
      </c>
      <c r="D136">
        <v>1</v>
      </c>
      <c r="E136" t="s">
        <v>65</v>
      </c>
      <c r="F136">
        <v>2036</v>
      </c>
      <c r="G136" t="s">
        <v>2</v>
      </c>
      <c r="H136">
        <v>34417.557346559908</v>
      </c>
      <c r="I136">
        <v>15927.948572160023</v>
      </c>
      <c r="J136">
        <v>8467.7490148799916</v>
      </c>
      <c r="K136">
        <v>9586.268984160004</v>
      </c>
      <c r="L136">
        <v>0.50318416525737497</v>
      </c>
      <c r="M136">
        <v>0.232866366019023</v>
      </c>
      <c r="N136">
        <v>0.123798361887156</v>
      </c>
      <c r="O136">
        <v>0.14015110683644599</v>
      </c>
    </row>
    <row r="137" spans="1:15" x14ac:dyDescent="0.25">
      <c r="A137" t="s">
        <v>1</v>
      </c>
      <c r="B137" t="s">
        <v>337</v>
      </c>
      <c r="C137" t="s">
        <v>338</v>
      </c>
      <c r="D137">
        <v>1</v>
      </c>
      <c r="E137" t="s">
        <v>65</v>
      </c>
      <c r="F137">
        <v>2037</v>
      </c>
      <c r="G137" t="s">
        <v>2</v>
      </c>
      <c r="H137">
        <v>33938.368113839912</v>
      </c>
      <c r="I137">
        <v>14980.932914640018</v>
      </c>
      <c r="J137">
        <v>8215.6900591199865</v>
      </c>
      <c r="K137">
        <v>9560.0769924000033</v>
      </c>
      <c r="L137">
        <v>0.50885873709778995</v>
      </c>
      <c r="M137">
        <v>0.224618301561227</v>
      </c>
      <c r="N137">
        <v>0.12318287237169299</v>
      </c>
      <c r="O137">
        <v>0.14334008896928899</v>
      </c>
    </row>
    <row r="138" spans="1:15" x14ac:dyDescent="0.25">
      <c r="A138" t="s">
        <v>1</v>
      </c>
      <c r="B138" t="s">
        <v>337</v>
      </c>
      <c r="C138" t="s">
        <v>338</v>
      </c>
      <c r="D138">
        <v>1</v>
      </c>
      <c r="E138" t="s">
        <v>65</v>
      </c>
      <c r="F138">
        <v>2038</v>
      </c>
      <c r="G138" t="s">
        <v>2</v>
      </c>
      <c r="H138">
        <v>33700.299572879914</v>
      </c>
      <c r="I138">
        <v>12220.064075280014</v>
      </c>
      <c r="J138">
        <v>10229.319130319976</v>
      </c>
      <c r="K138">
        <v>9560.0769924000033</v>
      </c>
      <c r="L138">
        <v>0.51286596831867604</v>
      </c>
      <c r="M138">
        <v>0.18597030514020399</v>
      </c>
      <c r="N138">
        <v>0.15567427374545401</v>
      </c>
      <c r="O138">
        <v>0.145489452795666</v>
      </c>
    </row>
    <row r="139" spans="1:15" x14ac:dyDescent="0.25">
      <c r="A139" t="s">
        <v>1</v>
      </c>
      <c r="B139" t="s">
        <v>337</v>
      </c>
      <c r="C139" t="s">
        <v>338</v>
      </c>
      <c r="D139">
        <v>1</v>
      </c>
      <c r="E139" t="s">
        <v>65</v>
      </c>
      <c r="F139">
        <v>2039</v>
      </c>
      <c r="G139" t="s">
        <v>2</v>
      </c>
      <c r="H139">
        <v>36000.198974399864</v>
      </c>
      <c r="I139">
        <v>11519.030528160014</v>
      </c>
      <c r="J139">
        <v>7771.9108555199873</v>
      </c>
      <c r="K139">
        <v>9560.0769924000033</v>
      </c>
      <c r="L139">
        <v>0.555119864286302</v>
      </c>
      <c r="M139">
        <v>0.17762242558851199</v>
      </c>
      <c r="N139">
        <v>0.119842173717692</v>
      </c>
      <c r="O139">
        <v>0.147415536407494</v>
      </c>
    </row>
    <row r="140" spans="1:15" x14ac:dyDescent="0.25">
      <c r="A140" t="s">
        <v>1</v>
      </c>
      <c r="B140" t="s">
        <v>337</v>
      </c>
      <c r="C140" t="s">
        <v>338</v>
      </c>
      <c r="D140">
        <v>1</v>
      </c>
      <c r="E140" t="s">
        <v>65</v>
      </c>
      <c r="F140">
        <v>2040</v>
      </c>
      <c r="G140" t="s">
        <v>2</v>
      </c>
      <c r="H140">
        <v>36108.800805119863</v>
      </c>
      <c r="I140">
        <v>7515.2878694400088</v>
      </c>
      <c r="J140">
        <v>11108.129620559968</v>
      </c>
      <c r="K140">
        <v>9586.268984160004</v>
      </c>
      <c r="L140">
        <v>0.56140625087046003</v>
      </c>
      <c r="M140">
        <v>0.116844910185894</v>
      </c>
      <c r="N140">
        <v>0.17270508201362</v>
      </c>
      <c r="O140">
        <v>0.149043756930027</v>
      </c>
    </row>
    <row r="141" spans="1:15" x14ac:dyDescent="0.25">
      <c r="A141" t="s">
        <v>1</v>
      </c>
      <c r="B141" t="s">
        <v>337</v>
      </c>
      <c r="C141" t="s">
        <v>338</v>
      </c>
      <c r="D141">
        <v>1</v>
      </c>
      <c r="E141" t="s">
        <v>65</v>
      </c>
      <c r="F141">
        <v>2041</v>
      </c>
      <c r="G141" t="s">
        <v>2</v>
      </c>
      <c r="H141">
        <v>36000.198974399864</v>
      </c>
      <c r="I141">
        <v>9152.6110514400061</v>
      </c>
      <c r="J141">
        <v>8382.7102091999841</v>
      </c>
      <c r="K141">
        <v>9560.0769924000033</v>
      </c>
      <c r="L141">
        <v>0.57056594368431801</v>
      </c>
      <c r="M141">
        <v>0.145059424961899</v>
      </c>
      <c r="N141">
        <v>0.13285729238734301</v>
      </c>
      <c r="O141">
        <v>0.15151733896644001</v>
      </c>
    </row>
    <row r="142" spans="1:15" x14ac:dyDescent="0.25">
      <c r="A142" t="s">
        <v>1</v>
      </c>
      <c r="B142" t="s">
        <v>337</v>
      </c>
      <c r="C142" t="s">
        <v>338</v>
      </c>
      <c r="D142">
        <v>1</v>
      </c>
      <c r="E142" t="s">
        <v>65</v>
      </c>
      <c r="F142">
        <v>2042</v>
      </c>
      <c r="G142" t="s">
        <v>2</v>
      </c>
      <c r="H142">
        <v>33230.950186559916</v>
      </c>
      <c r="I142">
        <v>8833.257332160003</v>
      </c>
      <c r="J142">
        <v>10626.866357999977</v>
      </c>
      <c r="K142">
        <v>9508.5498033600015</v>
      </c>
      <c r="L142">
        <v>0.534262881677249</v>
      </c>
      <c r="M142">
        <v>0.14201464268647901</v>
      </c>
      <c r="N142">
        <v>0.17085097512259301</v>
      </c>
      <c r="O142">
        <v>0.15287150051367901</v>
      </c>
    </row>
    <row r="143" spans="1:15" x14ac:dyDescent="0.25">
      <c r="A143" t="s">
        <v>1</v>
      </c>
      <c r="B143" t="s">
        <v>337</v>
      </c>
      <c r="C143" t="s">
        <v>338</v>
      </c>
      <c r="D143">
        <v>1</v>
      </c>
      <c r="E143" t="s">
        <v>65</v>
      </c>
      <c r="F143">
        <v>2043</v>
      </c>
      <c r="G143" t="s">
        <v>2</v>
      </c>
      <c r="H143">
        <v>33222.67163519992</v>
      </c>
      <c r="I143">
        <v>9328.3770890400028</v>
      </c>
      <c r="J143">
        <v>9405.1863170399847</v>
      </c>
      <c r="K143">
        <v>9501.8488430400012</v>
      </c>
      <c r="L143">
        <v>0.54057447833443095</v>
      </c>
      <c r="M143">
        <v>0.151784378871922</v>
      </c>
      <c r="N143">
        <v>0.15303416121373001</v>
      </c>
      <c r="O143">
        <v>0.15460698157991601</v>
      </c>
    </row>
    <row r="144" spans="1:15" x14ac:dyDescent="0.25">
      <c r="A144" t="s">
        <v>1</v>
      </c>
      <c r="B144" t="s">
        <v>337</v>
      </c>
      <c r="C144" t="s">
        <v>338</v>
      </c>
      <c r="D144">
        <v>1</v>
      </c>
      <c r="E144" t="s">
        <v>65</v>
      </c>
      <c r="F144">
        <v>2044</v>
      </c>
      <c r="G144" t="s">
        <v>2</v>
      </c>
      <c r="H144">
        <v>35729.109644399876</v>
      </c>
      <c r="I144">
        <v>4842.5376895200025</v>
      </c>
      <c r="J144">
        <v>10850.651882399981</v>
      </c>
      <c r="K144">
        <v>9586.268984160004</v>
      </c>
      <c r="L144">
        <v>0.58564084846231201</v>
      </c>
      <c r="M144">
        <v>7.9374714607413396E-2</v>
      </c>
      <c r="N144">
        <v>0.17785455719504401</v>
      </c>
      <c r="O144">
        <v>0.15712987973522999</v>
      </c>
    </row>
    <row r="145" spans="1:15" x14ac:dyDescent="0.25">
      <c r="A145" t="s">
        <v>1</v>
      </c>
      <c r="B145" t="s">
        <v>337</v>
      </c>
      <c r="C145" t="s">
        <v>338</v>
      </c>
      <c r="D145">
        <v>1</v>
      </c>
      <c r="E145" t="s">
        <v>65</v>
      </c>
      <c r="F145">
        <v>2045</v>
      </c>
      <c r="G145" t="s">
        <v>2</v>
      </c>
      <c r="H145">
        <v>35211.842339039889</v>
      </c>
      <c r="I145">
        <v>6466.9588075200036</v>
      </c>
      <c r="J145">
        <v>8660.4921141599825</v>
      </c>
      <c r="K145">
        <v>9560.0769924000033</v>
      </c>
      <c r="L145">
        <v>0.58784995886005798</v>
      </c>
      <c r="M145">
        <v>0.107963719488072</v>
      </c>
      <c r="N145">
        <v>0.14458402613521501</v>
      </c>
      <c r="O145">
        <v>0.159602295516656</v>
      </c>
    </row>
    <row r="146" spans="1:15" x14ac:dyDescent="0.25">
      <c r="A146" t="s">
        <v>1</v>
      </c>
      <c r="B146" t="s">
        <v>337</v>
      </c>
      <c r="C146" t="s">
        <v>338</v>
      </c>
      <c r="D146">
        <v>1</v>
      </c>
      <c r="E146" t="s">
        <v>65</v>
      </c>
      <c r="F146">
        <v>2046</v>
      </c>
      <c r="G146" t="s">
        <v>2</v>
      </c>
      <c r="H146">
        <v>33200.374296719921</v>
      </c>
      <c r="I146">
        <v>11547.168703200014</v>
      </c>
      <c r="J146">
        <v>4898.8575072000021</v>
      </c>
      <c r="K146">
        <v>9476.8927039200007</v>
      </c>
      <c r="L146">
        <v>0.56154473970540797</v>
      </c>
      <c r="M146">
        <v>0.19530658858907801</v>
      </c>
      <c r="N146">
        <v>8.2858332835310494E-2</v>
      </c>
      <c r="O146">
        <v>0.160290338870204</v>
      </c>
    </row>
    <row r="147" spans="1:15" x14ac:dyDescent="0.25">
      <c r="A147" t="s">
        <v>1</v>
      </c>
      <c r="B147" t="s">
        <v>337</v>
      </c>
      <c r="C147" t="s">
        <v>338</v>
      </c>
      <c r="D147">
        <v>1</v>
      </c>
      <c r="E147" t="s">
        <v>65</v>
      </c>
      <c r="F147">
        <v>2047</v>
      </c>
      <c r="G147" t="s">
        <v>2</v>
      </c>
      <c r="H147">
        <v>34800.5463467999</v>
      </c>
      <c r="I147">
        <v>6452.7795429600028</v>
      </c>
      <c r="J147">
        <v>7659.8188307999953</v>
      </c>
      <c r="K147">
        <v>9560.0769924000033</v>
      </c>
      <c r="L147">
        <v>0.59515356478274495</v>
      </c>
      <c r="M147">
        <v>0.11035443838952699</v>
      </c>
      <c r="N147">
        <v>0.13099703772782301</v>
      </c>
      <c r="O147">
        <v>0.163494959099904</v>
      </c>
    </row>
    <row r="148" spans="1:15" x14ac:dyDescent="0.25">
      <c r="A148" t="s">
        <v>1</v>
      </c>
      <c r="B148" t="s">
        <v>337</v>
      </c>
      <c r="C148" t="s">
        <v>338</v>
      </c>
      <c r="D148">
        <v>1</v>
      </c>
      <c r="E148" t="s">
        <v>65</v>
      </c>
      <c r="F148">
        <v>2048</v>
      </c>
      <c r="G148" t="s">
        <v>2</v>
      </c>
      <c r="H148">
        <v>34879.625616959893</v>
      </c>
      <c r="I148">
        <v>7108.0725513600028</v>
      </c>
      <c r="J148">
        <v>6552.4796368800016</v>
      </c>
      <c r="K148">
        <v>9586.268984160004</v>
      </c>
      <c r="L148">
        <v>0.60006464429793205</v>
      </c>
      <c r="M148">
        <v>0.122286376408288</v>
      </c>
      <c r="N148">
        <v>0.11272802654917199</v>
      </c>
      <c r="O148">
        <v>0.164920952744608</v>
      </c>
    </row>
    <row r="149" spans="1:15" x14ac:dyDescent="0.25">
      <c r="A149" t="s">
        <v>1</v>
      </c>
      <c r="B149" t="s">
        <v>337</v>
      </c>
      <c r="C149" t="s">
        <v>338</v>
      </c>
      <c r="D149">
        <v>1</v>
      </c>
      <c r="E149" t="s">
        <v>65</v>
      </c>
      <c r="F149">
        <v>2049</v>
      </c>
      <c r="G149" t="s">
        <v>2</v>
      </c>
      <c r="H149">
        <v>34428.143615759909</v>
      </c>
      <c r="I149">
        <v>7317.3561218400046</v>
      </c>
      <c r="J149">
        <v>5865.0395654400045</v>
      </c>
      <c r="K149">
        <v>9560.0769924000033</v>
      </c>
      <c r="L149">
        <v>0.60219997345919796</v>
      </c>
      <c r="M149">
        <v>0.127991555732515</v>
      </c>
      <c r="N149">
        <v>0.10258835649298099</v>
      </c>
      <c r="O149">
        <v>0.16722011431530701</v>
      </c>
    </row>
    <row r="150" spans="1:15" x14ac:dyDescent="0.25">
      <c r="A150" t="s">
        <v>1</v>
      </c>
      <c r="B150" t="s">
        <v>337</v>
      </c>
      <c r="C150" t="s">
        <v>338</v>
      </c>
      <c r="D150">
        <v>1</v>
      </c>
      <c r="E150" t="s">
        <v>65</v>
      </c>
      <c r="F150">
        <v>2050</v>
      </c>
      <c r="G150" t="s">
        <v>2</v>
      </c>
      <c r="H150">
        <v>34302.710989679908</v>
      </c>
      <c r="I150">
        <v>10397.041962000001</v>
      </c>
      <c r="J150">
        <v>2468.0931436800015</v>
      </c>
      <c r="K150">
        <v>9560.0769924000033</v>
      </c>
      <c r="L150">
        <v>0.60468829321694895</v>
      </c>
      <c r="M150">
        <v>0.18327908719512701</v>
      </c>
      <c r="N150">
        <v>4.35075534117789E-2</v>
      </c>
      <c r="O150">
        <v>0.16852506617614499</v>
      </c>
    </row>
    <row r="151" spans="1:15" x14ac:dyDescent="0.25">
      <c r="A151" t="s">
        <v>1</v>
      </c>
      <c r="B151" t="s">
        <v>337</v>
      </c>
      <c r="C151" t="s">
        <v>338</v>
      </c>
      <c r="D151">
        <v>1</v>
      </c>
      <c r="E151" t="s">
        <v>65</v>
      </c>
      <c r="F151">
        <v>2051</v>
      </c>
      <c r="G151" t="s">
        <v>2</v>
      </c>
      <c r="H151">
        <v>33844.933218719918</v>
      </c>
      <c r="I151">
        <v>7407.104337360005</v>
      </c>
      <c r="J151">
        <v>2415.9453566400016</v>
      </c>
      <c r="K151">
        <v>9560.0769924000033</v>
      </c>
      <c r="L151">
        <v>0.63584758262933505</v>
      </c>
      <c r="M151">
        <v>0.13915788684696201</v>
      </c>
      <c r="N151">
        <v>4.5388566875187102E-2</v>
      </c>
      <c r="O151">
        <v>0.179605963648516</v>
      </c>
    </row>
    <row r="152" spans="1:15" x14ac:dyDescent="0.25">
      <c r="A152" t="s">
        <v>1</v>
      </c>
      <c r="B152" t="s">
        <v>337</v>
      </c>
      <c r="C152" t="s">
        <v>338</v>
      </c>
      <c r="D152">
        <v>1</v>
      </c>
      <c r="E152" t="s">
        <v>66</v>
      </c>
      <c r="F152">
        <v>2022</v>
      </c>
      <c r="G152" t="s">
        <v>2</v>
      </c>
      <c r="H152" s="2">
        <v>27665.057148479998</v>
      </c>
      <c r="I152" s="2">
        <v>18434.84535096</v>
      </c>
      <c r="J152" s="2">
        <v>6348.2626763999997</v>
      </c>
      <c r="K152" s="2">
        <v>31387.548731520001</v>
      </c>
      <c r="L152" s="1">
        <v>0.32999130999999998</v>
      </c>
      <c r="M152" s="1">
        <v>0.21989251000000001</v>
      </c>
      <c r="N152" s="1">
        <v>7.5722650000000002E-2</v>
      </c>
      <c r="O152" s="1">
        <v>0.37439352999999997</v>
      </c>
    </row>
    <row r="153" spans="1:15" x14ac:dyDescent="0.25">
      <c r="A153" t="s">
        <v>1</v>
      </c>
      <c r="B153" t="s">
        <v>337</v>
      </c>
      <c r="C153" t="s">
        <v>338</v>
      </c>
      <c r="D153">
        <v>1</v>
      </c>
      <c r="E153" t="s">
        <v>66</v>
      </c>
      <c r="F153">
        <v>2023</v>
      </c>
      <c r="G153" t="s">
        <v>2</v>
      </c>
      <c r="H153" s="2">
        <v>36000.198974400002</v>
      </c>
      <c r="I153" s="2">
        <v>12821.53756776</v>
      </c>
      <c r="J153" s="2">
        <v>3468.4556030399999</v>
      </c>
      <c r="K153" s="2">
        <v>33252.478417680002</v>
      </c>
      <c r="L153" s="1">
        <v>0.42084493000000001</v>
      </c>
      <c r="M153" s="1">
        <v>0.14988470000000001</v>
      </c>
      <c r="N153" s="1">
        <v>4.0546499999999999E-2</v>
      </c>
      <c r="O153" s="1">
        <v>0.38872388000000002</v>
      </c>
    </row>
    <row r="154" spans="1:15" x14ac:dyDescent="0.25">
      <c r="A154" t="s">
        <v>1</v>
      </c>
      <c r="B154" t="s">
        <v>337</v>
      </c>
      <c r="C154" t="s">
        <v>338</v>
      </c>
      <c r="D154">
        <v>1</v>
      </c>
      <c r="E154" t="s">
        <v>66</v>
      </c>
      <c r="F154">
        <v>2024</v>
      </c>
      <c r="G154" t="s">
        <v>2</v>
      </c>
      <c r="H154" s="2">
        <v>35261.534503440002</v>
      </c>
      <c r="I154" s="2">
        <v>15011.06493</v>
      </c>
      <c r="J154" s="2">
        <v>4221.5693956799996</v>
      </c>
      <c r="K154" s="2">
        <v>27410.919896160001</v>
      </c>
      <c r="L154" s="1">
        <v>0.43051701999999997</v>
      </c>
      <c r="M154" s="1">
        <v>0.18327389999999999</v>
      </c>
      <c r="N154" s="1">
        <v>5.1542209999999998E-2</v>
      </c>
      <c r="O154" s="1">
        <v>0.33466687000000001</v>
      </c>
    </row>
    <row r="155" spans="1:15" x14ac:dyDescent="0.25">
      <c r="A155" t="s">
        <v>1</v>
      </c>
      <c r="B155" t="s">
        <v>337</v>
      </c>
      <c r="C155" t="s">
        <v>338</v>
      </c>
      <c r="D155">
        <v>1</v>
      </c>
      <c r="E155" t="s">
        <v>66</v>
      </c>
      <c r="F155">
        <v>2025</v>
      </c>
      <c r="G155" t="s">
        <v>2</v>
      </c>
      <c r="H155" s="2">
        <v>36000.198974400002</v>
      </c>
      <c r="I155" s="2">
        <v>19671.606147120001</v>
      </c>
      <c r="J155" s="2">
        <v>1334.0129827200001</v>
      </c>
      <c r="K155" s="2">
        <v>25555.189915200001</v>
      </c>
      <c r="L155" s="1">
        <v>0.43604359999999998</v>
      </c>
      <c r="M155" s="1">
        <v>0.23826750999999999</v>
      </c>
      <c r="N155" s="1">
        <v>1.6157910000000001E-2</v>
      </c>
      <c r="O155" s="1">
        <v>0.30953098000000001</v>
      </c>
    </row>
    <row r="156" spans="1:15" x14ac:dyDescent="0.25">
      <c r="A156" t="s">
        <v>1</v>
      </c>
      <c r="B156" t="s">
        <v>337</v>
      </c>
      <c r="C156" t="s">
        <v>338</v>
      </c>
      <c r="D156">
        <v>1</v>
      </c>
      <c r="E156" t="s">
        <v>66</v>
      </c>
      <c r="F156">
        <v>2026</v>
      </c>
      <c r="G156" t="s">
        <v>2</v>
      </c>
      <c r="H156" s="2">
        <v>36000.198974400002</v>
      </c>
      <c r="I156" s="2">
        <v>24602.085703919998</v>
      </c>
      <c r="J156" s="2">
        <v>4130.1089404799995</v>
      </c>
      <c r="K156" s="2">
        <v>15490.261779599999</v>
      </c>
      <c r="L156" s="1">
        <v>0.44875352000000002</v>
      </c>
      <c r="M156" s="1">
        <v>0.30667253999999999</v>
      </c>
      <c r="N156" s="1">
        <v>5.1483069999999999E-2</v>
      </c>
      <c r="O156" s="1">
        <v>0.19309086</v>
      </c>
    </row>
    <row r="157" spans="1:15" x14ac:dyDescent="0.25">
      <c r="A157" t="s">
        <v>1</v>
      </c>
      <c r="B157" t="s">
        <v>337</v>
      </c>
      <c r="C157" t="s">
        <v>338</v>
      </c>
      <c r="D157">
        <v>1</v>
      </c>
      <c r="E157" t="s">
        <v>66</v>
      </c>
      <c r="F157">
        <v>2027</v>
      </c>
      <c r="G157" t="s">
        <v>2</v>
      </c>
      <c r="H157" s="2">
        <v>36000.198974400002</v>
      </c>
      <c r="I157" s="2">
        <v>27976.31741688</v>
      </c>
      <c r="J157" s="2">
        <v>4827.3287210400003</v>
      </c>
      <c r="K157" s="2">
        <v>9560.0769923999997</v>
      </c>
      <c r="L157" s="1">
        <v>0.45939762000000001</v>
      </c>
      <c r="M157" s="1">
        <v>0.35700506999999998</v>
      </c>
      <c r="N157" s="1">
        <v>6.1601419999999997E-2</v>
      </c>
      <c r="O157" s="1">
        <v>0.1219959</v>
      </c>
    </row>
    <row r="158" spans="1:15" x14ac:dyDescent="0.25">
      <c r="A158" t="s">
        <v>1</v>
      </c>
      <c r="B158" t="s">
        <v>337</v>
      </c>
      <c r="C158" t="s">
        <v>338</v>
      </c>
      <c r="D158">
        <v>1</v>
      </c>
      <c r="E158" t="s">
        <v>66</v>
      </c>
      <c r="F158">
        <v>2028</v>
      </c>
      <c r="G158" t="s">
        <v>2</v>
      </c>
      <c r="H158" s="2">
        <v>36104.846003040002</v>
      </c>
      <c r="I158" s="2">
        <v>29459.373116160001</v>
      </c>
      <c r="J158" s="2">
        <v>2313.1823191200001</v>
      </c>
      <c r="K158" s="2">
        <v>9586.2689841600004</v>
      </c>
      <c r="L158" s="1">
        <v>0.46608747</v>
      </c>
      <c r="M158" s="1">
        <v>0.38029921999999999</v>
      </c>
      <c r="N158" s="1">
        <v>2.9861510000000001E-2</v>
      </c>
      <c r="O158" s="1">
        <v>0.1237518</v>
      </c>
    </row>
    <row r="159" spans="1:15" x14ac:dyDescent="0.25">
      <c r="A159" t="s">
        <v>1</v>
      </c>
      <c r="B159" t="s">
        <v>337</v>
      </c>
      <c r="C159" t="s">
        <v>338</v>
      </c>
      <c r="D159">
        <v>1</v>
      </c>
      <c r="E159" t="s">
        <v>66</v>
      </c>
      <c r="F159">
        <v>2029</v>
      </c>
      <c r="G159" t="s">
        <v>2</v>
      </c>
      <c r="H159" s="2">
        <v>35211.480202079998</v>
      </c>
      <c r="I159" s="2">
        <v>27969.883050479999</v>
      </c>
      <c r="J159" s="2">
        <v>2176.1586612000001</v>
      </c>
      <c r="K159" s="2">
        <v>9560.0769923999997</v>
      </c>
      <c r="L159" s="1">
        <v>0.47000279</v>
      </c>
      <c r="M159" s="1">
        <v>0.37334195999999997</v>
      </c>
      <c r="N159" s="1">
        <v>2.9047360000000001E-2</v>
      </c>
      <c r="O159" s="1">
        <v>0.12760789</v>
      </c>
    </row>
    <row r="160" spans="1:15" x14ac:dyDescent="0.25">
      <c r="A160" t="s">
        <v>1</v>
      </c>
      <c r="B160" t="s">
        <v>337</v>
      </c>
      <c r="C160" t="s">
        <v>338</v>
      </c>
      <c r="D160">
        <v>1</v>
      </c>
      <c r="E160" t="s">
        <v>66</v>
      </c>
      <c r="F160">
        <v>2030</v>
      </c>
      <c r="G160" t="s">
        <v>2</v>
      </c>
      <c r="H160" s="2">
        <v>34982.715912239997</v>
      </c>
      <c r="I160" s="2">
        <v>23090.40361248</v>
      </c>
      <c r="J160" s="2">
        <v>5456.0914874399996</v>
      </c>
      <c r="K160" s="2">
        <v>9560.0769923999997</v>
      </c>
      <c r="L160" s="1">
        <v>0.47862986000000002</v>
      </c>
      <c r="M160" s="1">
        <v>0.31592049</v>
      </c>
      <c r="N160" s="1">
        <v>7.4649670000000001E-2</v>
      </c>
      <c r="O160" s="1">
        <v>0.13079996999999999</v>
      </c>
    </row>
    <row r="161" spans="1:15" x14ac:dyDescent="0.25">
      <c r="A161" t="s">
        <v>1</v>
      </c>
      <c r="B161" t="s">
        <v>337</v>
      </c>
      <c r="C161" t="s">
        <v>338</v>
      </c>
      <c r="D161">
        <v>1</v>
      </c>
      <c r="E161" t="s">
        <v>66</v>
      </c>
      <c r="F161">
        <v>2031</v>
      </c>
      <c r="G161" t="s">
        <v>2</v>
      </c>
      <c r="H161" s="2">
        <v>34908.907494719999</v>
      </c>
      <c r="I161" s="2">
        <v>21777.197677920001</v>
      </c>
      <c r="J161" s="2">
        <v>5035.7056259999999</v>
      </c>
      <c r="K161" s="2">
        <v>9560.0769923999997</v>
      </c>
      <c r="L161" s="1">
        <v>0.48973040000000001</v>
      </c>
      <c r="M161" s="1">
        <v>0.30550814999999998</v>
      </c>
      <c r="N161" s="1">
        <v>7.0644949999999998E-2</v>
      </c>
      <c r="O161" s="1">
        <v>0.1341165</v>
      </c>
    </row>
    <row r="162" spans="1:15" x14ac:dyDescent="0.25">
      <c r="A162" t="s">
        <v>1</v>
      </c>
      <c r="B162" t="s">
        <v>337</v>
      </c>
      <c r="C162" t="s">
        <v>338</v>
      </c>
      <c r="D162">
        <v>1</v>
      </c>
      <c r="E162" t="s">
        <v>66</v>
      </c>
      <c r="F162">
        <v>2032</v>
      </c>
      <c r="G162" t="s">
        <v>2</v>
      </c>
      <c r="H162" s="2">
        <v>36108.800805120001</v>
      </c>
      <c r="I162" s="2">
        <v>19155.467690400001</v>
      </c>
      <c r="J162" s="2">
        <v>5128.1808645600004</v>
      </c>
      <c r="K162" s="2">
        <v>9586.2689841600004</v>
      </c>
      <c r="L162" s="1">
        <v>0.51599689000000004</v>
      </c>
      <c r="M162" s="1">
        <v>0.27373276000000002</v>
      </c>
      <c r="N162" s="1">
        <v>7.3282009999999995E-2</v>
      </c>
      <c r="O162" s="1">
        <v>0.13698835000000001</v>
      </c>
    </row>
    <row r="163" spans="1:15" x14ac:dyDescent="0.25">
      <c r="A163" t="s">
        <v>1</v>
      </c>
      <c r="B163" t="s">
        <v>337</v>
      </c>
      <c r="C163" t="s">
        <v>338</v>
      </c>
      <c r="D163">
        <v>1</v>
      </c>
      <c r="E163" t="s">
        <v>66</v>
      </c>
      <c r="F163">
        <v>2033</v>
      </c>
      <c r="G163" t="s">
        <v>2</v>
      </c>
      <c r="H163" s="2">
        <v>34545.731132640001</v>
      </c>
      <c r="I163" s="2">
        <v>19024.022639520001</v>
      </c>
      <c r="J163" s="2">
        <v>4632.4967119200001</v>
      </c>
      <c r="K163" s="2">
        <v>9560.0769923999997</v>
      </c>
      <c r="L163" s="1">
        <v>0.50980733</v>
      </c>
      <c r="M163" s="1">
        <v>0.2807463</v>
      </c>
      <c r="N163" s="1">
        <v>6.8363900000000005E-2</v>
      </c>
      <c r="O163" s="1">
        <v>0.14108248000000001</v>
      </c>
    </row>
    <row r="164" spans="1:15" x14ac:dyDescent="0.25">
      <c r="A164" t="s">
        <v>1</v>
      </c>
      <c r="B164" t="s">
        <v>337</v>
      </c>
      <c r="C164" t="s">
        <v>338</v>
      </c>
      <c r="D164">
        <v>1</v>
      </c>
      <c r="E164" t="s">
        <v>66</v>
      </c>
      <c r="F164">
        <v>2034</v>
      </c>
      <c r="G164" t="s">
        <v>2</v>
      </c>
      <c r="H164" s="2">
        <v>34247.360423760001</v>
      </c>
      <c r="I164" s="2">
        <v>17628.168728879999</v>
      </c>
      <c r="J164" s="2">
        <v>4157.2626902399998</v>
      </c>
      <c r="K164" s="2">
        <v>9560.0769923999997</v>
      </c>
      <c r="L164" s="1">
        <v>0.52212018000000004</v>
      </c>
      <c r="M164" s="1">
        <v>0.26875130000000003</v>
      </c>
      <c r="N164" s="1">
        <v>6.33798E-2</v>
      </c>
      <c r="O164" s="1">
        <v>0.14574872</v>
      </c>
    </row>
    <row r="165" spans="1:15" x14ac:dyDescent="0.25">
      <c r="A165" t="s">
        <v>1</v>
      </c>
      <c r="B165" t="s">
        <v>337</v>
      </c>
      <c r="C165" t="s">
        <v>338</v>
      </c>
      <c r="D165">
        <v>1</v>
      </c>
      <c r="E165" t="s">
        <v>66</v>
      </c>
      <c r="F165">
        <v>2035</v>
      </c>
      <c r="G165" t="s">
        <v>2</v>
      </c>
      <c r="H165" s="2">
        <v>36000.198974400002</v>
      </c>
      <c r="I165" s="2">
        <v>11683.046052</v>
      </c>
      <c r="J165" s="2">
        <v>6644.2071458399996</v>
      </c>
      <c r="K165" s="2">
        <v>9560.0769923999997</v>
      </c>
      <c r="L165" s="1">
        <v>0.56349336999999999</v>
      </c>
      <c r="M165" s="1">
        <v>0.18286896</v>
      </c>
      <c r="N165" s="1">
        <v>0.10399849999999999</v>
      </c>
      <c r="O165" s="1">
        <v>0.14963916999999999</v>
      </c>
    </row>
    <row r="166" spans="1:15" x14ac:dyDescent="0.25">
      <c r="A166" t="s">
        <v>1</v>
      </c>
      <c r="B166" t="s">
        <v>337</v>
      </c>
      <c r="C166" t="s">
        <v>338</v>
      </c>
      <c r="D166">
        <v>1</v>
      </c>
      <c r="E166" t="s">
        <v>66</v>
      </c>
      <c r="F166">
        <v>2036</v>
      </c>
      <c r="G166" t="s">
        <v>2</v>
      </c>
      <c r="H166" s="2">
        <v>34002.24778392</v>
      </c>
      <c r="I166" s="2">
        <v>12804.316190400001</v>
      </c>
      <c r="J166" s="2">
        <v>6108.1815441600002</v>
      </c>
      <c r="K166" s="2">
        <v>9586.2689841600004</v>
      </c>
      <c r="L166" s="1">
        <v>0.54402713000000003</v>
      </c>
      <c r="M166" s="1">
        <v>0.20486573</v>
      </c>
      <c r="N166" s="1">
        <v>9.7729319999999995E-2</v>
      </c>
      <c r="O166" s="1">
        <v>0.15337781</v>
      </c>
    </row>
    <row r="167" spans="1:15" x14ac:dyDescent="0.25">
      <c r="A167" t="s">
        <v>1</v>
      </c>
      <c r="B167" t="s">
        <v>337</v>
      </c>
      <c r="C167" t="s">
        <v>338</v>
      </c>
      <c r="D167">
        <v>1</v>
      </c>
      <c r="E167" t="s">
        <v>66</v>
      </c>
      <c r="F167">
        <v>2037</v>
      </c>
      <c r="G167" t="s">
        <v>2</v>
      </c>
      <c r="H167" s="2">
        <v>33464.306180879998</v>
      </c>
      <c r="I167" s="2">
        <v>11737.93487976</v>
      </c>
      <c r="J167" s="2">
        <v>5647.4253626399995</v>
      </c>
      <c r="K167" s="2">
        <v>9560.0769923999997</v>
      </c>
      <c r="L167" s="1">
        <v>0.55395543999999997</v>
      </c>
      <c r="M167" s="1">
        <v>0.19430533</v>
      </c>
      <c r="N167" s="1">
        <v>9.348534E-2</v>
      </c>
      <c r="O167" s="1">
        <v>0.15825389000000001</v>
      </c>
    </row>
    <row r="168" spans="1:15" x14ac:dyDescent="0.25">
      <c r="A168" t="s">
        <v>1</v>
      </c>
      <c r="B168" t="s">
        <v>337</v>
      </c>
      <c r="C168" t="s">
        <v>338</v>
      </c>
      <c r="D168">
        <v>1</v>
      </c>
      <c r="E168" t="s">
        <v>66</v>
      </c>
      <c r="F168">
        <v>2038</v>
      </c>
      <c r="G168" t="s">
        <v>2</v>
      </c>
      <c r="H168" s="2">
        <v>33234.988819439997</v>
      </c>
      <c r="I168" s="2">
        <v>7975.4746684800002</v>
      </c>
      <c r="J168" s="2">
        <v>7952.8620722400001</v>
      </c>
      <c r="K168" s="2">
        <v>9560.0769923999997</v>
      </c>
      <c r="L168" s="1">
        <v>0.56595815999999999</v>
      </c>
      <c r="M168" s="1">
        <v>0.13581425</v>
      </c>
      <c r="N168" s="1">
        <v>0.13542918000000001</v>
      </c>
      <c r="O168" s="1">
        <v>0.16279842</v>
      </c>
    </row>
    <row r="169" spans="1:15" x14ac:dyDescent="0.25">
      <c r="A169" t="s">
        <v>1</v>
      </c>
      <c r="B169" t="s">
        <v>337</v>
      </c>
      <c r="C169" t="s">
        <v>338</v>
      </c>
      <c r="D169">
        <v>1</v>
      </c>
      <c r="E169" t="s">
        <v>66</v>
      </c>
      <c r="F169">
        <v>2039</v>
      </c>
      <c r="G169" t="s">
        <v>2</v>
      </c>
      <c r="H169" s="2">
        <v>35328.921934320002</v>
      </c>
      <c r="I169" s="2">
        <v>7202.4584476800001</v>
      </c>
      <c r="J169" s="2">
        <v>5014.4170979999999</v>
      </c>
      <c r="K169" s="2">
        <v>9560.0769923999997</v>
      </c>
      <c r="L169" s="1">
        <v>0.61865652999999998</v>
      </c>
      <c r="M169" s="1">
        <v>0.12612465</v>
      </c>
      <c r="N169" s="1">
        <v>8.7809129999999999E-2</v>
      </c>
      <c r="O169" s="1">
        <v>0.16740969</v>
      </c>
    </row>
    <row r="170" spans="1:15" x14ac:dyDescent="0.25">
      <c r="A170" t="s">
        <v>1</v>
      </c>
      <c r="B170" t="s">
        <v>337</v>
      </c>
      <c r="C170" t="s">
        <v>338</v>
      </c>
      <c r="D170">
        <v>1</v>
      </c>
      <c r="E170" t="s">
        <v>66</v>
      </c>
      <c r="F170">
        <v>2040</v>
      </c>
      <c r="G170" t="s">
        <v>2</v>
      </c>
      <c r="H170" s="2">
        <v>35213.2025928</v>
      </c>
      <c r="I170" s="2">
        <v>2220.85187808</v>
      </c>
      <c r="J170" s="2">
        <v>8746.3178088000004</v>
      </c>
      <c r="K170" s="2">
        <v>9586.2689841600004</v>
      </c>
      <c r="L170" s="1">
        <v>0.63143846999999997</v>
      </c>
      <c r="M170" s="1">
        <v>3.9824020000000002E-2</v>
      </c>
      <c r="N170" s="1">
        <v>0.15683780999999999</v>
      </c>
      <c r="O170" s="1">
        <v>0.17189969999999999</v>
      </c>
    </row>
    <row r="171" spans="1:15" x14ac:dyDescent="0.25">
      <c r="A171" t="s">
        <v>1</v>
      </c>
      <c r="B171" t="s">
        <v>337</v>
      </c>
      <c r="C171" t="s">
        <v>338</v>
      </c>
      <c r="D171">
        <v>1</v>
      </c>
      <c r="E171" t="s">
        <v>66</v>
      </c>
      <c r="F171">
        <v>2041</v>
      </c>
      <c r="G171" t="s">
        <v>2</v>
      </c>
      <c r="H171" s="2">
        <v>34508.234404559997</v>
      </c>
      <c r="I171" s="2">
        <v>3557.1911373600001</v>
      </c>
      <c r="J171" s="2">
        <v>6117.9796466400003</v>
      </c>
      <c r="K171" s="2">
        <v>9560.0769923999997</v>
      </c>
      <c r="L171" s="1">
        <v>0.64209152000000003</v>
      </c>
      <c r="M171" s="1">
        <v>6.6188330000000004E-2</v>
      </c>
      <c r="N171" s="1">
        <v>0.11383668</v>
      </c>
      <c r="O171" s="1">
        <v>0.17788346999999999</v>
      </c>
    </row>
    <row r="172" spans="1:15" x14ac:dyDescent="0.25">
      <c r="A172" t="s">
        <v>1</v>
      </c>
      <c r="B172" t="s">
        <v>337</v>
      </c>
      <c r="C172" t="s">
        <v>338</v>
      </c>
      <c r="D172">
        <v>1</v>
      </c>
      <c r="E172" t="s">
        <v>66</v>
      </c>
      <c r="F172">
        <v>2042</v>
      </c>
      <c r="G172" t="s">
        <v>2</v>
      </c>
      <c r="H172" s="2">
        <v>33152.940151919996</v>
      </c>
      <c r="I172" s="2">
        <v>2497.92696024</v>
      </c>
      <c r="J172" s="2">
        <v>6925.2374697599998</v>
      </c>
      <c r="K172" s="2">
        <v>9469.7731699199994</v>
      </c>
      <c r="L172" s="1">
        <v>0.63699454</v>
      </c>
      <c r="M172" s="1">
        <v>4.7994710000000003E-2</v>
      </c>
      <c r="N172" s="1">
        <v>0.13306024999999999</v>
      </c>
      <c r="O172" s="1">
        <v>0.18195048999999999</v>
      </c>
    </row>
    <row r="173" spans="1:15" x14ac:dyDescent="0.25">
      <c r="A173" t="s">
        <v>1</v>
      </c>
      <c r="B173" t="s">
        <v>337</v>
      </c>
      <c r="C173" t="s">
        <v>338</v>
      </c>
      <c r="D173">
        <v>1</v>
      </c>
      <c r="E173" t="s">
        <v>66</v>
      </c>
      <c r="F173">
        <v>2043</v>
      </c>
      <c r="G173" t="s">
        <v>2</v>
      </c>
      <c r="H173" s="2">
        <v>33118.71811704</v>
      </c>
      <c r="I173" s="2">
        <v>4372.8314176800004</v>
      </c>
      <c r="J173" s="2">
        <v>3447.0280442399999</v>
      </c>
      <c r="K173" s="2">
        <v>9452.6238208800005</v>
      </c>
      <c r="L173" s="1">
        <v>0.65723215999999995</v>
      </c>
      <c r="M173" s="1">
        <v>8.6777679999999996E-2</v>
      </c>
      <c r="N173" s="1">
        <v>6.8405359999999998E-2</v>
      </c>
      <c r="O173" s="1">
        <v>0.18758480999999999</v>
      </c>
    </row>
    <row r="174" spans="1:15" x14ac:dyDescent="0.25">
      <c r="A174" t="s">
        <v>1</v>
      </c>
      <c r="B174" t="s">
        <v>337</v>
      </c>
      <c r="C174" t="s">
        <v>338</v>
      </c>
      <c r="D174">
        <v>1</v>
      </c>
      <c r="E174" t="s">
        <v>66</v>
      </c>
      <c r="F174">
        <v>2044</v>
      </c>
      <c r="G174" t="s">
        <v>2</v>
      </c>
      <c r="H174" s="2">
        <v>32959.464254159997</v>
      </c>
      <c r="I174" s="3">
        <v>840.16432415999998</v>
      </c>
      <c r="J174" s="2">
        <v>5685.5539224000004</v>
      </c>
      <c r="K174" s="2">
        <v>9586.2689841600004</v>
      </c>
      <c r="L174" s="1">
        <v>0.67166271</v>
      </c>
      <c r="M174" s="1">
        <v>1.7121239999999999E-2</v>
      </c>
      <c r="N174" s="1">
        <v>0.11586276</v>
      </c>
      <c r="O174" s="1">
        <v>0.19535327999999999</v>
      </c>
    </row>
    <row r="175" spans="1:15" x14ac:dyDescent="0.25">
      <c r="A175" t="s">
        <v>1</v>
      </c>
      <c r="B175" t="s">
        <v>337</v>
      </c>
      <c r="C175" t="s">
        <v>338</v>
      </c>
      <c r="D175">
        <v>1</v>
      </c>
      <c r="E175" t="s">
        <v>66</v>
      </c>
      <c r="F175">
        <v>2045</v>
      </c>
      <c r="G175" t="s">
        <v>2</v>
      </c>
      <c r="H175" s="2">
        <v>32830.518783120002</v>
      </c>
      <c r="I175" s="3">
        <v>414.55035695999999</v>
      </c>
      <c r="J175" s="2">
        <v>5530.8943394400003</v>
      </c>
      <c r="K175" s="2">
        <v>9403.4541223199994</v>
      </c>
      <c r="L175" s="1">
        <v>0.68142208000000004</v>
      </c>
      <c r="M175" s="1">
        <v>8.6043000000000005E-3</v>
      </c>
      <c r="N175" s="1">
        <v>0.11479787</v>
      </c>
      <c r="O175" s="1">
        <v>0.19517575000000001</v>
      </c>
    </row>
    <row r="176" spans="1:15" x14ac:dyDescent="0.25">
      <c r="A176" t="s">
        <v>1</v>
      </c>
      <c r="B176" t="s">
        <v>337</v>
      </c>
      <c r="C176" t="s">
        <v>338</v>
      </c>
      <c r="D176">
        <v>1</v>
      </c>
      <c r="E176" t="s">
        <v>66</v>
      </c>
      <c r="F176">
        <v>2046</v>
      </c>
      <c r="G176" t="s">
        <v>2</v>
      </c>
      <c r="H176" s="2">
        <v>31667.88972336</v>
      </c>
      <c r="I176" s="2">
        <v>4264.7155502400001</v>
      </c>
      <c r="J176" s="3">
        <v>739.15726919999997</v>
      </c>
      <c r="K176" s="2">
        <v>9381.7089986400006</v>
      </c>
      <c r="L176" s="1">
        <v>0.68763306000000002</v>
      </c>
      <c r="M176" s="1">
        <v>9.2603560000000001E-2</v>
      </c>
      <c r="N176" s="1">
        <v>1.6049979999999998E-2</v>
      </c>
      <c r="O176" s="1">
        <v>0.20371338999999999</v>
      </c>
    </row>
    <row r="177" spans="1:15" x14ac:dyDescent="0.25">
      <c r="A177" t="s">
        <v>1</v>
      </c>
      <c r="B177" t="s">
        <v>337</v>
      </c>
      <c r="C177" t="s">
        <v>338</v>
      </c>
      <c r="D177">
        <v>1</v>
      </c>
      <c r="E177" t="s">
        <v>66</v>
      </c>
      <c r="F177">
        <v>2047</v>
      </c>
      <c r="G177" t="s">
        <v>2</v>
      </c>
      <c r="H177" s="2">
        <v>28527.904725119999</v>
      </c>
      <c r="I177" s="2">
        <v>4019.7991396799998</v>
      </c>
      <c r="J177" s="3">
        <v>83.567831760000004</v>
      </c>
      <c r="K177" s="2">
        <v>9359.2437225600006</v>
      </c>
      <c r="L177" s="1">
        <v>0.67938924999999994</v>
      </c>
      <c r="M177" s="1">
        <v>9.5731120000000003E-2</v>
      </c>
      <c r="N177" s="1">
        <v>1.9901599999999999E-3</v>
      </c>
      <c r="O177" s="1">
        <v>0.22288947000000001</v>
      </c>
    </row>
    <row r="178" spans="1:15" x14ac:dyDescent="0.25">
      <c r="A178" t="s">
        <v>1</v>
      </c>
      <c r="B178" t="s">
        <v>337</v>
      </c>
      <c r="C178" t="s">
        <v>338</v>
      </c>
      <c r="D178">
        <v>1</v>
      </c>
      <c r="E178" t="s">
        <v>66</v>
      </c>
      <c r="F178">
        <v>2048</v>
      </c>
      <c r="G178" t="s">
        <v>2</v>
      </c>
      <c r="H178" s="2">
        <v>32706.1736016</v>
      </c>
      <c r="I178" s="3">
        <v>338.53958136</v>
      </c>
      <c r="J178" s="2">
        <v>2972.6203279199999</v>
      </c>
      <c r="K178" s="2">
        <v>9361.1119447199999</v>
      </c>
      <c r="L178" s="1">
        <v>0.72074249000000001</v>
      </c>
      <c r="M178" s="1">
        <v>7.4603600000000001E-3</v>
      </c>
      <c r="N178" s="1">
        <v>6.5507319999999994E-2</v>
      </c>
      <c r="O178" s="1">
        <v>0.20628983000000001</v>
      </c>
    </row>
    <row r="179" spans="1:15" x14ac:dyDescent="0.25">
      <c r="A179" t="s">
        <v>1</v>
      </c>
      <c r="B179" t="s">
        <v>337</v>
      </c>
      <c r="C179" t="s">
        <v>338</v>
      </c>
      <c r="D179">
        <v>1</v>
      </c>
      <c r="E179" t="s">
        <v>66</v>
      </c>
      <c r="F179">
        <v>2049</v>
      </c>
      <c r="G179" t="s">
        <v>2</v>
      </c>
      <c r="H179" s="2">
        <v>29232.237055919999</v>
      </c>
      <c r="I179" s="2">
        <v>2106.2366690399999</v>
      </c>
      <c r="J179" s="3">
        <v>0</v>
      </c>
      <c r="K179" s="2">
        <v>9314.8506489600004</v>
      </c>
      <c r="L179" s="1">
        <v>0.71906141999999995</v>
      </c>
      <c r="M179" s="1">
        <v>5.18097E-2</v>
      </c>
      <c r="N179" s="1">
        <v>0</v>
      </c>
      <c r="O179" s="1">
        <v>0.22912888000000001</v>
      </c>
    </row>
    <row r="180" spans="1:15" x14ac:dyDescent="0.25">
      <c r="A180" t="s">
        <v>1</v>
      </c>
      <c r="B180" t="s">
        <v>337</v>
      </c>
      <c r="C180" t="s">
        <v>338</v>
      </c>
      <c r="D180">
        <v>1</v>
      </c>
      <c r="E180" t="s">
        <v>66</v>
      </c>
      <c r="F180">
        <v>2050</v>
      </c>
      <c r="G180" t="s">
        <v>2</v>
      </c>
      <c r="H180" s="2">
        <v>26427.167608560001</v>
      </c>
      <c r="I180" s="3">
        <v>133.13193072000001</v>
      </c>
      <c r="J180" s="3">
        <v>0</v>
      </c>
      <c r="K180" s="2">
        <v>9292.9290631200001</v>
      </c>
      <c r="L180" s="1">
        <v>0.73709311</v>
      </c>
      <c r="M180" s="1">
        <v>3.71325E-3</v>
      </c>
      <c r="N180" s="1">
        <v>0</v>
      </c>
      <c r="O180" s="1">
        <v>0.25919365</v>
      </c>
    </row>
    <row r="181" spans="1:15" x14ac:dyDescent="0.25">
      <c r="A181" t="s">
        <v>1</v>
      </c>
      <c r="B181" t="s">
        <v>337</v>
      </c>
      <c r="C181" t="s">
        <v>338</v>
      </c>
      <c r="D181">
        <v>1</v>
      </c>
      <c r="E181" t="s">
        <v>66</v>
      </c>
      <c r="F181">
        <v>2051</v>
      </c>
      <c r="G181" t="s">
        <v>2</v>
      </c>
      <c r="H181" s="2">
        <v>28924.969974240001</v>
      </c>
      <c r="I181" s="3">
        <v>0</v>
      </c>
      <c r="J181" s="3">
        <v>0</v>
      </c>
      <c r="K181" s="2">
        <v>8480.9773185600006</v>
      </c>
      <c r="L181" s="1">
        <v>0.77327195000000004</v>
      </c>
      <c r="M181" s="1">
        <v>0</v>
      </c>
      <c r="N181" s="1">
        <v>0</v>
      </c>
      <c r="O181" s="1">
        <v>0.22672804999999999</v>
      </c>
    </row>
    <row r="182" spans="1:15" x14ac:dyDescent="0.25">
      <c r="A182" t="s">
        <v>1</v>
      </c>
      <c r="B182" t="s">
        <v>337</v>
      </c>
      <c r="C182" t="s">
        <v>338</v>
      </c>
      <c r="D182">
        <v>1</v>
      </c>
      <c r="E182" t="s">
        <v>67</v>
      </c>
      <c r="F182">
        <v>2022</v>
      </c>
      <c r="G182" t="s">
        <v>2</v>
      </c>
      <c r="H182">
        <v>27665.057148479958</v>
      </c>
      <c r="I182">
        <v>18434.84535096</v>
      </c>
      <c r="J182">
        <v>6348.2626763999888</v>
      </c>
      <c r="K182">
        <v>31387.548731759813</v>
      </c>
      <c r="L182">
        <v>0.32999131108934399</v>
      </c>
      <c r="M182">
        <v>0.21989250752105599</v>
      </c>
      <c r="N182">
        <v>7.5722653037782695E-2</v>
      </c>
      <c r="O182">
        <v>0.37439352835181799</v>
      </c>
    </row>
    <row r="183" spans="1:15" x14ac:dyDescent="0.25">
      <c r="A183" t="s">
        <v>1</v>
      </c>
      <c r="B183" t="s">
        <v>337</v>
      </c>
      <c r="C183" t="s">
        <v>338</v>
      </c>
      <c r="D183">
        <v>1</v>
      </c>
      <c r="E183" t="s">
        <v>67</v>
      </c>
      <c r="F183">
        <v>2023</v>
      </c>
      <c r="G183" t="s">
        <v>2</v>
      </c>
      <c r="H183">
        <v>36000.198974399864</v>
      </c>
      <c r="I183">
        <v>11157.323185440013</v>
      </c>
      <c r="J183">
        <v>3173.3408740800005</v>
      </c>
      <c r="K183">
        <v>33252.478417679784</v>
      </c>
      <c r="L183">
        <v>0.43071021508809099</v>
      </c>
      <c r="M183">
        <v>0.13348740301200901</v>
      </c>
      <c r="N183">
        <v>3.7966188225647499E-2</v>
      </c>
      <c r="O183">
        <v>0.39783619367425199</v>
      </c>
    </row>
    <row r="184" spans="1:15" x14ac:dyDescent="0.25">
      <c r="A184" t="s">
        <v>1</v>
      </c>
      <c r="B184" t="s">
        <v>337</v>
      </c>
      <c r="C184" t="s">
        <v>338</v>
      </c>
      <c r="D184">
        <v>1</v>
      </c>
      <c r="E184" t="s">
        <v>67</v>
      </c>
      <c r="F184">
        <v>2024</v>
      </c>
      <c r="G184" t="s">
        <v>2</v>
      </c>
      <c r="H184">
        <v>35243.152446719883</v>
      </c>
      <c r="I184">
        <v>11982.498062640014</v>
      </c>
      <c r="J184">
        <v>4125.8257168800055</v>
      </c>
      <c r="K184">
        <v>27410.91989615979</v>
      </c>
      <c r="L184">
        <v>0.44746165913935299</v>
      </c>
      <c r="M184">
        <v>0.15213475786108299</v>
      </c>
      <c r="N184">
        <v>5.2383191979943303E-2</v>
      </c>
      <c r="O184">
        <v>0.34802039101962101</v>
      </c>
    </row>
    <row r="185" spans="1:15" x14ac:dyDescent="0.25">
      <c r="A185" t="s">
        <v>1</v>
      </c>
      <c r="B185" t="s">
        <v>337</v>
      </c>
      <c r="C185" t="s">
        <v>338</v>
      </c>
      <c r="D185">
        <v>1</v>
      </c>
      <c r="E185" t="s">
        <v>67</v>
      </c>
      <c r="F185">
        <v>2025</v>
      </c>
      <c r="G185" t="s">
        <v>2</v>
      </c>
      <c r="H185">
        <v>36000.198974399864</v>
      </c>
      <c r="I185">
        <v>14894.256617760018</v>
      </c>
      <c r="J185">
        <v>761.53015679999999</v>
      </c>
      <c r="K185">
        <v>25555.18991519991</v>
      </c>
      <c r="L185">
        <v>0.466256324485816</v>
      </c>
      <c r="M185">
        <v>0.192902860105959</v>
      </c>
      <c r="N185">
        <v>9.8629524838784507E-3</v>
      </c>
      <c r="O185">
        <v>0.330977862924346</v>
      </c>
    </row>
    <row r="186" spans="1:15" x14ac:dyDescent="0.25">
      <c r="A186" t="s">
        <v>1</v>
      </c>
      <c r="B186" t="s">
        <v>337</v>
      </c>
      <c r="C186" t="s">
        <v>338</v>
      </c>
      <c r="D186">
        <v>1</v>
      </c>
      <c r="E186" t="s">
        <v>67</v>
      </c>
      <c r="F186">
        <v>2026</v>
      </c>
      <c r="G186" t="s">
        <v>2</v>
      </c>
      <c r="H186">
        <v>36000.198974399864</v>
      </c>
      <c r="I186">
        <v>18622.269612239998</v>
      </c>
      <c r="J186">
        <v>2972.77555416</v>
      </c>
      <c r="K186">
        <v>15490.261779600101</v>
      </c>
      <c r="L186">
        <v>0.49257644892831398</v>
      </c>
      <c r="M186">
        <v>0.254801131602238</v>
      </c>
      <c r="N186">
        <v>4.0675309238438498E-2</v>
      </c>
      <c r="O186">
        <v>0.21194711023100901</v>
      </c>
    </row>
    <row r="187" spans="1:15" x14ac:dyDescent="0.25">
      <c r="A187" t="s">
        <v>1</v>
      </c>
      <c r="B187" t="s">
        <v>337</v>
      </c>
      <c r="C187" t="s">
        <v>338</v>
      </c>
      <c r="D187">
        <v>1</v>
      </c>
      <c r="E187" t="s">
        <v>67</v>
      </c>
      <c r="F187">
        <v>2027</v>
      </c>
      <c r="G187" t="s">
        <v>2</v>
      </c>
      <c r="H187">
        <v>34657.5201398399</v>
      </c>
      <c r="I187">
        <v>23941.163134799976</v>
      </c>
      <c r="J187">
        <v>1392.7593748800002</v>
      </c>
      <c r="K187">
        <v>9560.0769924000033</v>
      </c>
      <c r="L187">
        <v>0.49829996983920999</v>
      </c>
      <c r="M187">
        <v>0.34422199914622997</v>
      </c>
      <c r="N187">
        <v>2.0024859011715399E-2</v>
      </c>
      <c r="O187">
        <v>0.13745317200284399</v>
      </c>
    </row>
    <row r="188" spans="1:15" x14ac:dyDescent="0.25">
      <c r="A188" t="s">
        <v>1</v>
      </c>
      <c r="B188" t="s">
        <v>337</v>
      </c>
      <c r="C188" t="s">
        <v>338</v>
      </c>
      <c r="D188">
        <v>1</v>
      </c>
      <c r="E188" t="s">
        <v>67</v>
      </c>
      <c r="F188">
        <v>2028</v>
      </c>
      <c r="G188" t="s">
        <v>2</v>
      </c>
      <c r="H188">
        <v>34259.042880719899</v>
      </c>
      <c r="I188">
        <v>21700.369043999981</v>
      </c>
      <c r="J188">
        <v>1167.9651180000001</v>
      </c>
      <c r="K188">
        <v>9586.268984160004</v>
      </c>
      <c r="L188">
        <v>0.51352376793971699</v>
      </c>
      <c r="M188">
        <v>0.32527631656133099</v>
      </c>
      <c r="N188">
        <v>1.7507139656696501E-2</v>
      </c>
      <c r="O188">
        <v>0.14369277584225501</v>
      </c>
    </row>
    <row r="189" spans="1:15" x14ac:dyDescent="0.25">
      <c r="A189" t="s">
        <v>1</v>
      </c>
      <c r="B189" t="s">
        <v>337</v>
      </c>
      <c r="C189" t="s">
        <v>338</v>
      </c>
      <c r="D189">
        <v>1</v>
      </c>
      <c r="E189" t="s">
        <v>67</v>
      </c>
      <c r="F189">
        <v>2029</v>
      </c>
      <c r="G189" t="s">
        <v>2</v>
      </c>
      <c r="H189">
        <v>33933.333874319913</v>
      </c>
      <c r="I189">
        <v>18200.712034079999</v>
      </c>
      <c r="J189">
        <v>856.19206560000009</v>
      </c>
      <c r="K189">
        <v>9560.0769924000033</v>
      </c>
      <c r="L189">
        <v>0.54249661080919998</v>
      </c>
      <c r="M189">
        <v>0.29097714446133199</v>
      </c>
      <c r="N189">
        <v>1.3688053626267399E-2</v>
      </c>
      <c r="O189">
        <v>0.15283819110319999</v>
      </c>
    </row>
    <row r="190" spans="1:15" x14ac:dyDescent="0.25">
      <c r="A190" t="s">
        <v>1</v>
      </c>
      <c r="B190" t="s">
        <v>337</v>
      </c>
      <c r="C190" t="s">
        <v>338</v>
      </c>
      <c r="D190">
        <v>1</v>
      </c>
      <c r="E190" t="s">
        <v>67</v>
      </c>
      <c r="F190">
        <v>2030</v>
      </c>
      <c r="G190" t="s">
        <v>2</v>
      </c>
      <c r="H190">
        <v>33522.861964319913</v>
      </c>
      <c r="I190">
        <v>14026.903197840003</v>
      </c>
      <c r="J190">
        <v>2237.9513688000002</v>
      </c>
      <c r="K190">
        <v>9560.0769924000033</v>
      </c>
      <c r="L190">
        <v>0.56485439431079998</v>
      </c>
      <c r="M190">
        <v>0.236350879537229</v>
      </c>
      <c r="N190">
        <v>3.7709091373702402E-2</v>
      </c>
      <c r="O190">
        <v>0.16108563477826801</v>
      </c>
    </row>
    <row r="191" spans="1:15" x14ac:dyDescent="0.25">
      <c r="A191" t="s">
        <v>1</v>
      </c>
      <c r="B191" t="s">
        <v>337</v>
      </c>
      <c r="C191" t="s">
        <v>338</v>
      </c>
      <c r="D191">
        <v>1</v>
      </c>
      <c r="E191" t="s">
        <v>67</v>
      </c>
      <c r="F191">
        <v>2031</v>
      </c>
      <c r="G191" t="s">
        <v>2</v>
      </c>
      <c r="H191">
        <v>33213.550717919919</v>
      </c>
      <c r="I191">
        <v>11775.607399440003</v>
      </c>
      <c r="J191">
        <v>1669.6939908000002</v>
      </c>
      <c r="K191">
        <v>9506.9347872000017</v>
      </c>
      <c r="L191">
        <v>0.59134844455751401</v>
      </c>
      <c r="M191">
        <v>0.209658015143251</v>
      </c>
      <c r="N191">
        <v>2.9727955096769801E-2</v>
      </c>
      <c r="O191">
        <v>0.16926558520246399</v>
      </c>
    </row>
    <row r="192" spans="1:15" x14ac:dyDescent="0.25">
      <c r="A192" t="s">
        <v>1</v>
      </c>
      <c r="B192" t="s">
        <v>337</v>
      </c>
      <c r="C192" t="s">
        <v>338</v>
      </c>
      <c r="D192">
        <v>1</v>
      </c>
      <c r="E192" t="s">
        <v>67</v>
      </c>
      <c r="F192">
        <v>2032</v>
      </c>
      <c r="G192" t="s">
        <v>2</v>
      </c>
      <c r="H192">
        <v>34950.483998639895</v>
      </c>
      <c r="I192">
        <v>7597.0689148800002</v>
      </c>
      <c r="J192">
        <v>1269.6558201599998</v>
      </c>
      <c r="K192">
        <v>9586.268984160004</v>
      </c>
      <c r="L192">
        <v>0.654460823381253</v>
      </c>
      <c r="M192">
        <v>0.142257943481125</v>
      </c>
      <c r="N192">
        <v>2.37747778687428E-2</v>
      </c>
      <c r="O192">
        <v>0.17950645526887901</v>
      </c>
    </row>
    <row r="193" spans="1:15" x14ac:dyDescent="0.25">
      <c r="A193" t="s">
        <v>1</v>
      </c>
      <c r="B193" t="s">
        <v>337</v>
      </c>
      <c r="C193" t="s">
        <v>338</v>
      </c>
      <c r="D193">
        <v>1</v>
      </c>
      <c r="E193" t="s">
        <v>67</v>
      </c>
      <c r="F193">
        <v>2033</v>
      </c>
      <c r="G193" t="s">
        <v>2</v>
      </c>
      <c r="H193">
        <v>33122.53163807992</v>
      </c>
      <c r="I193">
        <v>6420.6967322400005</v>
      </c>
      <c r="J193">
        <v>1012.9571472000001</v>
      </c>
      <c r="K193">
        <v>9454.9257645599992</v>
      </c>
      <c r="L193">
        <v>0.66230345195205498</v>
      </c>
      <c r="M193">
        <v>0.128385404115998</v>
      </c>
      <c r="N193">
        <v>2.0254641843221E-2</v>
      </c>
      <c r="O193">
        <v>0.18905650208872499</v>
      </c>
    </row>
    <row r="194" spans="1:15" x14ac:dyDescent="0.25">
      <c r="A194" t="s">
        <v>1</v>
      </c>
      <c r="B194" t="s">
        <v>337</v>
      </c>
      <c r="C194" t="s">
        <v>338</v>
      </c>
      <c r="D194">
        <v>1</v>
      </c>
      <c r="E194" t="s">
        <v>67</v>
      </c>
      <c r="F194">
        <v>2034</v>
      </c>
      <c r="G194" t="s">
        <v>2</v>
      </c>
      <c r="H194">
        <v>31687.975126079928</v>
      </c>
      <c r="I194">
        <v>4946.1460747199999</v>
      </c>
      <c r="J194">
        <v>661.40048424000008</v>
      </c>
      <c r="K194">
        <v>9417.9235324799974</v>
      </c>
      <c r="L194">
        <v>0.67834806400011205</v>
      </c>
      <c r="M194">
        <v>0.105882707894663</v>
      </c>
      <c r="N194">
        <v>1.41586748988478E-2</v>
      </c>
      <c r="O194">
        <v>0.201610553206377</v>
      </c>
    </row>
    <row r="195" spans="1:15" x14ac:dyDescent="0.25">
      <c r="A195" t="s">
        <v>1</v>
      </c>
      <c r="B195" t="s">
        <v>337</v>
      </c>
      <c r="C195" t="s">
        <v>338</v>
      </c>
      <c r="D195">
        <v>1</v>
      </c>
      <c r="E195" t="s">
        <v>67</v>
      </c>
      <c r="F195">
        <v>2035</v>
      </c>
      <c r="G195" t="s">
        <v>2</v>
      </c>
      <c r="H195">
        <v>32465.559470879922</v>
      </c>
      <c r="I195">
        <v>3996.1422511199989</v>
      </c>
      <c r="J195">
        <v>472.4314125599999</v>
      </c>
      <c r="K195">
        <v>9378.2676935999971</v>
      </c>
      <c r="L195">
        <v>0.70101223193636397</v>
      </c>
      <c r="M195">
        <v>8.6286657129858294E-2</v>
      </c>
      <c r="N195">
        <v>1.02009700234055E-2</v>
      </c>
      <c r="O195">
        <v>0.202500140910372</v>
      </c>
    </row>
    <row r="196" spans="1:15" x14ac:dyDescent="0.25">
      <c r="A196" t="s">
        <v>1</v>
      </c>
      <c r="B196" t="s">
        <v>337</v>
      </c>
      <c r="C196" t="s">
        <v>338</v>
      </c>
      <c r="D196">
        <v>1</v>
      </c>
      <c r="E196" t="s">
        <v>67</v>
      </c>
      <c r="F196">
        <v>2036</v>
      </c>
      <c r="G196" t="s">
        <v>2</v>
      </c>
      <c r="H196">
        <v>30225.45919247995</v>
      </c>
      <c r="I196">
        <v>2429.3123620800002</v>
      </c>
      <c r="J196">
        <v>9.0437481599999998</v>
      </c>
      <c r="K196">
        <v>9346.5583235999966</v>
      </c>
      <c r="L196">
        <v>0.71947608610515601</v>
      </c>
      <c r="M196">
        <v>5.78264878976942E-2</v>
      </c>
      <c r="N196">
        <v>2.1527416633909701E-4</v>
      </c>
      <c r="O196">
        <v>0.22248215183081099</v>
      </c>
    </row>
    <row r="197" spans="1:15" x14ac:dyDescent="0.25">
      <c r="A197" t="s">
        <v>1</v>
      </c>
      <c r="B197" t="s">
        <v>337</v>
      </c>
      <c r="C197" t="s">
        <v>338</v>
      </c>
      <c r="D197">
        <v>1</v>
      </c>
      <c r="E197" t="s">
        <v>67</v>
      </c>
      <c r="F197">
        <v>2037</v>
      </c>
      <c r="G197" t="s">
        <v>2</v>
      </c>
      <c r="H197">
        <v>26654.951864879975</v>
      </c>
      <c r="I197">
        <v>2372.7635340000002</v>
      </c>
      <c r="J197">
        <v>51.651282480000006</v>
      </c>
      <c r="K197">
        <v>8672.7934811999785</v>
      </c>
      <c r="L197">
        <v>0.70605103787715295</v>
      </c>
      <c r="M197">
        <v>6.2851066635205302E-2</v>
      </c>
      <c r="N197">
        <v>1.36816760306141E-3</v>
      </c>
      <c r="O197">
        <v>0.22972972788457999</v>
      </c>
    </row>
    <row r="198" spans="1:15" x14ac:dyDescent="0.25">
      <c r="A198" t="s">
        <v>1</v>
      </c>
      <c r="B198" t="s">
        <v>337</v>
      </c>
      <c r="C198" t="s">
        <v>338</v>
      </c>
      <c r="D198">
        <v>1</v>
      </c>
      <c r="E198" t="s">
        <v>67</v>
      </c>
      <c r="F198">
        <v>2038</v>
      </c>
      <c r="G198" t="s">
        <v>2</v>
      </c>
      <c r="H198">
        <v>25820.174280239986</v>
      </c>
      <c r="I198">
        <v>0</v>
      </c>
      <c r="J198">
        <v>27.625523520000002</v>
      </c>
      <c r="K198">
        <v>8424.1402317599695</v>
      </c>
      <c r="L198">
        <v>0.75339109059713505</v>
      </c>
      <c r="M198">
        <v>0</v>
      </c>
      <c r="N198">
        <v>8.0606827309363002E-4</v>
      </c>
      <c r="O198">
        <v>0.24580284112977199</v>
      </c>
    </row>
    <row r="199" spans="1:15" x14ac:dyDescent="0.25">
      <c r="A199" t="s">
        <v>1</v>
      </c>
      <c r="B199" t="s">
        <v>337</v>
      </c>
      <c r="C199" t="s">
        <v>338</v>
      </c>
      <c r="D199">
        <v>1</v>
      </c>
      <c r="E199" t="s">
        <v>67</v>
      </c>
      <c r="F199">
        <v>2039</v>
      </c>
      <c r="G199" t="s">
        <v>2</v>
      </c>
      <c r="H199">
        <v>22618.426883520016</v>
      </c>
      <c r="I199">
        <v>387.69153287999995</v>
      </c>
      <c r="J199">
        <v>0</v>
      </c>
      <c r="K199">
        <v>8289.1554736799662</v>
      </c>
      <c r="L199">
        <v>0.72274257649777696</v>
      </c>
      <c r="M199">
        <v>1.23881814948068E-2</v>
      </c>
      <c r="N199">
        <v>0</v>
      </c>
      <c r="O199">
        <v>0.26486924200741602</v>
      </c>
    </row>
    <row r="200" spans="1:15" x14ac:dyDescent="0.25">
      <c r="A200" t="s">
        <v>1</v>
      </c>
      <c r="B200" t="s">
        <v>337</v>
      </c>
      <c r="C200" t="s">
        <v>338</v>
      </c>
      <c r="D200">
        <v>1</v>
      </c>
      <c r="E200" t="s">
        <v>67</v>
      </c>
      <c r="F200">
        <v>2040</v>
      </c>
      <c r="G200" t="s">
        <v>2</v>
      </c>
      <c r="H200">
        <v>21460.697826240023</v>
      </c>
      <c r="I200">
        <v>0</v>
      </c>
      <c r="J200">
        <v>0</v>
      </c>
      <c r="K200">
        <v>6984.740511359958</v>
      </c>
      <c r="L200">
        <v>0.75445129625134599</v>
      </c>
      <c r="M200">
        <v>0</v>
      </c>
      <c r="N200">
        <v>0</v>
      </c>
      <c r="O200">
        <v>0.24554870374865501</v>
      </c>
    </row>
    <row r="201" spans="1:15" x14ac:dyDescent="0.25">
      <c r="A201" t="s">
        <v>1</v>
      </c>
      <c r="B201" t="s">
        <v>337</v>
      </c>
      <c r="C201" t="s">
        <v>338</v>
      </c>
      <c r="D201">
        <v>1</v>
      </c>
      <c r="E201" t="s">
        <v>67</v>
      </c>
      <c r="F201">
        <v>2041</v>
      </c>
      <c r="G201" t="s">
        <v>2</v>
      </c>
      <c r="H201">
        <v>18626.556136560052</v>
      </c>
      <c r="I201">
        <v>0</v>
      </c>
      <c r="J201">
        <v>0</v>
      </c>
      <c r="K201">
        <v>6890.5860959999718</v>
      </c>
      <c r="L201">
        <v>0.72996246863382896</v>
      </c>
      <c r="M201">
        <v>0</v>
      </c>
      <c r="N201">
        <v>0</v>
      </c>
      <c r="O201">
        <v>0.27003753136617098</v>
      </c>
    </row>
    <row r="202" spans="1:15" x14ac:dyDescent="0.25">
      <c r="A202" t="s">
        <v>1</v>
      </c>
      <c r="B202" t="s">
        <v>337</v>
      </c>
      <c r="C202" t="s">
        <v>338</v>
      </c>
      <c r="D202">
        <v>1</v>
      </c>
      <c r="E202" t="s">
        <v>67</v>
      </c>
      <c r="F202">
        <v>2042</v>
      </c>
      <c r="G202" t="s">
        <v>2</v>
      </c>
      <c r="H202">
        <v>15426.251031360054</v>
      </c>
      <c r="I202">
        <v>0</v>
      </c>
      <c r="J202">
        <v>0</v>
      </c>
      <c r="K202">
        <v>6493.2807079199747</v>
      </c>
      <c r="L202">
        <v>0.70376736213374702</v>
      </c>
      <c r="M202">
        <v>0</v>
      </c>
      <c r="N202">
        <v>0</v>
      </c>
      <c r="O202">
        <v>0.29623263786625298</v>
      </c>
    </row>
    <row r="203" spans="1:15" x14ac:dyDescent="0.25">
      <c r="A203" t="s">
        <v>1</v>
      </c>
      <c r="B203" t="s">
        <v>337</v>
      </c>
      <c r="C203" t="s">
        <v>338</v>
      </c>
      <c r="D203">
        <v>1</v>
      </c>
      <c r="E203" t="s">
        <v>67</v>
      </c>
      <c r="F203">
        <v>2043</v>
      </c>
      <c r="G203" t="s">
        <v>2</v>
      </c>
      <c r="H203">
        <v>13986.185053440042</v>
      </c>
      <c r="I203">
        <v>0</v>
      </c>
      <c r="J203">
        <v>0</v>
      </c>
      <c r="K203">
        <v>5453.098919999984</v>
      </c>
      <c r="L203">
        <v>0.71948046402066201</v>
      </c>
      <c r="M203">
        <v>0</v>
      </c>
      <c r="N203">
        <v>0</v>
      </c>
      <c r="O203">
        <v>0.28051953597933799</v>
      </c>
    </row>
    <row r="204" spans="1:15" x14ac:dyDescent="0.25">
      <c r="A204" t="s">
        <v>1</v>
      </c>
      <c r="B204" t="s">
        <v>337</v>
      </c>
      <c r="C204" t="s">
        <v>338</v>
      </c>
      <c r="D204">
        <v>1</v>
      </c>
      <c r="E204" t="s">
        <v>67</v>
      </c>
      <c r="F204">
        <v>2044</v>
      </c>
      <c r="G204" t="s">
        <v>2</v>
      </c>
      <c r="H204">
        <v>11688.880129920024</v>
      </c>
      <c r="I204">
        <v>0</v>
      </c>
      <c r="J204">
        <v>0</v>
      </c>
      <c r="K204">
        <v>5605.1180649599801</v>
      </c>
      <c r="L204">
        <v>0.67589229501484405</v>
      </c>
      <c r="M204">
        <v>0</v>
      </c>
      <c r="N204">
        <v>0</v>
      </c>
      <c r="O204">
        <v>0.32410770498515501</v>
      </c>
    </row>
    <row r="205" spans="1:15" x14ac:dyDescent="0.25">
      <c r="A205" t="s">
        <v>1</v>
      </c>
      <c r="B205" t="s">
        <v>337</v>
      </c>
      <c r="C205" t="s">
        <v>338</v>
      </c>
      <c r="D205">
        <v>1</v>
      </c>
      <c r="E205" t="s">
        <v>67</v>
      </c>
      <c r="F205">
        <v>2045</v>
      </c>
      <c r="G205" t="s">
        <v>2</v>
      </c>
      <c r="H205">
        <v>8519.4348532799995</v>
      </c>
      <c r="I205">
        <v>0</v>
      </c>
      <c r="J205">
        <v>0</v>
      </c>
      <c r="K205">
        <v>4265.3428091999913</v>
      </c>
      <c r="L205">
        <v>0.66637332914144698</v>
      </c>
      <c r="M205">
        <v>0</v>
      </c>
      <c r="N205">
        <v>0</v>
      </c>
      <c r="O205">
        <v>0.33362667085855302</v>
      </c>
    </row>
    <row r="206" spans="1:15" x14ac:dyDescent="0.25">
      <c r="A206" t="s">
        <v>1</v>
      </c>
      <c r="B206" t="s">
        <v>337</v>
      </c>
      <c r="C206" t="s">
        <v>338</v>
      </c>
      <c r="D206">
        <v>1</v>
      </c>
      <c r="E206" t="s">
        <v>67</v>
      </c>
      <c r="F206">
        <v>2046</v>
      </c>
      <c r="G206" t="s">
        <v>2</v>
      </c>
      <c r="H206">
        <v>8305.886843039998</v>
      </c>
      <c r="I206">
        <v>0</v>
      </c>
      <c r="J206">
        <v>0</v>
      </c>
      <c r="K206">
        <v>4231.2260138399915</v>
      </c>
      <c r="L206">
        <v>0.662503954288166</v>
      </c>
      <c r="M206">
        <v>0</v>
      </c>
      <c r="N206">
        <v>0</v>
      </c>
      <c r="O206">
        <v>0.337496045711834</v>
      </c>
    </row>
    <row r="207" spans="1:15" x14ac:dyDescent="0.25">
      <c r="A207" t="s">
        <v>1</v>
      </c>
      <c r="B207" t="s">
        <v>337</v>
      </c>
      <c r="C207" t="s">
        <v>338</v>
      </c>
      <c r="D207">
        <v>1</v>
      </c>
      <c r="E207" t="s">
        <v>67</v>
      </c>
      <c r="F207">
        <v>2047</v>
      </c>
      <c r="G207" t="s">
        <v>2</v>
      </c>
      <c r="H207">
        <v>5682.0458752799987</v>
      </c>
      <c r="I207">
        <v>0</v>
      </c>
      <c r="J207">
        <v>0</v>
      </c>
      <c r="K207">
        <v>3498.8354695199932</v>
      </c>
      <c r="L207">
        <v>0.618899826921114</v>
      </c>
      <c r="M207">
        <v>0</v>
      </c>
      <c r="N207">
        <v>0</v>
      </c>
      <c r="O207">
        <v>0.381100173078886</v>
      </c>
    </row>
    <row r="208" spans="1:15" x14ac:dyDescent="0.25">
      <c r="A208" t="s">
        <v>1</v>
      </c>
      <c r="B208" t="s">
        <v>337</v>
      </c>
      <c r="C208" t="s">
        <v>338</v>
      </c>
      <c r="D208">
        <v>1</v>
      </c>
      <c r="E208" t="s">
        <v>67</v>
      </c>
      <c r="F208">
        <v>2048</v>
      </c>
      <c r="G208" t="s">
        <v>2</v>
      </c>
      <c r="H208">
        <v>5428.4451628799961</v>
      </c>
      <c r="I208">
        <v>0</v>
      </c>
      <c r="J208">
        <v>0</v>
      </c>
      <c r="K208">
        <v>3180.0674503199953</v>
      </c>
      <c r="L208">
        <v>0.63059037104228799</v>
      </c>
      <c r="M208">
        <v>0</v>
      </c>
      <c r="N208">
        <v>0</v>
      </c>
      <c r="O208">
        <v>0.36940962895771201</v>
      </c>
    </row>
    <row r="209" spans="1:15" x14ac:dyDescent="0.25">
      <c r="A209" t="s">
        <v>1</v>
      </c>
      <c r="B209" t="s">
        <v>337</v>
      </c>
      <c r="C209" t="s">
        <v>338</v>
      </c>
      <c r="D209">
        <v>1</v>
      </c>
      <c r="E209" t="s">
        <v>67</v>
      </c>
      <c r="F209">
        <v>2049</v>
      </c>
      <c r="G209" t="s">
        <v>2</v>
      </c>
      <c r="H209">
        <v>5391.7893888000008</v>
      </c>
      <c r="I209">
        <v>0</v>
      </c>
      <c r="J209">
        <v>0</v>
      </c>
      <c r="K209">
        <v>2577.6716870400023</v>
      </c>
      <c r="L209">
        <v>0.67655633643102897</v>
      </c>
      <c r="M209">
        <v>0</v>
      </c>
      <c r="N209">
        <v>0</v>
      </c>
      <c r="O209">
        <v>0.32344366356897097</v>
      </c>
    </row>
    <row r="210" spans="1:15" x14ac:dyDescent="0.25">
      <c r="A210" t="s">
        <v>1</v>
      </c>
      <c r="B210" t="s">
        <v>337</v>
      </c>
      <c r="C210" t="s">
        <v>338</v>
      </c>
      <c r="D210">
        <v>1</v>
      </c>
      <c r="E210" t="s">
        <v>67</v>
      </c>
      <c r="F210">
        <v>2050</v>
      </c>
      <c r="G210" t="s">
        <v>2</v>
      </c>
      <c r="H210">
        <v>3228.8216376000005</v>
      </c>
      <c r="I210">
        <v>0</v>
      </c>
      <c r="J210">
        <v>0</v>
      </c>
      <c r="K210">
        <v>2810.6485211999993</v>
      </c>
      <c r="L210">
        <v>0.534620016773383</v>
      </c>
      <c r="M210">
        <v>0</v>
      </c>
      <c r="N210">
        <v>0</v>
      </c>
      <c r="O210">
        <v>0.465379983226617</v>
      </c>
    </row>
    <row r="211" spans="1:15" x14ac:dyDescent="0.25">
      <c r="A211" t="s">
        <v>1</v>
      </c>
      <c r="B211" t="s">
        <v>337</v>
      </c>
      <c r="C211" t="s">
        <v>338</v>
      </c>
      <c r="D211">
        <v>1</v>
      </c>
      <c r="E211" t="s">
        <v>67</v>
      </c>
      <c r="F211">
        <v>2051</v>
      </c>
      <c r="G211" t="s">
        <v>2</v>
      </c>
      <c r="H211">
        <v>3948.5188939199984</v>
      </c>
      <c r="I211">
        <v>0</v>
      </c>
      <c r="J211">
        <v>0</v>
      </c>
      <c r="K211">
        <v>3294.6382070399959</v>
      </c>
      <c r="L211">
        <v>0.54513782303529901</v>
      </c>
      <c r="M211">
        <v>0</v>
      </c>
      <c r="N211">
        <v>0</v>
      </c>
      <c r="O211">
        <v>0.45486217696470099</v>
      </c>
    </row>
    <row r="212" spans="1:15" x14ac:dyDescent="0.25">
      <c r="A212" t="s">
        <v>1</v>
      </c>
      <c r="B212" t="s">
        <v>337</v>
      </c>
      <c r="C212" t="s">
        <v>338</v>
      </c>
      <c r="D212">
        <v>1</v>
      </c>
      <c r="E212" t="s">
        <v>95</v>
      </c>
      <c r="F212">
        <v>2022</v>
      </c>
      <c r="G212" t="s">
        <v>2</v>
      </c>
      <c r="H212">
        <v>27665.057148479958</v>
      </c>
      <c r="I212">
        <v>18385.097673119995</v>
      </c>
      <c r="J212">
        <v>6333.7514539199883</v>
      </c>
      <c r="K212">
        <v>31314.912659759815</v>
      </c>
      <c r="L212">
        <v>0.33053103377566201</v>
      </c>
      <c r="M212">
        <v>0.219657790958034</v>
      </c>
      <c r="N212">
        <v>7.5673128181385399E-2</v>
      </c>
      <c r="O212">
        <v>0.37413804708491899</v>
      </c>
    </row>
    <row r="213" spans="1:15" x14ac:dyDescent="0.25">
      <c r="A213" t="s">
        <v>1</v>
      </c>
      <c r="B213" t="s">
        <v>337</v>
      </c>
      <c r="C213" t="s">
        <v>338</v>
      </c>
      <c r="D213">
        <v>1</v>
      </c>
      <c r="E213" t="s">
        <v>95</v>
      </c>
      <c r="F213">
        <v>2023</v>
      </c>
      <c r="G213" t="s">
        <v>2</v>
      </c>
      <c r="H213">
        <v>36000.198974399864</v>
      </c>
      <c r="I213">
        <v>12394.451720640016</v>
      </c>
      <c r="J213">
        <v>3412.4301261600008</v>
      </c>
      <c r="K213">
        <v>33252.478417679784</v>
      </c>
      <c r="L213">
        <v>0.42323519304041501</v>
      </c>
      <c r="M213">
        <v>0.145714977029586</v>
      </c>
      <c r="N213">
        <v>4.01181261306163E-2</v>
      </c>
      <c r="O213">
        <v>0.39093170379938302</v>
      </c>
    </row>
    <row r="214" spans="1:15" x14ac:dyDescent="0.25">
      <c r="A214" t="s">
        <v>1</v>
      </c>
      <c r="B214" t="s">
        <v>337</v>
      </c>
      <c r="C214" t="s">
        <v>338</v>
      </c>
      <c r="D214">
        <v>1</v>
      </c>
      <c r="E214" t="s">
        <v>95</v>
      </c>
      <c r="F214">
        <v>2024</v>
      </c>
      <c r="G214" t="s">
        <v>2</v>
      </c>
      <c r="H214">
        <v>35312.388781679882</v>
      </c>
      <c r="I214">
        <v>14629.484613840019</v>
      </c>
      <c r="J214">
        <v>4213.0227232800062</v>
      </c>
      <c r="K214">
        <v>27410.91989615979</v>
      </c>
      <c r="L214">
        <v>0.43293122666980199</v>
      </c>
      <c r="M214">
        <v>0.17935803659656699</v>
      </c>
      <c r="N214">
        <v>5.1651818483705397E-2</v>
      </c>
      <c r="O214">
        <v>0.33605891824992501</v>
      </c>
    </row>
    <row r="215" spans="1:15" x14ac:dyDescent="0.25">
      <c r="A215" t="s">
        <v>1</v>
      </c>
      <c r="B215" t="s">
        <v>337</v>
      </c>
      <c r="C215" t="s">
        <v>338</v>
      </c>
      <c r="D215">
        <v>1</v>
      </c>
      <c r="E215" t="s">
        <v>95</v>
      </c>
      <c r="F215">
        <v>2025</v>
      </c>
      <c r="G215" t="s">
        <v>2</v>
      </c>
      <c r="H215">
        <v>36000.198974399864</v>
      </c>
      <c r="I215">
        <v>21148.014318719968</v>
      </c>
      <c r="J215">
        <v>1428.9094687200002</v>
      </c>
      <c r="K215">
        <v>25555.18991519991</v>
      </c>
      <c r="L215">
        <v>0.427899790566729</v>
      </c>
      <c r="M215">
        <v>0.25136613562379101</v>
      </c>
      <c r="N215">
        <v>1.6984074528001901E-2</v>
      </c>
      <c r="O215">
        <v>0.303749999281478</v>
      </c>
    </row>
    <row r="216" spans="1:15" x14ac:dyDescent="0.25">
      <c r="A216" t="s">
        <v>1</v>
      </c>
      <c r="B216" t="s">
        <v>337</v>
      </c>
      <c r="C216" t="s">
        <v>338</v>
      </c>
      <c r="D216">
        <v>1</v>
      </c>
      <c r="E216" t="s">
        <v>95</v>
      </c>
      <c r="F216">
        <v>2026</v>
      </c>
      <c r="G216" t="s">
        <v>2</v>
      </c>
      <c r="H216">
        <v>36000.198974399864</v>
      </c>
      <c r="I216">
        <v>25832.392346879951</v>
      </c>
      <c r="J216">
        <v>4682.6111085599987</v>
      </c>
      <c r="K216">
        <v>15490.261779600101</v>
      </c>
      <c r="L216">
        <v>0.438997563411826</v>
      </c>
      <c r="M216">
        <v>0.31500818385595197</v>
      </c>
      <c r="N216">
        <v>5.7101208482897299E-2</v>
      </c>
      <c r="O216">
        <v>0.18889304424932399</v>
      </c>
    </row>
    <row r="217" spans="1:15" x14ac:dyDescent="0.25">
      <c r="A217" t="s">
        <v>1</v>
      </c>
      <c r="B217" t="s">
        <v>337</v>
      </c>
      <c r="C217" t="s">
        <v>338</v>
      </c>
      <c r="D217">
        <v>1</v>
      </c>
      <c r="E217" t="s">
        <v>95</v>
      </c>
      <c r="F217">
        <v>2027</v>
      </c>
      <c r="G217" t="s">
        <v>2</v>
      </c>
      <c r="H217">
        <v>36000.198974399864</v>
      </c>
      <c r="I217">
        <v>28368.264061679922</v>
      </c>
      <c r="J217">
        <v>8166.647149679995</v>
      </c>
      <c r="K217">
        <v>9560.0769924000033</v>
      </c>
      <c r="L217">
        <v>0.43851777688591698</v>
      </c>
      <c r="M217">
        <v>0.34555331483825202</v>
      </c>
      <c r="N217">
        <v>9.9477782198815798E-2</v>
      </c>
      <c r="O217">
        <v>0.11645112607701499</v>
      </c>
    </row>
    <row r="218" spans="1:15" x14ac:dyDescent="0.25">
      <c r="A218" t="s">
        <v>1</v>
      </c>
      <c r="B218" t="s">
        <v>337</v>
      </c>
      <c r="C218" t="s">
        <v>338</v>
      </c>
      <c r="D218">
        <v>1</v>
      </c>
      <c r="E218" t="s">
        <v>95</v>
      </c>
      <c r="F218">
        <v>2028</v>
      </c>
      <c r="G218" t="s">
        <v>2</v>
      </c>
      <c r="H218">
        <v>36108.800805119863</v>
      </c>
      <c r="I218">
        <v>32543.797208399883</v>
      </c>
      <c r="J218">
        <v>4129.0674971999997</v>
      </c>
      <c r="K218">
        <v>9586.268984160004</v>
      </c>
      <c r="L218">
        <v>0.43838419679401402</v>
      </c>
      <c r="M218">
        <v>0.39510274730056399</v>
      </c>
      <c r="N218">
        <v>5.0129550079426502E-2</v>
      </c>
      <c r="O218">
        <v>0.11638350582599501</v>
      </c>
    </row>
    <row r="219" spans="1:15" x14ac:dyDescent="0.25">
      <c r="A219" t="s">
        <v>1</v>
      </c>
      <c r="B219" t="s">
        <v>337</v>
      </c>
      <c r="C219" t="s">
        <v>338</v>
      </c>
      <c r="D219">
        <v>1</v>
      </c>
      <c r="E219" t="s">
        <v>95</v>
      </c>
      <c r="F219">
        <v>2029</v>
      </c>
      <c r="G219" t="s">
        <v>2</v>
      </c>
      <c r="H219">
        <v>35044.979257439889</v>
      </c>
      <c r="I219">
        <v>32350.912853279886</v>
      </c>
      <c r="J219">
        <v>4139.3850458400002</v>
      </c>
      <c r="K219">
        <v>9560.0769924000033</v>
      </c>
      <c r="L219">
        <v>0.43214533835153601</v>
      </c>
      <c r="M219">
        <v>0.39892436740403397</v>
      </c>
      <c r="N219">
        <v>5.1043430160457599E-2</v>
      </c>
      <c r="O219">
        <v>0.117886864083972</v>
      </c>
    </row>
    <row r="220" spans="1:15" x14ac:dyDescent="0.25">
      <c r="A220" t="s">
        <v>1</v>
      </c>
      <c r="B220" t="s">
        <v>337</v>
      </c>
      <c r="C220" t="s">
        <v>338</v>
      </c>
      <c r="D220">
        <v>1</v>
      </c>
      <c r="E220" t="s">
        <v>95</v>
      </c>
      <c r="F220">
        <v>2030</v>
      </c>
      <c r="G220" t="s">
        <v>2</v>
      </c>
      <c r="H220">
        <v>34937.189255759891</v>
      </c>
      <c r="I220">
        <v>26717.658960239951</v>
      </c>
      <c r="J220">
        <v>9242.0019395999916</v>
      </c>
      <c r="K220">
        <v>9560.0769924000033</v>
      </c>
      <c r="L220">
        <v>0.43423469543515197</v>
      </c>
      <c r="M220">
        <v>0.33207406630249597</v>
      </c>
      <c r="N220">
        <v>0.114868940030476</v>
      </c>
      <c r="O220">
        <v>0.118822298231877</v>
      </c>
    </row>
    <row r="221" spans="1:15" x14ac:dyDescent="0.25">
      <c r="A221" t="s">
        <v>1</v>
      </c>
      <c r="B221" t="s">
        <v>337</v>
      </c>
      <c r="C221" t="s">
        <v>338</v>
      </c>
      <c r="D221">
        <v>1</v>
      </c>
      <c r="E221" t="s">
        <v>95</v>
      </c>
      <c r="F221">
        <v>2031</v>
      </c>
      <c r="G221" t="s">
        <v>2</v>
      </c>
      <c r="H221">
        <v>35516.257697999878</v>
      </c>
      <c r="I221">
        <v>26127.883883039947</v>
      </c>
      <c r="J221">
        <v>8536.766520479996</v>
      </c>
      <c r="K221">
        <v>9560.0769924000033</v>
      </c>
      <c r="L221">
        <v>0.44539527140489199</v>
      </c>
      <c r="M221">
        <v>0.32765940691936801</v>
      </c>
      <c r="N221">
        <v>0.10705619588753899</v>
      </c>
      <c r="O221">
        <v>0.119889125788201</v>
      </c>
    </row>
    <row r="222" spans="1:15" x14ac:dyDescent="0.25">
      <c r="A222" t="s">
        <v>1</v>
      </c>
      <c r="B222" t="s">
        <v>337</v>
      </c>
      <c r="C222" t="s">
        <v>338</v>
      </c>
      <c r="D222">
        <v>1</v>
      </c>
      <c r="E222" t="s">
        <v>95</v>
      </c>
      <c r="F222">
        <v>2032</v>
      </c>
      <c r="G222" t="s">
        <v>2</v>
      </c>
      <c r="H222">
        <v>36108.800805119863</v>
      </c>
      <c r="I222">
        <v>23425.892666639968</v>
      </c>
      <c r="J222">
        <v>10434.567323519988</v>
      </c>
      <c r="K222">
        <v>9586.268984160004</v>
      </c>
      <c r="L222">
        <v>0.45388172142437</v>
      </c>
      <c r="M222">
        <v>0.29445964009775399</v>
      </c>
      <c r="N222">
        <v>0.13116080494277199</v>
      </c>
      <c r="O222">
        <v>0.120497833535105</v>
      </c>
    </row>
    <row r="223" spans="1:15" x14ac:dyDescent="0.25">
      <c r="A223" t="s">
        <v>1</v>
      </c>
      <c r="B223" t="s">
        <v>337</v>
      </c>
      <c r="C223" t="s">
        <v>338</v>
      </c>
      <c r="D223">
        <v>1</v>
      </c>
      <c r="E223" t="s">
        <v>95</v>
      </c>
      <c r="F223">
        <v>2033</v>
      </c>
      <c r="G223" t="s">
        <v>2</v>
      </c>
      <c r="H223">
        <v>35370.505741919878</v>
      </c>
      <c r="I223">
        <v>23143.502501039966</v>
      </c>
      <c r="J223">
        <v>10244.995552799986</v>
      </c>
      <c r="K223">
        <v>9560.0769924000033</v>
      </c>
      <c r="L223">
        <v>0.45162054235022597</v>
      </c>
      <c r="M223">
        <v>0.29550273404816002</v>
      </c>
      <c r="N223">
        <v>0.13081097798518601</v>
      </c>
      <c r="O223">
        <v>0.122065745616428</v>
      </c>
    </row>
    <row r="224" spans="1:15" x14ac:dyDescent="0.25">
      <c r="A224" t="s">
        <v>1</v>
      </c>
      <c r="B224" t="s">
        <v>337</v>
      </c>
      <c r="C224" t="s">
        <v>338</v>
      </c>
      <c r="D224">
        <v>1</v>
      </c>
      <c r="E224" t="s">
        <v>95</v>
      </c>
      <c r="F224">
        <v>2034</v>
      </c>
      <c r="G224" t="s">
        <v>2</v>
      </c>
      <c r="H224">
        <v>35176.279323359886</v>
      </c>
      <c r="I224">
        <v>22746.346696799974</v>
      </c>
      <c r="J224">
        <v>10081.084796879984</v>
      </c>
      <c r="K224">
        <v>9560.0769924000033</v>
      </c>
      <c r="L224">
        <v>0.45351420188221903</v>
      </c>
      <c r="M224">
        <v>0.293259874732828</v>
      </c>
      <c r="N224">
        <v>0.129971538028124</v>
      </c>
      <c r="O224">
        <v>0.123254385356829</v>
      </c>
    </row>
    <row r="225" spans="1:15" x14ac:dyDescent="0.25">
      <c r="A225" t="s">
        <v>1</v>
      </c>
      <c r="B225" t="s">
        <v>337</v>
      </c>
      <c r="C225" t="s">
        <v>338</v>
      </c>
      <c r="D225">
        <v>1</v>
      </c>
      <c r="E225" t="s">
        <v>95</v>
      </c>
      <c r="F225">
        <v>2035</v>
      </c>
      <c r="G225" t="s">
        <v>2</v>
      </c>
      <c r="H225">
        <v>36000.198974399864</v>
      </c>
      <c r="I225">
        <v>20065.517741999982</v>
      </c>
      <c r="J225">
        <v>11314.587734879973</v>
      </c>
      <c r="K225">
        <v>9560.0769924000033</v>
      </c>
      <c r="L225">
        <v>0.46789732906057802</v>
      </c>
      <c r="M225">
        <v>0.26079306295989602</v>
      </c>
      <c r="N225">
        <v>0.14705655889114899</v>
      </c>
      <c r="O225">
        <v>0.124253049088377</v>
      </c>
    </row>
    <row r="226" spans="1:15" x14ac:dyDescent="0.25">
      <c r="A226" t="s">
        <v>1</v>
      </c>
      <c r="B226" t="s">
        <v>337</v>
      </c>
      <c r="C226" t="s">
        <v>338</v>
      </c>
      <c r="D226">
        <v>1</v>
      </c>
      <c r="E226" t="s">
        <v>95</v>
      </c>
      <c r="F226">
        <v>2036</v>
      </c>
      <c r="G226" t="s">
        <v>2</v>
      </c>
      <c r="H226">
        <v>34978.521292799895</v>
      </c>
      <c r="I226">
        <v>20981.420525999991</v>
      </c>
      <c r="J226">
        <v>11199.322847999982</v>
      </c>
      <c r="K226">
        <v>9586.268984160004</v>
      </c>
      <c r="L226">
        <v>0.45577272876729003</v>
      </c>
      <c r="M226">
        <v>0.27338946682453102</v>
      </c>
      <c r="N226">
        <v>0.145928007992422</v>
      </c>
      <c r="O226">
        <v>0.124909796415757</v>
      </c>
    </row>
    <row r="227" spans="1:15" x14ac:dyDescent="0.25">
      <c r="A227" t="s">
        <v>1</v>
      </c>
      <c r="B227" t="s">
        <v>337</v>
      </c>
      <c r="C227" t="s">
        <v>338</v>
      </c>
      <c r="D227">
        <v>1</v>
      </c>
      <c r="E227" t="s">
        <v>95</v>
      </c>
      <c r="F227">
        <v>2037</v>
      </c>
      <c r="G227" t="s">
        <v>2</v>
      </c>
      <c r="H227">
        <v>34643.8431904799</v>
      </c>
      <c r="I227">
        <v>20274.006609119999</v>
      </c>
      <c r="J227">
        <v>11047.516189439977</v>
      </c>
      <c r="K227">
        <v>9560.0769924000033</v>
      </c>
      <c r="L227">
        <v>0.45870427001657599</v>
      </c>
      <c r="M227">
        <v>0.268439426619481</v>
      </c>
      <c r="N227">
        <v>0.14627542392773299</v>
      </c>
      <c r="O227">
        <v>0.12658087943620999</v>
      </c>
    </row>
    <row r="228" spans="1:15" x14ac:dyDescent="0.25">
      <c r="A228" t="s">
        <v>1</v>
      </c>
      <c r="B228" t="s">
        <v>337</v>
      </c>
      <c r="C228" t="s">
        <v>338</v>
      </c>
      <c r="D228">
        <v>1</v>
      </c>
      <c r="E228" t="s">
        <v>95</v>
      </c>
      <c r="F228">
        <v>2038</v>
      </c>
      <c r="G228" t="s">
        <v>2</v>
      </c>
      <c r="H228">
        <v>33977.341392239912</v>
      </c>
      <c r="I228">
        <v>19126.370917439992</v>
      </c>
      <c r="J228">
        <v>12113.078565839967</v>
      </c>
      <c r="K228">
        <v>9560.0769924000033</v>
      </c>
      <c r="L228">
        <v>0.45438305135024998</v>
      </c>
      <c r="M228">
        <v>0.25577924648065398</v>
      </c>
      <c r="N228">
        <v>0.16198964882075001</v>
      </c>
      <c r="O228">
        <v>0.12784805334834601</v>
      </c>
    </row>
    <row r="229" spans="1:15" x14ac:dyDescent="0.25">
      <c r="A229" t="s">
        <v>1</v>
      </c>
      <c r="B229" t="s">
        <v>337</v>
      </c>
      <c r="C229" t="s">
        <v>338</v>
      </c>
      <c r="D229">
        <v>1</v>
      </c>
      <c r="E229" t="s">
        <v>95</v>
      </c>
      <c r="F229">
        <v>2039</v>
      </c>
      <c r="G229" t="s">
        <v>2</v>
      </c>
      <c r="H229">
        <v>36000.198974399864</v>
      </c>
      <c r="I229">
        <v>17729.362131360002</v>
      </c>
      <c r="J229">
        <v>10845.628237919978</v>
      </c>
      <c r="K229">
        <v>9560.0769924000033</v>
      </c>
      <c r="L229">
        <v>0.48560153289527502</v>
      </c>
      <c r="M229">
        <v>0.239148828993031</v>
      </c>
      <c r="N229">
        <v>0.14629512746002901</v>
      </c>
      <c r="O229">
        <v>0.12895451065166499</v>
      </c>
    </row>
    <row r="230" spans="1:15" x14ac:dyDescent="0.25">
      <c r="A230" t="s">
        <v>1</v>
      </c>
      <c r="B230" t="s">
        <v>337</v>
      </c>
      <c r="C230" t="s">
        <v>338</v>
      </c>
      <c r="D230">
        <v>1</v>
      </c>
      <c r="E230" t="s">
        <v>95</v>
      </c>
      <c r="F230">
        <v>2040</v>
      </c>
      <c r="G230" t="s">
        <v>2</v>
      </c>
      <c r="H230">
        <v>36108.800805119863</v>
      </c>
      <c r="I230">
        <v>12884.735026080016</v>
      </c>
      <c r="J230">
        <v>15293.347902719954</v>
      </c>
      <c r="K230">
        <v>9586.268984160004</v>
      </c>
      <c r="L230">
        <v>0.488794636163979</v>
      </c>
      <c r="M230">
        <v>0.17441701825359601</v>
      </c>
      <c r="N230">
        <v>0.20702173035830199</v>
      </c>
      <c r="O230">
        <v>0.129766615224124</v>
      </c>
    </row>
    <row r="231" spans="1:15" x14ac:dyDescent="0.25">
      <c r="A231" t="s">
        <v>1</v>
      </c>
      <c r="B231" t="s">
        <v>337</v>
      </c>
      <c r="C231" t="s">
        <v>338</v>
      </c>
      <c r="D231">
        <v>1</v>
      </c>
      <c r="E231" t="s">
        <v>95</v>
      </c>
      <c r="F231">
        <v>2041</v>
      </c>
      <c r="G231" t="s">
        <v>2</v>
      </c>
      <c r="H231">
        <v>36000.198974399864</v>
      </c>
      <c r="I231">
        <v>15044.586690240014</v>
      </c>
      <c r="J231">
        <v>12216.132797519973</v>
      </c>
      <c r="K231">
        <v>9560.0769924000033</v>
      </c>
      <c r="L231">
        <v>0.494365653060372</v>
      </c>
      <c r="M231">
        <v>0.206596828240666</v>
      </c>
      <c r="N231">
        <v>0.16775564136778101</v>
      </c>
      <c r="O231">
        <v>0.13128187733118099</v>
      </c>
    </row>
    <row r="232" spans="1:15" x14ac:dyDescent="0.25">
      <c r="A232" t="s">
        <v>1</v>
      </c>
      <c r="B232" t="s">
        <v>337</v>
      </c>
      <c r="C232" t="s">
        <v>338</v>
      </c>
      <c r="D232">
        <v>1</v>
      </c>
      <c r="E232" t="s">
        <v>95</v>
      </c>
      <c r="F232">
        <v>2042</v>
      </c>
      <c r="G232" t="s">
        <v>2</v>
      </c>
      <c r="H232">
        <v>33504.268230719914</v>
      </c>
      <c r="I232">
        <v>15682.022566080022</v>
      </c>
      <c r="J232">
        <v>13493.559350639965</v>
      </c>
      <c r="K232">
        <v>9560.0769924000033</v>
      </c>
      <c r="L232">
        <v>0.46379155623819202</v>
      </c>
      <c r="M232">
        <v>0.21708248038128899</v>
      </c>
      <c r="N232">
        <v>0.186788108527844</v>
      </c>
      <c r="O232">
        <v>0.13233785485267599</v>
      </c>
    </row>
    <row r="233" spans="1:15" x14ac:dyDescent="0.25">
      <c r="A233" t="s">
        <v>1</v>
      </c>
      <c r="B233" t="s">
        <v>337</v>
      </c>
      <c r="C233" t="s">
        <v>338</v>
      </c>
      <c r="D233">
        <v>1</v>
      </c>
      <c r="E233" t="s">
        <v>95</v>
      </c>
      <c r="F233">
        <v>2043</v>
      </c>
      <c r="G233" t="s">
        <v>2</v>
      </c>
      <c r="H233">
        <v>33425.797946159917</v>
      </c>
      <c r="I233">
        <v>15417.275291760017</v>
      </c>
      <c r="J233">
        <v>13388.575467119965</v>
      </c>
      <c r="K233">
        <v>9560.0769924000033</v>
      </c>
      <c r="L233">
        <v>0.465594016879189</v>
      </c>
      <c r="M233">
        <v>0.21475003061961201</v>
      </c>
      <c r="N233">
        <v>0.18649190191561901</v>
      </c>
      <c r="O233">
        <v>0.13316405058558001</v>
      </c>
    </row>
    <row r="234" spans="1:15" x14ac:dyDescent="0.25">
      <c r="A234" t="s">
        <v>1</v>
      </c>
      <c r="B234" t="s">
        <v>337</v>
      </c>
      <c r="C234" t="s">
        <v>338</v>
      </c>
      <c r="D234">
        <v>1</v>
      </c>
      <c r="E234" t="s">
        <v>95</v>
      </c>
      <c r="F234">
        <v>2044</v>
      </c>
      <c r="G234" t="s">
        <v>2</v>
      </c>
      <c r="H234">
        <v>36108.800805119863</v>
      </c>
      <c r="I234">
        <v>11427.382259040007</v>
      </c>
      <c r="J234">
        <v>14576.084037599974</v>
      </c>
      <c r="K234">
        <v>9586.268984160004</v>
      </c>
      <c r="L234">
        <v>0.50361977770158295</v>
      </c>
      <c r="M234">
        <v>0.15938097041961899</v>
      </c>
      <c r="N234">
        <v>0.20329681515579001</v>
      </c>
      <c r="O234">
        <v>0.13370243672300799</v>
      </c>
    </row>
    <row r="235" spans="1:15" x14ac:dyDescent="0.25">
      <c r="A235" t="s">
        <v>1</v>
      </c>
      <c r="B235" t="s">
        <v>337</v>
      </c>
      <c r="C235" t="s">
        <v>338</v>
      </c>
      <c r="D235">
        <v>1</v>
      </c>
      <c r="E235" t="s">
        <v>95</v>
      </c>
      <c r="F235">
        <v>2045</v>
      </c>
      <c r="G235" t="s">
        <v>2</v>
      </c>
      <c r="H235">
        <v>36000.198974399864</v>
      </c>
      <c r="I235">
        <v>13307.238981840012</v>
      </c>
      <c r="J235">
        <v>11795.717068319967</v>
      </c>
      <c r="K235">
        <v>9560.0769924000033</v>
      </c>
      <c r="L235">
        <v>0.50946153957067097</v>
      </c>
      <c r="M235">
        <v>0.18831913856765201</v>
      </c>
      <c r="N235">
        <v>0.16692863787335499</v>
      </c>
      <c r="O235">
        <v>0.135290683988322</v>
      </c>
    </row>
    <row r="236" spans="1:15" x14ac:dyDescent="0.25">
      <c r="A236" t="s">
        <v>1</v>
      </c>
      <c r="B236" t="s">
        <v>337</v>
      </c>
      <c r="C236" t="s">
        <v>338</v>
      </c>
      <c r="D236">
        <v>1</v>
      </c>
      <c r="E236" t="s">
        <v>95</v>
      </c>
      <c r="F236">
        <v>2046</v>
      </c>
      <c r="G236" t="s">
        <v>2</v>
      </c>
      <c r="H236">
        <v>33342.81763799992</v>
      </c>
      <c r="I236">
        <v>19327.299922079997</v>
      </c>
      <c r="J236">
        <v>7915.412300640005</v>
      </c>
      <c r="K236">
        <v>9540.4032588000009</v>
      </c>
      <c r="L236">
        <v>0.47547057350626198</v>
      </c>
      <c r="M236">
        <v>0.27560845271234102</v>
      </c>
      <c r="N236">
        <v>0.11287425276964599</v>
      </c>
      <c r="O236">
        <v>0.13604672101175</v>
      </c>
    </row>
    <row r="237" spans="1:15" x14ac:dyDescent="0.25">
      <c r="A237" t="s">
        <v>1</v>
      </c>
      <c r="B237" t="s">
        <v>337</v>
      </c>
      <c r="C237" t="s">
        <v>338</v>
      </c>
      <c r="D237">
        <v>1</v>
      </c>
      <c r="E237" t="s">
        <v>95</v>
      </c>
      <c r="F237">
        <v>2047</v>
      </c>
      <c r="G237" t="s">
        <v>2</v>
      </c>
      <c r="H237">
        <v>36000.198974399864</v>
      </c>
      <c r="I237">
        <v>13026.497553360019</v>
      </c>
      <c r="J237">
        <v>11142.634614479992</v>
      </c>
      <c r="K237">
        <v>9560.0769924000033</v>
      </c>
      <c r="L237">
        <v>0.51628430439116002</v>
      </c>
      <c r="M237">
        <v>0.18681497379423101</v>
      </c>
      <c r="N237">
        <v>0.15979821014635301</v>
      </c>
      <c r="O237">
        <v>0.13710251166825499</v>
      </c>
    </row>
    <row r="238" spans="1:15" x14ac:dyDescent="0.25">
      <c r="A238" t="s">
        <v>1</v>
      </c>
      <c r="B238" t="s">
        <v>337</v>
      </c>
      <c r="C238" t="s">
        <v>338</v>
      </c>
      <c r="D238">
        <v>1</v>
      </c>
      <c r="E238" t="s">
        <v>95</v>
      </c>
      <c r="F238">
        <v>2048</v>
      </c>
      <c r="G238" t="s">
        <v>2</v>
      </c>
      <c r="H238">
        <v>36108.800805119863</v>
      </c>
      <c r="I238">
        <v>15350.636010960012</v>
      </c>
      <c r="J238">
        <v>8623.6397903999987</v>
      </c>
      <c r="K238">
        <v>9586.268984160004</v>
      </c>
      <c r="L238">
        <v>0.51828821555589699</v>
      </c>
      <c r="M238">
        <v>0.22033558490927399</v>
      </c>
      <c r="N238">
        <v>0.123779543460483</v>
      </c>
      <c r="O238">
        <v>0.13759665607434601</v>
      </c>
    </row>
    <row r="239" spans="1:15" x14ac:dyDescent="0.25">
      <c r="A239" t="s">
        <v>1</v>
      </c>
      <c r="B239" t="s">
        <v>337</v>
      </c>
      <c r="C239" t="s">
        <v>338</v>
      </c>
      <c r="D239">
        <v>1</v>
      </c>
      <c r="E239" t="s">
        <v>95</v>
      </c>
      <c r="F239">
        <v>2049</v>
      </c>
      <c r="G239" t="s">
        <v>2</v>
      </c>
      <c r="H239">
        <v>36000.198974399864</v>
      </c>
      <c r="I239">
        <v>14278.806519600024</v>
      </c>
      <c r="J239">
        <v>8940.8468428800006</v>
      </c>
      <c r="K239">
        <v>9560.0769924000033</v>
      </c>
      <c r="L239">
        <v>0.52341139814277804</v>
      </c>
      <c r="M239">
        <v>0.207601354913307</v>
      </c>
      <c r="N239">
        <v>0.12999209115316501</v>
      </c>
      <c r="O239">
        <v>0.13899515579075</v>
      </c>
    </row>
    <row r="240" spans="1:15" x14ac:dyDescent="0.25">
      <c r="A240" t="s">
        <v>1</v>
      </c>
      <c r="B240" t="s">
        <v>337</v>
      </c>
      <c r="C240" t="s">
        <v>338</v>
      </c>
      <c r="D240">
        <v>1</v>
      </c>
      <c r="E240" t="s">
        <v>95</v>
      </c>
      <c r="F240">
        <v>2050</v>
      </c>
      <c r="G240" t="s">
        <v>2</v>
      </c>
      <c r="H240">
        <v>36000.198974399864</v>
      </c>
      <c r="I240">
        <v>14822.147460240021</v>
      </c>
      <c r="J240">
        <v>5363.1037622399954</v>
      </c>
      <c r="K240">
        <v>9560.0769924000033</v>
      </c>
      <c r="L240">
        <v>0.54756879309456497</v>
      </c>
      <c r="M240">
        <v>0.22544723715679399</v>
      </c>
      <c r="N240">
        <v>8.1573667312754894E-2</v>
      </c>
      <c r="O240">
        <v>0.14541030243588701</v>
      </c>
    </row>
    <row r="241" spans="1:15" x14ac:dyDescent="0.25">
      <c r="A241" t="s">
        <v>1</v>
      </c>
      <c r="B241" t="s">
        <v>337</v>
      </c>
      <c r="C241" t="s">
        <v>338</v>
      </c>
      <c r="D241">
        <v>1</v>
      </c>
      <c r="E241" t="s">
        <v>95</v>
      </c>
      <c r="F241">
        <v>2051</v>
      </c>
      <c r="G241" t="s">
        <v>2</v>
      </c>
      <c r="H241">
        <v>36000.198974399864</v>
      </c>
      <c r="I241">
        <v>15108.947432880024</v>
      </c>
      <c r="J241">
        <v>5182.2629740799957</v>
      </c>
      <c r="K241">
        <v>9560.0769924000033</v>
      </c>
      <c r="L241">
        <v>0.54668772045736302</v>
      </c>
      <c r="M241">
        <v>0.22943973272106</v>
      </c>
      <c r="N241">
        <v>7.8696218710486002E-2</v>
      </c>
      <c r="O241">
        <v>0.14517632811109099</v>
      </c>
    </row>
    <row r="242" spans="1:15" x14ac:dyDescent="0.25">
      <c r="A242" t="s">
        <v>1</v>
      </c>
      <c r="B242" t="s">
        <v>337</v>
      </c>
      <c r="C242" t="s">
        <v>338</v>
      </c>
      <c r="D242">
        <v>1</v>
      </c>
      <c r="E242" t="s">
        <v>96</v>
      </c>
      <c r="F242">
        <v>2022</v>
      </c>
      <c r="G242" t="s">
        <v>2</v>
      </c>
      <c r="H242">
        <v>27665.057148479958</v>
      </c>
      <c r="I242">
        <v>18385.097673119999</v>
      </c>
      <c r="J242">
        <v>6333.7514539199883</v>
      </c>
      <c r="K242">
        <v>31314.912659999813</v>
      </c>
      <c r="L242">
        <v>0.33053103377471399</v>
      </c>
      <c r="M242">
        <v>0.21965779095740401</v>
      </c>
      <c r="N242">
        <v>7.5673128181168406E-2</v>
      </c>
      <c r="O242">
        <v>0.374138047086714</v>
      </c>
    </row>
    <row r="243" spans="1:15" x14ac:dyDescent="0.25">
      <c r="A243" t="s">
        <v>1</v>
      </c>
      <c r="B243" t="s">
        <v>337</v>
      </c>
      <c r="C243" t="s">
        <v>338</v>
      </c>
      <c r="D243">
        <v>1</v>
      </c>
      <c r="E243" t="s">
        <v>96</v>
      </c>
      <c r="F243">
        <v>2023</v>
      </c>
      <c r="G243" t="s">
        <v>2</v>
      </c>
      <c r="H243">
        <v>36000.198974399864</v>
      </c>
      <c r="I243">
        <v>12394.451721120018</v>
      </c>
      <c r="J243">
        <v>3412.4301261600008</v>
      </c>
      <c r="K243">
        <v>33252.478417679784</v>
      </c>
      <c r="L243">
        <v>0.42323519303802698</v>
      </c>
      <c r="M243">
        <v>0.145714977034406</v>
      </c>
      <c r="N243">
        <v>4.0118126130389897E-2</v>
      </c>
      <c r="O243">
        <v>0.39093170379717701</v>
      </c>
    </row>
    <row r="244" spans="1:15" x14ac:dyDescent="0.25">
      <c r="A244" t="s">
        <v>1</v>
      </c>
      <c r="B244" t="s">
        <v>337</v>
      </c>
      <c r="C244" t="s">
        <v>338</v>
      </c>
      <c r="D244">
        <v>1</v>
      </c>
      <c r="E244" t="s">
        <v>96</v>
      </c>
      <c r="F244">
        <v>2024</v>
      </c>
      <c r="G244" t="s">
        <v>2</v>
      </c>
      <c r="H244">
        <v>35312.388781919879</v>
      </c>
      <c r="I244">
        <v>14629.484614080018</v>
      </c>
      <c r="J244">
        <v>4213.0227232800062</v>
      </c>
      <c r="K244">
        <v>27410.91989615979</v>
      </c>
      <c r="L244">
        <v>0.43293122667019701</v>
      </c>
      <c r="M244">
        <v>0.17935803659845401</v>
      </c>
      <c r="N244">
        <v>5.1651818483401397E-2</v>
      </c>
      <c r="O244">
        <v>0.33605891824794798</v>
      </c>
    </row>
    <row r="245" spans="1:15" x14ac:dyDescent="0.25">
      <c r="A245" t="s">
        <v>1</v>
      </c>
      <c r="B245" t="s">
        <v>337</v>
      </c>
      <c r="C245" t="s">
        <v>338</v>
      </c>
      <c r="D245">
        <v>1</v>
      </c>
      <c r="E245" t="s">
        <v>96</v>
      </c>
      <c r="F245">
        <v>2025</v>
      </c>
      <c r="G245" t="s">
        <v>2</v>
      </c>
      <c r="H245">
        <v>36000.198974399864</v>
      </c>
      <c r="I245">
        <v>21148.014318959973</v>
      </c>
      <c r="J245">
        <v>1428.9094684800002</v>
      </c>
      <c r="K245">
        <v>25555.18991519991</v>
      </c>
      <c r="L245">
        <v>0.427899790566729</v>
      </c>
      <c r="M245">
        <v>0.25136613562664401</v>
      </c>
      <c r="N245">
        <v>1.69840745251492E-2</v>
      </c>
      <c r="O245">
        <v>0.303749999281478</v>
      </c>
    </row>
    <row r="246" spans="1:15" x14ac:dyDescent="0.25">
      <c r="A246" t="s">
        <v>1</v>
      </c>
      <c r="B246" t="s">
        <v>337</v>
      </c>
      <c r="C246" t="s">
        <v>338</v>
      </c>
      <c r="D246">
        <v>1</v>
      </c>
      <c r="E246" t="s">
        <v>96</v>
      </c>
      <c r="F246">
        <v>2026</v>
      </c>
      <c r="G246" t="s">
        <v>2</v>
      </c>
      <c r="H246">
        <v>36000.198974399864</v>
      </c>
      <c r="I246">
        <v>25832.392346399953</v>
      </c>
      <c r="J246">
        <v>4682.6111090399991</v>
      </c>
      <c r="K246">
        <v>15490.261779600101</v>
      </c>
      <c r="L246">
        <v>0.438997563411826</v>
      </c>
      <c r="M246">
        <v>0.31500818385009899</v>
      </c>
      <c r="N246">
        <v>5.7101208488750499E-2</v>
      </c>
      <c r="O246">
        <v>0.18889304424932399</v>
      </c>
    </row>
    <row r="247" spans="1:15" x14ac:dyDescent="0.25">
      <c r="A247" t="s">
        <v>1</v>
      </c>
      <c r="B247" t="s">
        <v>337</v>
      </c>
      <c r="C247" t="s">
        <v>338</v>
      </c>
      <c r="D247">
        <v>1</v>
      </c>
      <c r="E247" t="s">
        <v>96</v>
      </c>
      <c r="F247">
        <v>2027</v>
      </c>
      <c r="G247" t="s">
        <v>2</v>
      </c>
      <c r="H247">
        <v>36000.198974399864</v>
      </c>
      <c r="I247">
        <v>28368.264061679922</v>
      </c>
      <c r="J247">
        <v>8166.6471494399948</v>
      </c>
      <c r="K247">
        <v>9560.0769924000033</v>
      </c>
      <c r="L247">
        <v>0.43851777688719901</v>
      </c>
      <c r="M247">
        <v>0.34555331483926299</v>
      </c>
      <c r="N247">
        <v>9.9477782196183195E-2</v>
      </c>
      <c r="O247">
        <v>0.116451126077355</v>
      </c>
    </row>
    <row r="248" spans="1:15" x14ac:dyDescent="0.25">
      <c r="A248" t="s">
        <v>1</v>
      </c>
      <c r="B248" t="s">
        <v>337</v>
      </c>
      <c r="C248" t="s">
        <v>338</v>
      </c>
      <c r="D248">
        <v>1</v>
      </c>
      <c r="E248" t="s">
        <v>96</v>
      </c>
      <c r="F248">
        <v>2028</v>
      </c>
      <c r="G248" t="s">
        <v>2</v>
      </c>
      <c r="H248">
        <v>36108.800805119863</v>
      </c>
      <c r="I248">
        <v>32543.797208639884</v>
      </c>
      <c r="J248">
        <v>4129.0674962400008</v>
      </c>
      <c r="K248">
        <v>9586.268984160004</v>
      </c>
      <c r="L248">
        <v>0.43838419679784602</v>
      </c>
      <c r="M248">
        <v>0.39510274730693101</v>
      </c>
      <c r="N248">
        <v>5.0129550068209697E-2</v>
      </c>
      <c r="O248">
        <v>0.116383505827012</v>
      </c>
    </row>
    <row r="249" spans="1:15" x14ac:dyDescent="0.25">
      <c r="A249" t="s">
        <v>1</v>
      </c>
      <c r="B249" t="s">
        <v>337</v>
      </c>
      <c r="C249" t="s">
        <v>338</v>
      </c>
      <c r="D249">
        <v>1</v>
      </c>
      <c r="E249" t="s">
        <v>96</v>
      </c>
      <c r="F249">
        <v>2029</v>
      </c>
      <c r="G249" t="s">
        <v>2</v>
      </c>
      <c r="H249">
        <v>35044.979257679886</v>
      </c>
      <c r="I249">
        <v>32350.912853519887</v>
      </c>
      <c r="J249">
        <v>4139.3850463199997</v>
      </c>
      <c r="K249">
        <v>9560.0769924000033</v>
      </c>
      <c r="L249">
        <v>0.43214533834938001</v>
      </c>
      <c r="M249">
        <v>0.398924367402271</v>
      </c>
      <c r="N249">
        <v>5.1043430165772299E-2</v>
      </c>
      <c r="O249">
        <v>0.11788686408257699</v>
      </c>
    </row>
    <row r="250" spans="1:15" x14ac:dyDescent="0.25">
      <c r="A250" t="s">
        <v>1</v>
      </c>
      <c r="B250" t="s">
        <v>337</v>
      </c>
      <c r="C250" t="s">
        <v>338</v>
      </c>
      <c r="D250">
        <v>1</v>
      </c>
      <c r="E250" t="s">
        <v>96</v>
      </c>
      <c r="F250">
        <v>2030</v>
      </c>
      <c r="G250" t="s">
        <v>2</v>
      </c>
      <c r="H250">
        <v>34937.189255519894</v>
      </c>
      <c r="I250">
        <v>26717.65895999995</v>
      </c>
      <c r="J250">
        <v>9242.001939359996</v>
      </c>
      <c r="K250">
        <v>9560.0769924000033</v>
      </c>
      <c r="L250">
        <v>0.43423469543605497</v>
      </c>
      <c r="M250">
        <v>0.33207406630248398</v>
      </c>
      <c r="N250">
        <v>0.11486894002852099</v>
      </c>
      <c r="O250">
        <v>0.11882229823293999</v>
      </c>
    </row>
    <row r="251" spans="1:15" x14ac:dyDescent="0.25">
      <c r="A251" t="s">
        <v>1</v>
      </c>
      <c r="B251" t="s">
        <v>337</v>
      </c>
      <c r="C251" t="s">
        <v>338</v>
      </c>
      <c r="D251">
        <v>1</v>
      </c>
      <c r="E251" t="s">
        <v>96</v>
      </c>
      <c r="F251">
        <v>2031</v>
      </c>
      <c r="G251" t="s">
        <v>2</v>
      </c>
      <c r="H251">
        <v>35516.257697999878</v>
      </c>
      <c r="I251">
        <v>26127.883883039951</v>
      </c>
      <c r="J251">
        <v>8536.7665199999974</v>
      </c>
      <c r="K251">
        <v>9560.0769924000033</v>
      </c>
      <c r="L251">
        <v>0.44539527140757301</v>
      </c>
      <c r="M251">
        <v>0.32765940692134099</v>
      </c>
      <c r="N251">
        <v>0.107056195882164</v>
      </c>
      <c r="O251">
        <v>0.119889125788923</v>
      </c>
    </row>
    <row r="252" spans="1:15" x14ac:dyDescent="0.25">
      <c r="A252" t="s">
        <v>1</v>
      </c>
      <c r="B252" t="s">
        <v>337</v>
      </c>
      <c r="C252" t="s">
        <v>338</v>
      </c>
      <c r="D252">
        <v>1</v>
      </c>
      <c r="E252" t="s">
        <v>96</v>
      </c>
      <c r="F252">
        <v>2032</v>
      </c>
      <c r="G252" t="s">
        <v>2</v>
      </c>
      <c r="H252">
        <v>36108.800805119863</v>
      </c>
      <c r="I252">
        <v>23425.892665919968</v>
      </c>
      <c r="J252">
        <v>10434.567322799992</v>
      </c>
      <c r="K252">
        <v>9586.268984160004</v>
      </c>
      <c r="L252">
        <v>0.45388172143258498</v>
      </c>
      <c r="M252">
        <v>0.29445964009403303</v>
      </c>
      <c r="N252">
        <v>0.131160804936096</v>
      </c>
      <c r="O252">
        <v>0.12049783353728601</v>
      </c>
    </row>
    <row r="253" spans="1:15" x14ac:dyDescent="0.25">
      <c r="A253" t="s">
        <v>1</v>
      </c>
      <c r="B253" t="s">
        <v>337</v>
      </c>
      <c r="C253" t="s">
        <v>338</v>
      </c>
      <c r="D253">
        <v>1</v>
      </c>
      <c r="E253" t="s">
        <v>96</v>
      </c>
      <c r="F253">
        <v>2033</v>
      </c>
      <c r="G253" t="s">
        <v>2</v>
      </c>
      <c r="H253">
        <v>35370.505741919886</v>
      </c>
      <c r="I253">
        <v>23143.502501039966</v>
      </c>
      <c r="J253">
        <v>10244.995553759984</v>
      </c>
      <c r="K253">
        <v>9560.0769924000033</v>
      </c>
      <c r="L253">
        <v>0.45162054234469001</v>
      </c>
      <c r="M253">
        <v>0.29550273404453797</v>
      </c>
      <c r="N253">
        <v>0.13081097799583999</v>
      </c>
      <c r="O253">
        <v>0.122065745614932</v>
      </c>
    </row>
    <row r="254" spans="1:15" x14ac:dyDescent="0.25">
      <c r="A254" t="s">
        <v>1</v>
      </c>
      <c r="B254" t="s">
        <v>337</v>
      </c>
      <c r="C254" t="s">
        <v>338</v>
      </c>
      <c r="D254">
        <v>1</v>
      </c>
      <c r="E254" t="s">
        <v>96</v>
      </c>
      <c r="F254">
        <v>2034</v>
      </c>
      <c r="G254" t="s">
        <v>2</v>
      </c>
      <c r="H254">
        <v>35176.279323119888</v>
      </c>
      <c r="I254">
        <v>22746.346696559973</v>
      </c>
      <c r="J254">
        <v>10081.084797119987</v>
      </c>
      <c r="K254">
        <v>9560.0769924000033</v>
      </c>
      <c r="L254">
        <v>0.45351420188052799</v>
      </c>
      <c r="M254">
        <v>0.29325987473064102</v>
      </c>
      <c r="N254">
        <v>0.12997153803162101</v>
      </c>
      <c r="O254">
        <v>0.12325438535721001</v>
      </c>
    </row>
    <row r="255" spans="1:15" x14ac:dyDescent="0.25">
      <c r="A255" t="s">
        <v>1</v>
      </c>
      <c r="B255" t="s">
        <v>337</v>
      </c>
      <c r="C255" t="s">
        <v>338</v>
      </c>
      <c r="D255">
        <v>1</v>
      </c>
      <c r="E255" t="s">
        <v>96</v>
      </c>
      <c r="F255">
        <v>2035</v>
      </c>
      <c r="G255" t="s">
        <v>2</v>
      </c>
      <c r="H255">
        <v>36000.198974399864</v>
      </c>
      <c r="I255">
        <v>20065.517742239987</v>
      </c>
      <c r="J255">
        <v>11314.587735359974</v>
      </c>
      <c r="K255">
        <v>9560.0769924000033</v>
      </c>
      <c r="L255">
        <v>0.46789732905620002</v>
      </c>
      <c r="M255">
        <v>0.26079306296057497</v>
      </c>
      <c r="N255">
        <v>0.14705655889601199</v>
      </c>
      <c r="O255">
        <v>0.124253049087214</v>
      </c>
    </row>
    <row r="256" spans="1:15" x14ac:dyDescent="0.25">
      <c r="A256" t="s">
        <v>1</v>
      </c>
      <c r="B256" t="s">
        <v>337</v>
      </c>
      <c r="C256" t="s">
        <v>338</v>
      </c>
      <c r="D256">
        <v>1</v>
      </c>
      <c r="E256" t="s">
        <v>96</v>
      </c>
      <c r="F256">
        <v>2036</v>
      </c>
      <c r="G256" t="s">
        <v>2</v>
      </c>
      <c r="H256">
        <v>34978.521292799895</v>
      </c>
      <c r="I256">
        <v>20981.420525999987</v>
      </c>
      <c r="J256">
        <v>11199.322847999982</v>
      </c>
      <c r="K256">
        <v>9586.268984160004</v>
      </c>
      <c r="L256">
        <v>0.45577272876729003</v>
      </c>
      <c r="M256">
        <v>0.27338946682453102</v>
      </c>
      <c r="N256">
        <v>0.145928007992422</v>
      </c>
      <c r="O256">
        <v>0.124909796415757</v>
      </c>
    </row>
    <row r="257" spans="1:15" x14ac:dyDescent="0.25">
      <c r="A257" t="s">
        <v>1</v>
      </c>
      <c r="B257" t="s">
        <v>337</v>
      </c>
      <c r="C257" t="s">
        <v>338</v>
      </c>
      <c r="D257">
        <v>1</v>
      </c>
      <c r="E257" t="s">
        <v>96</v>
      </c>
      <c r="F257">
        <v>2037</v>
      </c>
      <c r="G257" t="s">
        <v>2</v>
      </c>
      <c r="H257">
        <v>34643.8431904799</v>
      </c>
      <c r="I257">
        <v>20274.006609119999</v>
      </c>
      <c r="J257">
        <v>11047.516189199974</v>
      </c>
      <c r="K257">
        <v>9560.0769924000033</v>
      </c>
      <c r="L257">
        <v>0.45870427001803399</v>
      </c>
      <c r="M257">
        <v>0.26843942662033399</v>
      </c>
      <c r="N257">
        <v>0.14627542392501999</v>
      </c>
      <c r="O257">
        <v>0.126580879436612</v>
      </c>
    </row>
    <row r="258" spans="1:15" x14ac:dyDescent="0.25">
      <c r="A258" t="s">
        <v>1</v>
      </c>
      <c r="B258" t="s">
        <v>337</v>
      </c>
      <c r="C258" t="s">
        <v>338</v>
      </c>
      <c r="D258">
        <v>1</v>
      </c>
      <c r="E258" t="s">
        <v>96</v>
      </c>
      <c r="F258">
        <v>2038</v>
      </c>
      <c r="G258" t="s">
        <v>2</v>
      </c>
      <c r="H258">
        <v>33977.34139247991</v>
      </c>
      <c r="I258">
        <v>19126.370918159999</v>
      </c>
      <c r="J258">
        <v>12113.078565839971</v>
      </c>
      <c r="K258">
        <v>9560.0769924000033</v>
      </c>
      <c r="L258">
        <v>0.45438305134762602</v>
      </c>
      <c r="M258">
        <v>0.25577924648699901</v>
      </c>
      <c r="N258">
        <v>0.16198964881867001</v>
      </c>
      <c r="O258">
        <v>0.12784805334670399</v>
      </c>
    </row>
    <row r="259" spans="1:15" x14ac:dyDescent="0.25">
      <c r="A259" t="s">
        <v>1</v>
      </c>
      <c r="B259" t="s">
        <v>337</v>
      </c>
      <c r="C259" t="s">
        <v>338</v>
      </c>
      <c r="D259">
        <v>1</v>
      </c>
      <c r="E259" t="s">
        <v>96</v>
      </c>
      <c r="F259">
        <v>2039</v>
      </c>
      <c r="G259" t="s">
        <v>2</v>
      </c>
      <c r="H259">
        <v>36000.198974399864</v>
      </c>
      <c r="I259">
        <v>17729.362131120004</v>
      </c>
      <c r="J259">
        <v>10845.628238159979</v>
      </c>
      <c r="K259">
        <v>9560.0769924000033</v>
      </c>
      <c r="L259">
        <v>0.48560153289527502</v>
      </c>
      <c r="M259">
        <v>0.239148828989794</v>
      </c>
      <c r="N259">
        <v>0.14629512746326601</v>
      </c>
      <c r="O259">
        <v>0.12895451065166499</v>
      </c>
    </row>
    <row r="260" spans="1:15" x14ac:dyDescent="0.25">
      <c r="A260" t="s">
        <v>1</v>
      </c>
      <c r="B260" t="s">
        <v>337</v>
      </c>
      <c r="C260" t="s">
        <v>338</v>
      </c>
      <c r="D260">
        <v>1</v>
      </c>
      <c r="E260" t="s">
        <v>96</v>
      </c>
      <c r="F260">
        <v>2040</v>
      </c>
      <c r="G260" t="s">
        <v>2</v>
      </c>
      <c r="H260">
        <v>36108.800805119863</v>
      </c>
      <c r="I260">
        <v>12884.735025840015</v>
      </c>
      <c r="J260">
        <v>15293.347902479953</v>
      </c>
      <c r="K260">
        <v>9586.268984160004</v>
      </c>
      <c r="L260">
        <v>0.48879463616715502</v>
      </c>
      <c r="M260">
        <v>0.17441701825148001</v>
      </c>
      <c r="N260">
        <v>0.20702173035639801</v>
      </c>
      <c r="O260">
        <v>0.12976661522496699</v>
      </c>
    </row>
    <row r="261" spans="1:15" x14ac:dyDescent="0.25">
      <c r="A261" t="s">
        <v>1</v>
      </c>
      <c r="B261" t="s">
        <v>337</v>
      </c>
      <c r="C261" t="s">
        <v>338</v>
      </c>
      <c r="D261">
        <v>1</v>
      </c>
      <c r="E261" t="s">
        <v>96</v>
      </c>
      <c r="F261">
        <v>2041</v>
      </c>
      <c r="G261" t="s">
        <v>2</v>
      </c>
      <c r="H261">
        <v>36000.198974399864</v>
      </c>
      <c r="I261">
        <v>15044.586690960014</v>
      </c>
      <c r="J261">
        <v>12216.132797279974</v>
      </c>
      <c r="K261">
        <v>9560.0769924000033</v>
      </c>
      <c r="L261">
        <v>0.494365653057113</v>
      </c>
      <c r="M261">
        <v>0.20659682824919101</v>
      </c>
      <c r="N261">
        <v>0.16775564136338</v>
      </c>
      <c r="O261">
        <v>0.13128187733031499</v>
      </c>
    </row>
    <row r="262" spans="1:15" x14ac:dyDescent="0.25">
      <c r="A262" t="s">
        <v>1</v>
      </c>
      <c r="B262" t="s">
        <v>337</v>
      </c>
      <c r="C262" t="s">
        <v>338</v>
      </c>
      <c r="D262">
        <v>1</v>
      </c>
      <c r="E262" t="s">
        <v>96</v>
      </c>
      <c r="F262">
        <v>2042</v>
      </c>
      <c r="G262" t="s">
        <v>2</v>
      </c>
      <c r="H262">
        <v>33504.268230719914</v>
      </c>
      <c r="I262">
        <v>15682.022566560019</v>
      </c>
      <c r="J262">
        <v>13493.559350639967</v>
      </c>
      <c r="K262">
        <v>9560.0769924000033</v>
      </c>
      <c r="L262">
        <v>0.46379155623510998</v>
      </c>
      <c r="M262">
        <v>0.217082480386491</v>
      </c>
      <c r="N262">
        <v>0.18678810852660299</v>
      </c>
      <c r="O262">
        <v>0.132337854851796</v>
      </c>
    </row>
    <row r="263" spans="1:15" x14ac:dyDescent="0.25">
      <c r="A263" t="s">
        <v>1</v>
      </c>
      <c r="B263" t="s">
        <v>337</v>
      </c>
      <c r="C263" t="s">
        <v>338</v>
      </c>
      <c r="D263">
        <v>1</v>
      </c>
      <c r="E263" t="s">
        <v>96</v>
      </c>
      <c r="F263">
        <v>2043</v>
      </c>
      <c r="G263" t="s">
        <v>2</v>
      </c>
      <c r="H263">
        <v>33425.797946159917</v>
      </c>
      <c r="I263">
        <v>15417.275292720018</v>
      </c>
      <c r="J263">
        <v>13388.575467599965</v>
      </c>
      <c r="K263">
        <v>9560.0769924000033</v>
      </c>
      <c r="L263">
        <v>0.46559401686985002</v>
      </c>
      <c r="M263">
        <v>0.21475003062867701</v>
      </c>
      <c r="N263">
        <v>0.18649190191856399</v>
      </c>
      <c r="O263">
        <v>0.133164050582909</v>
      </c>
    </row>
    <row r="264" spans="1:15" x14ac:dyDescent="0.25">
      <c r="A264" t="s">
        <v>1</v>
      </c>
      <c r="B264" t="s">
        <v>337</v>
      </c>
      <c r="C264" t="s">
        <v>338</v>
      </c>
      <c r="D264">
        <v>1</v>
      </c>
      <c r="E264" t="s">
        <v>96</v>
      </c>
      <c r="F264">
        <v>2044</v>
      </c>
      <c r="G264" t="s">
        <v>2</v>
      </c>
      <c r="H264">
        <v>36108.800805119863</v>
      </c>
      <c r="I264">
        <v>11427.382259040005</v>
      </c>
      <c r="J264">
        <v>14576.084037359977</v>
      </c>
      <c r="K264">
        <v>9586.268984160004</v>
      </c>
      <c r="L264">
        <v>0.50361977770326805</v>
      </c>
      <c r="M264">
        <v>0.15938097042015301</v>
      </c>
      <c r="N264">
        <v>0.20329681515312301</v>
      </c>
      <c r="O264">
        <v>0.133702436723456</v>
      </c>
    </row>
    <row r="265" spans="1:15" x14ac:dyDescent="0.25">
      <c r="A265" t="s">
        <v>1</v>
      </c>
      <c r="B265" t="s">
        <v>337</v>
      </c>
      <c r="C265" t="s">
        <v>338</v>
      </c>
      <c r="D265">
        <v>1</v>
      </c>
      <c r="E265" t="s">
        <v>96</v>
      </c>
      <c r="F265">
        <v>2045</v>
      </c>
      <c r="G265" t="s">
        <v>2</v>
      </c>
      <c r="H265">
        <v>36000.198974399864</v>
      </c>
      <c r="I265">
        <v>13307.238981360011</v>
      </c>
      <c r="J265">
        <v>11795.717068079968</v>
      </c>
      <c r="K265">
        <v>9560.0769924000033</v>
      </c>
      <c r="L265">
        <v>0.50946153957586204</v>
      </c>
      <c r="M265">
        <v>0.18831913856277799</v>
      </c>
      <c r="N265">
        <v>0.16692863787166001</v>
      </c>
      <c r="O265">
        <v>0.13529068398970101</v>
      </c>
    </row>
    <row r="266" spans="1:15" x14ac:dyDescent="0.25">
      <c r="A266" t="s">
        <v>1</v>
      </c>
      <c r="B266" t="s">
        <v>337</v>
      </c>
      <c r="C266" t="s">
        <v>338</v>
      </c>
      <c r="D266">
        <v>1</v>
      </c>
      <c r="E266" t="s">
        <v>96</v>
      </c>
      <c r="F266">
        <v>2046</v>
      </c>
      <c r="G266" t="s">
        <v>2</v>
      </c>
      <c r="H266">
        <v>33342.81763799992</v>
      </c>
      <c r="I266">
        <v>19327.29992088001</v>
      </c>
      <c r="J266">
        <v>7915.4123004000048</v>
      </c>
      <c r="K266">
        <v>9540.4032588000009</v>
      </c>
      <c r="L266">
        <v>0.47547057351602601</v>
      </c>
      <c r="M266">
        <v>0.27560845270088902</v>
      </c>
      <c r="N266">
        <v>0.112874252768542</v>
      </c>
      <c r="O266">
        <v>0.13604672101454399</v>
      </c>
    </row>
    <row r="267" spans="1:15" x14ac:dyDescent="0.25">
      <c r="A267" t="s">
        <v>1</v>
      </c>
      <c r="B267" t="s">
        <v>337</v>
      </c>
      <c r="C267" t="s">
        <v>338</v>
      </c>
      <c r="D267">
        <v>1</v>
      </c>
      <c r="E267" t="s">
        <v>96</v>
      </c>
      <c r="F267">
        <v>2047</v>
      </c>
      <c r="G267" t="s">
        <v>2</v>
      </c>
      <c r="H267">
        <v>36000.198974399864</v>
      </c>
      <c r="I267">
        <v>13026.497552880013</v>
      </c>
      <c r="J267">
        <v>11142.634614479992</v>
      </c>
      <c r="K267">
        <v>9560.0769924000033</v>
      </c>
      <c r="L267">
        <v>0.51628430439471396</v>
      </c>
      <c r="M267">
        <v>0.18681497378863399</v>
      </c>
      <c r="N267">
        <v>0.15979821014745299</v>
      </c>
      <c r="O267">
        <v>0.13710251166919901</v>
      </c>
    </row>
    <row r="268" spans="1:15" x14ac:dyDescent="0.25">
      <c r="A268" t="s">
        <v>1</v>
      </c>
      <c r="B268" t="s">
        <v>337</v>
      </c>
      <c r="C268" t="s">
        <v>338</v>
      </c>
      <c r="D268">
        <v>1</v>
      </c>
      <c r="E268" t="s">
        <v>96</v>
      </c>
      <c r="F268">
        <v>2048</v>
      </c>
      <c r="G268" t="s">
        <v>2</v>
      </c>
      <c r="H268">
        <v>36108.800805119863</v>
      </c>
      <c r="I268">
        <v>15350.636010960014</v>
      </c>
      <c r="J268">
        <v>8623.639790639998</v>
      </c>
      <c r="K268">
        <v>9586.268984160004</v>
      </c>
      <c r="L268">
        <v>0.51828821555411198</v>
      </c>
      <c r="M268">
        <v>0.22033558490851499</v>
      </c>
      <c r="N268">
        <v>0.12377954346350099</v>
      </c>
      <c r="O268">
        <v>0.137596656073872</v>
      </c>
    </row>
    <row r="269" spans="1:15" x14ac:dyDescent="0.25">
      <c r="A269" t="s">
        <v>1</v>
      </c>
      <c r="B269" t="s">
        <v>337</v>
      </c>
      <c r="C269" t="s">
        <v>338</v>
      </c>
      <c r="D269">
        <v>1</v>
      </c>
      <c r="E269" t="s">
        <v>96</v>
      </c>
      <c r="F269">
        <v>2049</v>
      </c>
      <c r="G269" t="s">
        <v>2</v>
      </c>
      <c r="H269">
        <v>36000.198974399864</v>
      </c>
      <c r="I269">
        <v>14278.806520080025</v>
      </c>
      <c r="J269">
        <v>8940.8468428800006</v>
      </c>
      <c r="K269">
        <v>9560.0769924000033</v>
      </c>
      <c r="L269">
        <v>0.52341139813912496</v>
      </c>
      <c r="M269">
        <v>0.20760135491883699</v>
      </c>
      <c r="N269">
        <v>0.12999209115225799</v>
      </c>
      <c r="O269">
        <v>0.13899515578978</v>
      </c>
    </row>
    <row r="270" spans="1:15" x14ac:dyDescent="0.25">
      <c r="A270" t="s">
        <v>1</v>
      </c>
      <c r="B270" t="s">
        <v>337</v>
      </c>
      <c r="C270" t="s">
        <v>338</v>
      </c>
      <c r="D270">
        <v>1</v>
      </c>
      <c r="E270" t="s">
        <v>96</v>
      </c>
      <c r="F270">
        <v>2050</v>
      </c>
      <c r="G270" t="s">
        <v>2</v>
      </c>
      <c r="H270">
        <v>36000.198974399864</v>
      </c>
      <c r="I270">
        <v>14822.147460720022</v>
      </c>
      <c r="J270">
        <v>5363.1037622399954</v>
      </c>
      <c r="K270">
        <v>9560.0769924000033</v>
      </c>
      <c r="L270">
        <v>0.54756879309056705</v>
      </c>
      <c r="M270">
        <v>0.22544723716244899</v>
      </c>
      <c r="N270">
        <v>8.1573667312159301E-2</v>
      </c>
      <c r="O270">
        <v>0.145410302434825</v>
      </c>
    </row>
    <row r="271" spans="1:15" x14ac:dyDescent="0.25">
      <c r="A271" t="s">
        <v>1</v>
      </c>
      <c r="B271" t="s">
        <v>337</v>
      </c>
      <c r="C271" t="s">
        <v>338</v>
      </c>
      <c r="D271">
        <v>1</v>
      </c>
      <c r="E271" t="s">
        <v>96</v>
      </c>
      <c r="F271">
        <v>2051</v>
      </c>
      <c r="G271" t="s">
        <v>2</v>
      </c>
      <c r="H271">
        <v>36000.198974399864</v>
      </c>
      <c r="I271">
        <v>15108.947432880019</v>
      </c>
      <c r="J271">
        <v>5182.2629745599952</v>
      </c>
      <c r="K271">
        <v>9560.0769924000033</v>
      </c>
      <c r="L271">
        <v>0.54668772045337799</v>
      </c>
      <c r="M271">
        <v>0.229439732719388</v>
      </c>
      <c r="N271">
        <v>7.8696218717201505E-2</v>
      </c>
      <c r="O271">
        <v>0.145176328110033</v>
      </c>
    </row>
    <row r="272" spans="1:15" x14ac:dyDescent="0.25">
      <c r="A272" t="s">
        <v>1</v>
      </c>
      <c r="B272" t="s">
        <v>337</v>
      </c>
      <c r="C272" t="s">
        <v>338</v>
      </c>
      <c r="D272">
        <v>1</v>
      </c>
      <c r="E272" t="s">
        <v>97</v>
      </c>
      <c r="F272">
        <v>2022</v>
      </c>
      <c r="G272" t="s">
        <v>2</v>
      </c>
      <c r="H272">
        <v>27665.057148479958</v>
      </c>
      <c r="I272">
        <v>18385.097672879998</v>
      </c>
      <c r="J272">
        <v>6333.7514539199883</v>
      </c>
      <c r="K272">
        <v>31314.912659759815</v>
      </c>
      <c r="L272">
        <v>0.33053103377660997</v>
      </c>
      <c r="M272">
        <v>0.21965779095579599</v>
      </c>
      <c r="N272">
        <v>7.5673128181602295E-2</v>
      </c>
      <c r="O272">
        <v>0.37413804708599202</v>
      </c>
    </row>
    <row r="273" spans="1:15" x14ac:dyDescent="0.25">
      <c r="A273" t="s">
        <v>1</v>
      </c>
      <c r="B273" t="s">
        <v>337</v>
      </c>
      <c r="C273" t="s">
        <v>338</v>
      </c>
      <c r="D273">
        <v>1</v>
      </c>
      <c r="E273" t="s">
        <v>97</v>
      </c>
      <c r="F273">
        <v>2023</v>
      </c>
      <c r="G273" t="s">
        <v>2</v>
      </c>
      <c r="H273">
        <v>36000.198974399864</v>
      </c>
      <c r="I273">
        <v>12394.266871200016</v>
      </c>
      <c r="J273">
        <v>3412.4301261600012</v>
      </c>
      <c r="K273">
        <v>33252.478417679784</v>
      </c>
      <c r="L273">
        <v>0.42323611280721302</v>
      </c>
      <c r="M273">
        <v>0.14571312051336699</v>
      </c>
      <c r="N273">
        <v>4.0118213314576899E-2</v>
      </c>
      <c r="O273">
        <v>0.39093255336484301</v>
      </c>
    </row>
    <row r="274" spans="1:15" x14ac:dyDescent="0.25">
      <c r="A274" t="s">
        <v>1</v>
      </c>
      <c r="B274" t="s">
        <v>337</v>
      </c>
      <c r="C274" t="s">
        <v>338</v>
      </c>
      <c r="D274">
        <v>1</v>
      </c>
      <c r="E274" t="s">
        <v>97</v>
      </c>
      <c r="F274">
        <v>2024</v>
      </c>
      <c r="G274" t="s">
        <v>2</v>
      </c>
      <c r="H274">
        <v>35312.469340799886</v>
      </c>
      <c r="I274">
        <v>14649.963621840019</v>
      </c>
      <c r="J274">
        <v>4213.0186886400061</v>
      </c>
      <c r="K274">
        <v>27410.91989615979</v>
      </c>
      <c r="L274">
        <v>0.43282313787256599</v>
      </c>
      <c r="M274">
        <v>0.17956385783527001</v>
      </c>
      <c r="N274">
        <v>5.1638755453051098E-2</v>
      </c>
      <c r="O274">
        <v>0.33597424883911198</v>
      </c>
    </row>
    <row r="275" spans="1:15" x14ac:dyDescent="0.25">
      <c r="A275" t="s">
        <v>1</v>
      </c>
      <c r="B275" t="s">
        <v>337</v>
      </c>
      <c r="C275" t="s">
        <v>338</v>
      </c>
      <c r="D275">
        <v>1</v>
      </c>
      <c r="E275" t="s">
        <v>97</v>
      </c>
      <c r="F275">
        <v>2025</v>
      </c>
      <c r="G275" t="s">
        <v>2</v>
      </c>
      <c r="H275">
        <v>36000.198974399864</v>
      </c>
      <c r="I275">
        <v>21066.02693639998</v>
      </c>
      <c r="J275">
        <v>1421.57321568</v>
      </c>
      <c r="K275">
        <v>25555.18991519991</v>
      </c>
      <c r="L275">
        <v>0.42835457644832398</v>
      </c>
      <c r="M275">
        <v>0.25065775475872998</v>
      </c>
      <c r="N275">
        <v>1.6914834085386899E-2</v>
      </c>
      <c r="O275">
        <v>0.30407283470755903</v>
      </c>
    </row>
    <row r="276" spans="1:15" x14ac:dyDescent="0.25">
      <c r="A276" t="s">
        <v>1</v>
      </c>
      <c r="B276" t="s">
        <v>337</v>
      </c>
      <c r="C276" t="s">
        <v>338</v>
      </c>
      <c r="D276">
        <v>1</v>
      </c>
      <c r="E276" t="s">
        <v>97</v>
      </c>
      <c r="F276">
        <v>2026</v>
      </c>
      <c r="G276" t="s">
        <v>2</v>
      </c>
      <c r="H276">
        <v>36000.198974399864</v>
      </c>
      <c r="I276">
        <v>25799.298514319948</v>
      </c>
      <c r="J276">
        <v>4675.3526757599993</v>
      </c>
      <c r="K276">
        <v>15490.261779600101</v>
      </c>
      <c r="L276">
        <v>0.43921368641527297</v>
      </c>
      <c r="M276">
        <v>0.314759510508829</v>
      </c>
      <c r="N276">
        <v>5.7040764843336297E-2</v>
      </c>
      <c r="O276">
        <v>0.18898603823256199</v>
      </c>
    </row>
    <row r="277" spans="1:15" x14ac:dyDescent="0.25">
      <c r="A277" t="s">
        <v>1</v>
      </c>
      <c r="B277" t="s">
        <v>337</v>
      </c>
      <c r="C277" t="s">
        <v>338</v>
      </c>
      <c r="D277">
        <v>1</v>
      </c>
      <c r="E277" t="s">
        <v>97</v>
      </c>
      <c r="F277">
        <v>2027</v>
      </c>
      <c r="G277" t="s">
        <v>2</v>
      </c>
      <c r="H277">
        <v>36000.198974399864</v>
      </c>
      <c r="I277">
        <v>28390.038121919923</v>
      </c>
      <c r="J277">
        <v>8379.0993347999938</v>
      </c>
      <c r="K277">
        <v>9560.0769924000033</v>
      </c>
      <c r="L277">
        <v>0.43727019879526302</v>
      </c>
      <c r="M277">
        <v>0.34483469444724002</v>
      </c>
      <c r="N277">
        <v>0.10177528281048399</v>
      </c>
      <c r="O277">
        <v>0.11611982394701301</v>
      </c>
    </row>
    <row r="278" spans="1:15" x14ac:dyDescent="0.25">
      <c r="A278" t="s">
        <v>1</v>
      </c>
      <c r="B278" t="s">
        <v>337</v>
      </c>
      <c r="C278" t="s">
        <v>338</v>
      </c>
      <c r="D278">
        <v>1</v>
      </c>
      <c r="E278" t="s">
        <v>97</v>
      </c>
      <c r="F278">
        <v>2028</v>
      </c>
      <c r="G278" t="s">
        <v>2</v>
      </c>
      <c r="H278">
        <v>36108.800805119863</v>
      </c>
      <c r="I278">
        <v>32460.696233279883</v>
      </c>
      <c r="J278">
        <v>4342.0808040000011</v>
      </c>
      <c r="K278">
        <v>9586.268984160004</v>
      </c>
      <c r="L278">
        <v>0.43769385740495298</v>
      </c>
      <c r="M278">
        <v>0.39347325393260202</v>
      </c>
      <c r="N278">
        <v>5.2632656136209502E-2</v>
      </c>
      <c r="O278">
        <v>0.116200232526236</v>
      </c>
    </row>
    <row r="279" spans="1:15" x14ac:dyDescent="0.25">
      <c r="A279" t="s">
        <v>1</v>
      </c>
      <c r="B279" t="s">
        <v>337</v>
      </c>
      <c r="C279" t="s">
        <v>338</v>
      </c>
      <c r="D279">
        <v>1</v>
      </c>
      <c r="E279" t="s">
        <v>97</v>
      </c>
      <c r="F279">
        <v>2029</v>
      </c>
      <c r="G279" t="s">
        <v>2</v>
      </c>
      <c r="H279">
        <v>34902.909389759894</v>
      </c>
      <c r="I279">
        <v>32262.676414319882</v>
      </c>
      <c r="J279">
        <v>4507.2131385600005</v>
      </c>
      <c r="K279">
        <v>9560.0769924000033</v>
      </c>
      <c r="L279">
        <v>0.42966482459233601</v>
      </c>
      <c r="M279">
        <v>0.39716279945720101</v>
      </c>
      <c r="N279">
        <v>5.5485086385028699E-2</v>
      </c>
      <c r="O279">
        <v>0.11768728956543401</v>
      </c>
    </row>
    <row r="280" spans="1:15" x14ac:dyDescent="0.25">
      <c r="A280" t="s">
        <v>1</v>
      </c>
      <c r="B280" t="s">
        <v>337</v>
      </c>
      <c r="C280" t="s">
        <v>338</v>
      </c>
      <c r="D280">
        <v>1</v>
      </c>
      <c r="E280" t="s">
        <v>97</v>
      </c>
      <c r="F280">
        <v>2030</v>
      </c>
      <c r="G280" t="s">
        <v>2</v>
      </c>
      <c r="H280">
        <v>34807.555622399894</v>
      </c>
      <c r="I280">
        <v>26761.675060079942</v>
      </c>
      <c r="J280">
        <v>9665.2733963999854</v>
      </c>
      <c r="K280">
        <v>9560.0769924000033</v>
      </c>
      <c r="L280">
        <v>0.43081547253387498</v>
      </c>
      <c r="M280">
        <v>0.33123106407928299</v>
      </c>
      <c r="N280">
        <v>0.11962774320066</v>
      </c>
      <c r="O280">
        <v>0.118325720186181</v>
      </c>
    </row>
    <row r="281" spans="1:15" x14ac:dyDescent="0.25">
      <c r="A281" t="s">
        <v>1</v>
      </c>
      <c r="B281" t="s">
        <v>337</v>
      </c>
      <c r="C281" t="s">
        <v>338</v>
      </c>
      <c r="D281">
        <v>1</v>
      </c>
      <c r="E281" t="s">
        <v>97</v>
      </c>
      <c r="F281">
        <v>2031</v>
      </c>
      <c r="G281" t="s">
        <v>2</v>
      </c>
      <c r="H281">
        <v>35424.143369279882</v>
      </c>
      <c r="I281">
        <v>26295.208645679944</v>
      </c>
      <c r="J281">
        <v>9031.7673335999971</v>
      </c>
      <c r="K281">
        <v>9560.0769924000033</v>
      </c>
      <c r="L281">
        <v>0.44108598779785702</v>
      </c>
      <c r="M281">
        <v>0.32741647296653498</v>
      </c>
      <c r="N281">
        <v>0.112459628857423</v>
      </c>
      <c r="O281">
        <v>0.11903791037818499</v>
      </c>
    </row>
    <row r="282" spans="1:15" x14ac:dyDescent="0.25">
      <c r="A282" t="s">
        <v>1</v>
      </c>
      <c r="B282" t="s">
        <v>337</v>
      </c>
      <c r="C282" t="s">
        <v>338</v>
      </c>
      <c r="D282">
        <v>1</v>
      </c>
      <c r="E282" t="s">
        <v>97</v>
      </c>
      <c r="F282">
        <v>2032</v>
      </c>
      <c r="G282" t="s">
        <v>2</v>
      </c>
      <c r="H282">
        <v>36108.800805119863</v>
      </c>
      <c r="I282">
        <v>23540.131223519962</v>
      </c>
      <c r="J282">
        <v>11092.311702239987</v>
      </c>
      <c r="K282">
        <v>9586.268984160004</v>
      </c>
      <c r="L282">
        <v>0.449519717275637</v>
      </c>
      <c r="M282">
        <v>0.29305191245032203</v>
      </c>
      <c r="N282">
        <v>0.13808857422972501</v>
      </c>
      <c r="O282">
        <v>0.11933979604431499</v>
      </c>
    </row>
    <row r="283" spans="1:15" x14ac:dyDescent="0.25">
      <c r="A283" t="s">
        <v>1</v>
      </c>
      <c r="B283" t="s">
        <v>337</v>
      </c>
      <c r="C283" t="s">
        <v>338</v>
      </c>
      <c r="D283">
        <v>1</v>
      </c>
      <c r="E283" t="s">
        <v>97</v>
      </c>
      <c r="F283">
        <v>2033</v>
      </c>
      <c r="G283" t="s">
        <v>2</v>
      </c>
      <c r="H283">
        <v>35343.690584159885</v>
      </c>
      <c r="I283">
        <v>23417.115765119972</v>
      </c>
      <c r="J283">
        <v>10979.441707199991</v>
      </c>
      <c r="K283">
        <v>9560.0769924000033</v>
      </c>
      <c r="L283">
        <v>0.445694145167431</v>
      </c>
      <c r="M283">
        <v>0.29529659242488498</v>
      </c>
      <c r="N283">
        <v>0.138453930679759</v>
      </c>
      <c r="O283">
        <v>0.120555331727925</v>
      </c>
    </row>
    <row r="284" spans="1:15" x14ac:dyDescent="0.25">
      <c r="A284" t="s">
        <v>1</v>
      </c>
      <c r="B284" t="s">
        <v>337</v>
      </c>
      <c r="C284" t="s">
        <v>338</v>
      </c>
      <c r="D284">
        <v>1</v>
      </c>
      <c r="E284" t="s">
        <v>97</v>
      </c>
      <c r="F284">
        <v>2034</v>
      </c>
      <c r="G284" t="s">
        <v>2</v>
      </c>
      <c r="H284">
        <v>35187.201840479887</v>
      </c>
      <c r="I284">
        <v>23117.570558879968</v>
      </c>
      <c r="J284">
        <v>10882.190300879991</v>
      </c>
      <c r="K284">
        <v>9560.0769924000033</v>
      </c>
      <c r="L284">
        <v>0.44683840786676199</v>
      </c>
      <c r="M284">
        <v>0.29356748709679598</v>
      </c>
      <c r="N284">
        <v>0.13819173829714301</v>
      </c>
      <c r="O284">
        <v>0.12140236673929899</v>
      </c>
    </row>
    <row r="285" spans="1:15" x14ac:dyDescent="0.25">
      <c r="A285" t="s">
        <v>1</v>
      </c>
      <c r="B285" t="s">
        <v>337</v>
      </c>
      <c r="C285" t="s">
        <v>338</v>
      </c>
      <c r="D285">
        <v>1</v>
      </c>
      <c r="E285" t="s">
        <v>97</v>
      </c>
      <c r="F285">
        <v>2035</v>
      </c>
      <c r="G285" t="s">
        <v>2</v>
      </c>
      <c r="H285">
        <v>36000.198974399864</v>
      </c>
      <c r="I285">
        <v>21069.40262783998</v>
      </c>
      <c r="J285">
        <v>11698.747774079973</v>
      </c>
      <c r="K285">
        <v>9560.0769924000033</v>
      </c>
      <c r="L285">
        <v>0.459605798856907</v>
      </c>
      <c r="M285">
        <v>0.26898794734696702</v>
      </c>
      <c r="N285">
        <v>0.14935507218043401</v>
      </c>
      <c r="O285">
        <v>0.12205118161569201</v>
      </c>
    </row>
    <row r="286" spans="1:15" x14ac:dyDescent="0.25">
      <c r="A286" t="s">
        <v>1</v>
      </c>
      <c r="B286" t="s">
        <v>337</v>
      </c>
      <c r="C286" t="s">
        <v>338</v>
      </c>
      <c r="D286">
        <v>1</v>
      </c>
      <c r="E286" t="s">
        <v>97</v>
      </c>
      <c r="F286">
        <v>2036</v>
      </c>
      <c r="G286" t="s">
        <v>2</v>
      </c>
      <c r="H286">
        <v>35086.654937999891</v>
      </c>
      <c r="I286">
        <v>22033.599716399964</v>
      </c>
      <c r="J286">
        <v>11637.619517519975</v>
      </c>
      <c r="K286">
        <v>9586.268984160004</v>
      </c>
      <c r="L286">
        <v>0.44785294119688202</v>
      </c>
      <c r="M286">
        <v>0.28124118573233797</v>
      </c>
      <c r="N286">
        <v>0.14854485668871401</v>
      </c>
      <c r="O286">
        <v>0.12236101638206601</v>
      </c>
    </row>
    <row r="287" spans="1:15" x14ac:dyDescent="0.25">
      <c r="A287" t="s">
        <v>1</v>
      </c>
      <c r="B287" t="s">
        <v>337</v>
      </c>
      <c r="C287" t="s">
        <v>338</v>
      </c>
      <c r="D287">
        <v>1</v>
      </c>
      <c r="E287" t="s">
        <v>97</v>
      </c>
      <c r="F287">
        <v>2037</v>
      </c>
      <c r="G287" t="s">
        <v>2</v>
      </c>
      <c r="H287">
        <v>34763.908451519899</v>
      </c>
      <c r="I287">
        <v>21454.063121759966</v>
      </c>
      <c r="J287">
        <v>11519.293247519978</v>
      </c>
      <c r="K287">
        <v>9560.0769924000033</v>
      </c>
      <c r="L287">
        <v>0.449742612566573</v>
      </c>
      <c r="M287">
        <v>0.27755240501810302</v>
      </c>
      <c r="N287">
        <v>0.149025735908979</v>
      </c>
      <c r="O287">
        <v>0.123679246506346</v>
      </c>
    </row>
    <row r="288" spans="1:15" x14ac:dyDescent="0.25">
      <c r="A288" t="s">
        <v>1</v>
      </c>
      <c r="B288" t="s">
        <v>337</v>
      </c>
      <c r="C288" t="s">
        <v>338</v>
      </c>
      <c r="D288">
        <v>1</v>
      </c>
      <c r="E288" t="s">
        <v>97</v>
      </c>
      <c r="F288">
        <v>2038</v>
      </c>
      <c r="G288" t="s">
        <v>2</v>
      </c>
      <c r="H288">
        <v>34005.48257303991</v>
      </c>
      <c r="I288">
        <v>20769.481044479991</v>
      </c>
      <c r="J288">
        <v>12364.664003759963</v>
      </c>
      <c r="K288">
        <v>9560.0769924000033</v>
      </c>
      <c r="L288">
        <v>0.443358716233893</v>
      </c>
      <c r="M288">
        <v>0.27078958320754198</v>
      </c>
      <c r="N288">
        <v>0.16120875648789201</v>
      </c>
      <c r="O288">
        <v>0.124642944070673</v>
      </c>
    </row>
    <row r="289" spans="1:15" x14ac:dyDescent="0.25">
      <c r="A289" t="s">
        <v>1</v>
      </c>
      <c r="B289" t="s">
        <v>337</v>
      </c>
      <c r="C289" t="s">
        <v>338</v>
      </c>
      <c r="D289">
        <v>1</v>
      </c>
      <c r="E289" t="s">
        <v>97</v>
      </c>
      <c r="F289">
        <v>2039</v>
      </c>
      <c r="G289" t="s">
        <v>2</v>
      </c>
      <c r="H289">
        <v>36000.198974399864</v>
      </c>
      <c r="I289">
        <v>19310.124873119988</v>
      </c>
      <c r="J289">
        <v>11330.800701599974</v>
      </c>
      <c r="K289">
        <v>9560.0769924000033</v>
      </c>
      <c r="L289">
        <v>0.47243610659845597</v>
      </c>
      <c r="M289">
        <v>0.25340971641501597</v>
      </c>
      <c r="N289">
        <v>0.14869582726233199</v>
      </c>
      <c r="O289">
        <v>0.125458349724197</v>
      </c>
    </row>
    <row r="290" spans="1:15" x14ac:dyDescent="0.25">
      <c r="A290" t="s">
        <v>1</v>
      </c>
      <c r="B290" t="s">
        <v>337</v>
      </c>
      <c r="C290" t="s">
        <v>338</v>
      </c>
      <c r="D290">
        <v>1</v>
      </c>
      <c r="E290" t="s">
        <v>97</v>
      </c>
      <c r="F290">
        <v>2040</v>
      </c>
      <c r="G290" t="s">
        <v>2</v>
      </c>
      <c r="H290">
        <v>36108.800805119863</v>
      </c>
      <c r="I290">
        <v>13979.066373600024</v>
      </c>
      <c r="J290">
        <v>16396.628930879942</v>
      </c>
      <c r="K290">
        <v>9586.268984160004</v>
      </c>
      <c r="L290">
        <v>0.47467382194216801</v>
      </c>
      <c r="M290">
        <v>0.18376397761177199</v>
      </c>
      <c r="N290">
        <v>0.215544419865773</v>
      </c>
      <c r="O290">
        <v>0.12601778058028701</v>
      </c>
    </row>
    <row r="291" spans="1:15" x14ac:dyDescent="0.25">
      <c r="A291" t="s">
        <v>1</v>
      </c>
      <c r="B291" t="s">
        <v>337</v>
      </c>
      <c r="C291" t="s">
        <v>338</v>
      </c>
      <c r="D291">
        <v>1</v>
      </c>
      <c r="E291" t="s">
        <v>97</v>
      </c>
      <c r="F291">
        <v>2041</v>
      </c>
      <c r="G291" t="s">
        <v>2</v>
      </c>
      <c r="H291">
        <v>36000.198974399864</v>
      </c>
      <c r="I291">
        <v>16498.68760608001</v>
      </c>
      <c r="J291">
        <v>13058.324676479968</v>
      </c>
      <c r="K291">
        <v>9560.0769924000033</v>
      </c>
      <c r="L291">
        <v>0.47925317611164803</v>
      </c>
      <c r="M291">
        <v>0.21963902039848501</v>
      </c>
      <c r="N291">
        <v>0.173839138510052</v>
      </c>
      <c r="O291">
        <v>0.12726866497981501</v>
      </c>
    </row>
    <row r="292" spans="1:15" x14ac:dyDescent="0.25">
      <c r="A292" t="s">
        <v>1</v>
      </c>
      <c r="B292" t="s">
        <v>337</v>
      </c>
      <c r="C292" t="s">
        <v>338</v>
      </c>
      <c r="D292">
        <v>1</v>
      </c>
      <c r="E292" t="s">
        <v>97</v>
      </c>
      <c r="F292">
        <v>2042</v>
      </c>
      <c r="G292" t="s">
        <v>2</v>
      </c>
      <c r="H292">
        <v>33590.489092799915</v>
      </c>
      <c r="I292">
        <v>17456.063711040006</v>
      </c>
      <c r="J292">
        <v>14031.582997439964</v>
      </c>
      <c r="K292">
        <v>9560.0769924000033</v>
      </c>
      <c r="L292">
        <v>0.45004412398851301</v>
      </c>
      <c r="M292">
        <v>0.23387569259319299</v>
      </c>
      <c r="N292">
        <v>0.18799462731278199</v>
      </c>
      <c r="O292">
        <v>0.12808555610551201</v>
      </c>
    </row>
    <row r="293" spans="1:15" x14ac:dyDescent="0.25">
      <c r="A293" t="s">
        <v>1</v>
      </c>
      <c r="B293" t="s">
        <v>337</v>
      </c>
      <c r="C293" t="s">
        <v>338</v>
      </c>
      <c r="D293">
        <v>1</v>
      </c>
      <c r="E293" t="s">
        <v>97</v>
      </c>
      <c r="F293">
        <v>2043</v>
      </c>
      <c r="G293" t="s">
        <v>2</v>
      </c>
      <c r="H293">
        <v>33524.430840239918</v>
      </c>
      <c r="I293">
        <v>17187.31954704001</v>
      </c>
      <c r="J293">
        <v>13996.102505279963</v>
      </c>
      <c r="K293">
        <v>9560.0769924000033</v>
      </c>
      <c r="L293">
        <v>0.45139848238895097</v>
      </c>
      <c r="M293">
        <v>0.231423167087907</v>
      </c>
      <c r="N293">
        <v>0.18845418913600701</v>
      </c>
      <c r="O293">
        <v>0.12872416138713499</v>
      </c>
    </row>
    <row r="294" spans="1:15" x14ac:dyDescent="0.25">
      <c r="A294" t="s">
        <v>1</v>
      </c>
      <c r="B294" t="s">
        <v>337</v>
      </c>
      <c r="C294" t="s">
        <v>338</v>
      </c>
      <c r="D294">
        <v>1</v>
      </c>
      <c r="E294" t="s">
        <v>97</v>
      </c>
      <c r="F294">
        <v>2044</v>
      </c>
      <c r="G294" t="s">
        <v>2</v>
      </c>
      <c r="H294">
        <v>36108.800805119863</v>
      </c>
      <c r="I294">
        <v>13536.833504640012</v>
      </c>
      <c r="J294">
        <v>15200.705782799974</v>
      </c>
      <c r="K294">
        <v>9586.268984160004</v>
      </c>
      <c r="L294">
        <v>0.485120718634241</v>
      </c>
      <c r="M294">
        <v>0.181866975678458</v>
      </c>
      <c r="N294">
        <v>0.20422105272612701</v>
      </c>
      <c r="O294">
        <v>0.128791252961174</v>
      </c>
    </row>
    <row r="295" spans="1:15" x14ac:dyDescent="0.25">
      <c r="A295" t="s">
        <v>1</v>
      </c>
      <c r="B295" t="s">
        <v>337</v>
      </c>
      <c r="C295" t="s">
        <v>338</v>
      </c>
      <c r="D295">
        <v>1</v>
      </c>
      <c r="E295" t="s">
        <v>97</v>
      </c>
      <c r="F295">
        <v>2045</v>
      </c>
      <c r="G295" t="s">
        <v>2</v>
      </c>
      <c r="H295">
        <v>36000.198974399864</v>
      </c>
      <c r="I295">
        <v>15379.543406640019</v>
      </c>
      <c r="J295">
        <v>12515.317559519966</v>
      </c>
      <c r="K295">
        <v>9560.0769924000033</v>
      </c>
      <c r="L295">
        <v>0.49009777229407497</v>
      </c>
      <c r="M295">
        <v>0.209373286182509</v>
      </c>
      <c r="N295">
        <v>0.170380426503626</v>
      </c>
      <c r="O295">
        <v>0.130148515019789</v>
      </c>
    </row>
    <row r="296" spans="1:15" x14ac:dyDescent="0.25">
      <c r="A296" t="s">
        <v>1</v>
      </c>
      <c r="B296" t="s">
        <v>337</v>
      </c>
      <c r="C296" t="s">
        <v>338</v>
      </c>
      <c r="D296">
        <v>1</v>
      </c>
      <c r="E296" t="s">
        <v>97</v>
      </c>
      <c r="F296">
        <v>2046</v>
      </c>
      <c r="G296" t="s">
        <v>2</v>
      </c>
      <c r="H296">
        <v>33380.462144879915</v>
      </c>
      <c r="I296">
        <v>21157.831389840005</v>
      </c>
      <c r="J296">
        <v>8899.0345668000027</v>
      </c>
      <c r="K296">
        <v>9544.2732967200027</v>
      </c>
      <c r="L296">
        <v>0.457381881259801</v>
      </c>
      <c r="M296">
        <v>0.28990637344866799</v>
      </c>
      <c r="N296">
        <v>0.12193531515210899</v>
      </c>
      <c r="O296">
        <v>0.130776430139421</v>
      </c>
    </row>
    <row r="297" spans="1:15" x14ac:dyDescent="0.25">
      <c r="A297" t="s">
        <v>1</v>
      </c>
      <c r="B297" t="s">
        <v>337</v>
      </c>
      <c r="C297" t="s">
        <v>338</v>
      </c>
      <c r="D297">
        <v>1</v>
      </c>
      <c r="E297" t="s">
        <v>97</v>
      </c>
      <c r="F297">
        <v>2047</v>
      </c>
      <c r="G297" t="s">
        <v>2</v>
      </c>
      <c r="H297">
        <v>36000.198974399864</v>
      </c>
      <c r="I297">
        <v>15713.409989040027</v>
      </c>
      <c r="J297">
        <v>11367.292866719992</v>
      </c>
      <c r="K297">
        <v>9560.0769924000033</v>
      </c>
      <c r="L297">
        <v>0.49559077476554297</v>
      </c>
      <c r="M297">
        <v>0.21631605525888001</v>
      </c>
      <c r="N297">
        <v>0.15648595394738399</v>
      </c>
      <c r="O297">
        <v>0.131607216028193</v>
      </c>
    </row>
    <row r="298" spans="1:15" x14ac:dyDescent="0.25">
      <c r="A298" t="s">
        <v>1</v>
      </c>
      <c r="B298" t="s">
        <v>337</v>
      </c>
      <c r="C298" t="s">
        <v>338</v>
      </c>
      <c r="D298">
        <v>1</v>
      </c>
      <c r="E298" t="s">
        <v>97</v>
      </c>
      <c r="F298">
        <v>2048</v>
      </c>
      <c r="G298" t="s">
        <v>2</v>
      </c>
      <c r="H298">
        <v>36108.800805119863</v>
      </c>
      <c r="I298">
        <v>17790.234303120003</v>
      </c>
      <c r="J298">
        <v>9124.5737315999941</v>
      </c>
      <c r="K298">
        <v>9586.268984160004</v>
      </c>
      <c r="L298">
        <v>0.497298740711897</v>
      </c>
      <c r="M298">
        <v>0.245011213849471</v>
      </c>
      <c r="N298">
        <v>0.12566573591704899</v>
      </c>
      <c r="O298">
        <v>0.13202430952158201</v>
      </c>
    </row>
    <row r="299" spans="1:15" x14ac:dyDescent="0.25">
      <c r="A299" t="s">
        <v>1</v>
      </c>
      <c r="B299" t="s">
        <v>337</v>
      </c>
      <c r="C299" t="s">
        <v>338</v>
      </c>
      <c r="D299">
        <v>1</v>
      </c>
      <c r="E299" t="s">
        <v>97</v>
      </c>
      <c r="F299">
        <v>2049</v>
      </c>
      <c r="G299" t="s">
        <v>2</v>
      </c>
      <c r="H299">
        <v>36000.198974399864</v>
      </c>
      <c r="I299">
        <v>16010.43404184003</v>
      </c>
      <c r="J299">
        <v>10122.173184719997</v>
      </c>
      <c r="K299">
        <v>9560.0769924000033</v>
      </c>
      <c r="L299">
        <v>0.50214466723712603</v>
      </c>
      <c r="M299">
        <v>0.223319712204334</v>
      </c>
      <c r="N299">
        <v>0.14118797757679699</v>
      </c>
      <c r="O299">
        <v>0.13334764298174401</v>
      </c>
    </row>
    <row r="300" spans="1:15" x14ac:dyDescent="0.25">
      <c r="A300" t="s">
        <v>1</v>
      </c>
      <c r="B300" t="s">
        <v>337</v>
      </c>
      <c r="C300" t="s">
        <v>338</v>
      </c>
      <c r="D300">
        <v>1</v>
      </c>
      <c r="E300" t="s">
        <v>97</v>
      </c>
      <c r="F300">
        <v>2050</v>
      </c>
      <c r="G300" t="s">
        <v>2</v>
      </c>
      <c r="H300">
        <v>36000.198974399864</v>
      </c>
      <c r="I300">
        <v>15861.337746480025</v>
      </c>
      <c r="J300">
        <v>6456.9487809599914</v>
      </c>
      <c r="K300">
        <v>9560.0769924000033</v>
      </c>
      <c r="L300">
        <v>0.53036183518846303</v>
      </c>
      <c r="M300">
        <v>0.233672269471323</v>
      </c>
      <c r="N300">
        <v>9.5125007715181398E-2</v>
      </c>
      <c r="O300">
        <v>0.140840887625033</v>
      </c>
    </row>
    <row r="301" spans="1:15" x14ac:dyDescent="0.25">
      <c r="A301" t="s">
        <v>1</v>
      </c>
      <c r="B301" t="s">
        <v>337</v>
      </c>
      <c r="C301" t="s">
        <v>338</v>
      </c>
      <c r="D301">
        <v>1</v>
      </c>
      <c r="E301" t="s">
        <v>97</v>
      </c>
      <c r="F301">
        <v>2051</v>
      </c>
      <c r="G301" t="s">
        <v>2</v>
      </c>
      <c r="H301">
        <v>36000.198974399864</v>
      </c>
      <c r="I301">
        <v>17490.373687680018</v>
      </c>
      <c r="J301">
        <v>6129.1323506399922</v>
      </c>
      <c r="K301">
        <v>9560.0769924000033</v>
      </c>
      <c r="L301">
        <v>0.52038612916900395</v>
      </c>
      <c r="M301">
        <v>0.25282493209339102</v>
      </c>
      <c r="N301">
        <v>8.85971619596371E-2</v>
      </c>
      <c r="O301">
        <v>0.13819177677796801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152E1-B199-4134-B528-A83C4C3000D2}">
  <sheetPr>
    <tabColor theme="7"/>
  </sheetPr>
  <dimension ref="A1:J301"/>
  <sheetViews>
    <sheetView topLeftCell="A100" workbookViewId="0">
      <selection activeCell="J168" sqref="J168"/>
    </sheetView>
  </sheetViews>
  <sheetFormatPr defaultRowHeight="15" x14ac:dyDescent="0.25"/>
  <cols>
    <col min="1" max="1" width="12.5703125" bestFit="1" customWidth="1"/>
    <col min="2" max="2" width="12" bestFit="1" customWidth="1"/>
    <col min="3" max="3" width="8.7109375" bestFit="1" customWidth="1"/>
    <col min="4" max="4" width="5.42578125" bestFit="1" customWidth="1"/>
    <col min="5" max="5" width="10" bestFit="1" customWidth="1"/>
    <col min="6" max="6" width="10.28515625" bestFit="1" customWidth="1"/>
    <col min="7" max="7" width="5.5703125" bestFit="1" customWidth="1"/>
    <col min="8" max="8" width="15.5703125" bestFit="1" customWidth="1"/>
    <col min="9" max="9" width="16.5703125" bestFit="1" customWidth="1"/>
    <col min="10" max="10" width="11.5703125" bestFit="1" customWidth="1"/>
  </cols>
  <sheetData>
    <row r="1" spans="1:10" x14ac:dyDescent="0.25">
      <c r="A1" t="s">
        <v>43</v>
      </c>
      <c r="B1" t="s">
        <v>44</v>
      </c>
      <c r="C1" t="s">
        <v>45</v>
      </c>
      <c r="D1" t="s">
        <v>46</v>
      </c>
      <c r="E1" t="s">
        <v>47</v>
      </c>
      <c r="F1" t="s">
        <v>0</v>
      </c>
      <c r="G1" t="s">
        <v>48</v>
      </c>
      <c r="H1" t="s">
        <v>341</v>
      </c>
      <c r="I1" t="s">
        <v>344</v>
      </c>
      <c r="J1" t="s">
        <v>349</v>
      </c>
    </row>
    <row r="2" spans="1:10" x14ac:dyDescent="0.25">
      <c r="A2" t="s">
        <v>1</v>
      </c>
      <c r="B2" t="s">
        <v>348</v>
      </c>
      <c r="C2" t="s">
        <v>350</v>
      </c>
      <c r="D2">
        <v>1</v>
      </c>
      <c r="E2" t="s">
        <v>61</v>
      </c>
      <c r="F2">
        <v>2022</v>
      </c>
      <c r="G2" t="s">
        <v>2</v>
      </c>
      <c r="H2" s="2">
        <v>26355.444418800002</v>
      </c>
      <c r="I2" s="3">
        <v>866.97181727999998</v>
      </c>
      <c r="J2" s="1">
        <v>3.1847717328300003E-2</v>
      </c>
    </row>
    <row r="3" spans="1:10" x14ac:dyDescent="0.25">
      <c r="A3" t="s">
        <v>1</v>
      </c>
      <c r="B3" t="s">
        <v>348</v>
      </c>
      <c r="C3" t="s">
        <v>350</v>
      </c>
      <c r="D3">
        <v>1</v>
      </c>
      <c r="E3" t="s">
        <v>61</v>
      </c>
      <c r="F3">
        <v>2023</v>
      </c>
      <c r="G3" t="s">
        <v>2</v>
      </c>
      <c r="H3" s="2">
        <v>34269.288080159997</v>
      </c>
      <c r="I3" s="2">
        <v>1154.9077127999999</v>
      </c>
      <c r="J3" s="1">
        <v>3.2602228136665697E-2</v>
      </c>
    </row>
    <row r="4" spans="1:10" x14ac:dyDescent="0.25">
      <c r="A4" t="s">
        <v>1</v>
      </c>
      <c r="B4" t="s">
        <v>348</v>
      </c>
      <c r="C4" t="s">
        <v>350</v>
      </c>
      <c r="D4">
        <v>1</v>
      </c>
      <c r="E4" t="s">
        <v>61</v>
      </c>
      <c r="F4">
        <v>2024</v>
      </c>
      <c r="G4" t="s">
        <v>2</v>
      </c>
      <c r="H4" s="2">
        <v>33569.971157040003</v>
      </c>
      <c r="I4" s="2">
        <v>1158.0718435199999</v>
      </c>
      <c r="J4" s="1">
        <v>3.3346878875418297E-2</v>
      </c>
    </row>
    <row r="5" spans="1:10" x14ac:dyDescent="0.25">
      <c r="A5" t="s">
        <v>1</v>
      </c>
      <c r="B5" t="s">
        <v>348</v>
      </c>
      <c r="C5" t="s">
        <v>350</v>
      </c>
      <c r="D5">
        <v>1</v>
      </c>
      <c r="E5" t="s">
        <v>61</v>
      </c>
      <c r="F5">
        <v>2025</v>
      </c>
      <c r="G5" t="s">
        <v>2</v>
      </c>
      <c r="H5" s="2">
        <v>34269.288080159997</v>
      </c>
      <c r="I5" s="2">
        <v>1154.9077127999999</v>
      </c>
      <c r="J5" s="1">
        <v>3.2602228136665697E-2</v>
      </c>
    </row>
    <row r="6" spans="1:10" x14ac:dyDescent="0.25">
      <c r="A6" t="s">
        <v>1</v>
      </c>
      <c r="B6" t="s">
        <v>348</v>
      </c>
      <c r="C6" t="s">
        <v>350</v>
      </c>
      <c r="D6">
        <v>1</v>
      </c>
      <c r="E6" t="s">
        <v>61</v>
      </c>
      <c r="F6">
        <v>2026</v>
      </c>
      <c r="G6" t="s">
        <v>2</v>
      </c>
      <c r="H6" s="2">
        <v>34269.288080159997</v>
      </c>
      <c r="I6" s="2">
        <v>1154.9077127999999</v>
      </c>
      <c r="J6" s="1">
        <v>3.2602228136665697E-2</v>
      </c>
    </row>
    <row r="7" spans="1:10" x14ac:dyDescent="0.25">
      <c r="A7" t="s">
        <v>1</v>
      </c>
      <c r="B7" t="s">
        <v>348</v>
      </c>
      <c r="C7" t="s">
        <v>350</v>
      </c>
      <c r="D7">
        <v>1</v>
      </c>
      <c r="E7" t="s">
        <v>61</v>
      </c>
      <c r="F7">
        <v>2027</v>
      </c>
      <c r="G7" t="s">
        <v>2</v>
      </c>
      <c r="H7" s="2">
        <v>34269.288080159997</v>
      </c>
      <c r="I7" s="2">
        <v>1154.9077127999999</v>
      </c>
      <c r="J7" s="1">
        <v>3.2602228136665697E-2</v>
      </c>
    </row>
    <row r="8" spans="1:10" x14ac:dyDescent="0.25">
      <c r="A8" t="s">
        <v>1</v>
      </c>
      <c r="B8" t="s">
        <v>348</v>
      </c>
      <c r="C8" t="s">
        <v>350</v>
      </c>
      <c r="D8">
        <v>1</v>
      </c>
      <c r="E8" t="s">
        <v>61</v>
      </c>
      <c r="F8">
        <v>2028</v>
      </c>
      <c r="G8" t="s">
        <v>2</v>
      </c>
      <c r="H8" s="2">
        <v>34372.988150880003</v>
      </c>
      <c r="I8" s="2">
        <v>1158.0718435199999</v>
      </c>
      <c r="J8" s="1">
        <v>3.2593225299287903E-2</v>
      </c>
    </row>
    <row r="9" spans="1:10" x14ac:dyDescent="0.25">
      <c r="A9" t="s">
        <v>1</v>
      </c>
      <c r="B9" t="s">
        <v>348</v>
      </c>
      <c r="C9" t="s">
        <v>350</v>
      </c>
      <c r="D9">
        <v>1</v>
      </c>
      <c r="E9" t="s">
        <v>61</v>
      </c>
      <c r="F9">
        <v>2029</v>
      </c>
      <c r="G9" t="s">
        <v>2</v>
      </c>
      <c r="H9" s="2">
        <v>33050.052017039998</v>
      </c>
      <c r="I9" s="2">
        <v>1154.9077127999999</v>
      </c>
      <c r="J9" s="1">
        <v>3.3764334819329299E-2</v>
      </c>
    </row>
    <row r="10" spans="1:10" x14ac:dyDescent="0.25">
      <c r="A10" t="s">
        <v>1</v>
      </c>
      <c r="B10" t="s">
        <v>348</v>
      </c>
      <c r="C10" t="s">
        <v>350</v>
      </c>
      <c r="D10">
        <v>1</v>
      </c>
      <c r="E10" t="s">
        <v>61</v>
      </c>
      <c r="F10">
        <v>2030</v>
      </c>
      <c r="G10" t="s">
        <v>2</v>
      </c>
      <c r="H10" s="2">
        <v>32967.155161199997</v>
      </c>
      <c r="I10" s="2">
        <v>1154.9077127999999</v>
      </c>
      <c r="J10" s="1">
        <v>3.3846362603123903E-2</v>
      </c>
    </row>
    <row r="11" spans="1:10" x14ac:dyDescent="0.25">
      <c r="A11" t="s">
        <v>1</v>
      </c>
      <c r="B11" t="s">
        <v>348</v>
      </c>
      <c r="C11" t="s">
        <v>350</v>
      </c>
      <c r="D11">
        <v>1</v>
      </c>
      <c r="E11" t="s">
        <v>61</v>
      </c>
      <c r="F11">
        <v>2031</v>
      </c>
      <c r="G11" t="s">
        <v>2</v>
      </c>
      <c r="H11" s="2">
        <v>34177.19819784</v>
      </c>
      <c r="I11" s="2">
        <v>1154.9077127999999</v>
      </c>
      <c r="J11" s="1">
        <v>3.2687202843807897E-2</v>
      </c>
    </row>
    <row r="12" spans="1:10" x14ac:dyDescent="0.25">
      <c r="A12" t="s">
        <v>1</v>
      </c>
      <c r="B12" t="s">
        <v>348</v>
      </c>
      <c r="C12" t="s">
        <v>350</v>
      </c>
      <c r="D12">
        <v>1</v>
      </c>
      <c r="E12" t="s">
        <v>61</v>
      </c>
      <c r="F12">
        <v>2032</v>
      </c>
      <c r="G12" t="s">
        <v>2</v>
      </c>
      <c r="H12" s="2">
        <v>34372.988150880003</v>
      </c>
      <c r="I12" s="2">
        <v>1158.0718435199999</v>
      </c>
      <c r="J12" s="1">
        <v>3.2593225299287903E-2</v>
      </c>
    </row>
    <row r="13" spans="1:10" x14ac:dyDescent="0.25">
      <c r="A13" t="s">
        <v>1</v>
      </c>
      <c r="B13" t="s">
        <v>348</v>
      </c>
      <c r="C13" t="s">
        <v>350</v>
      </c>
      <c r="D13">
        <v>1</v>
      </c>
      <c r="E13" t="s">
        <v>61</v>
      </c>
      <c r="F13">
        <v>2033</v>
      </c>
      <c r="G13" t="s">
        <v>2</v>
      </c>
      <c r="H13" s="2">
        <v>34178.031582479998</v>
      </c>
      <c r="I13" s="2">
        <v>1154.9077127999999</v>
      </c>
      <c r="J13" s="1">
        <v>3.2686431863150303E-2</v>
      </c>
    </row>
    <row r="14" spans="1:10" x14ac:dyDescent="0.25">
      <c r="A14" t="s">
        <v>1</v>
      </c>
      <c r="B14" t="s">
        <v>348</v>
      </c>
      <c r="C14" t="s">
        <v>350</v>
      </c>
      <c r="D14">
        <v>1</v>
      </c>
      <c r="E14" t="s">
        <v>61</v>
      </c>
      <c r="F14">
        <v>2034</v>
      </c>
      <c r="G14" t="s">
        <v>2</v>
      </c>
      <c r="H14" s="2">
        <v>34111.696676879998</v>
      </c>
      <c r="I14" s="2">
        <v>1154.9077127999999</v>
      </c>
      <c r="J14" s="1">
        <v>3.2747913579622999E-2</v>
      </c>
    </row>
    <row r="15" spans="1:10" x14ac:dyDescent="0.25">
      <c r="A15" t="s">
        <v>1</v>
      </c>
      <c r="B15" t="s">
        <v>348</v>
      </c>
      <c r="C15" t="s">
        <v>350</v>
      </c>
      <c r="D15">
        <v>1</v>
      </c>
      <c r="E15" t="s">
        <v>61</v>
      </c>
      <c r="F15">
        <v>2035</v>
      </c>
      <c r="G15" t="s">
        <v>2</v>
      </c>
      <c r="H15" s="2">
        <v>34269.288080159997</v>
      </c>
      <c r="I15" s="2">
        <v>1154.9077127999999</v>
      </c>
      <c r="J15" s="1">
        <v>3.2602228136665697E-2</v>
      </c>
    </row>
    <row r="16" spans="1:10" x14ac:dyDescent="0.25">
      <c r="A16" t="s">
        <v>1</v>
      </c>
      <c r="B16" t="s">
        <v>348</v>
      </c>
      <c r="C16" t="s">
        <v>350</v>
      </c>
      <c r="D16">
        <v>1</v>
      </c>
      <c r="E16" t="s">
        <v>61</v>
      </c>
      <c r="F16">
        <v>2036</v>
      </c>
      <c r="G16" t="s">
        <v>2</v>
      </c>
      <c r="H16" s="2">
        <v>34372.988150880003</v>
      </c>
      <c r="I16" s="2">
        <v>1158.0718435199999</v>
      </c>
      <c r="J16" s="1">
        <v>3.2593225299287903E-2</v>
      </c>
    </row>
    <row r="17" spans="1:10" x14ac:dyDescent="0.25">
      <c r="A17" t="s">
        <v>1</v>
      </c>
      <c r="B17" t="s">
        <v>348</v>
      </c>
      <c r="C17" t="s">
        <v>350</v>
      </c>
      <c r="D17">
        <v>1</v>
      </c>
      <c r="E17" t="s">
        <v>61</v>
      </c>
      <c r="F17">
        <v>2037</v>
      </c>
      <c r="G17" t="s">
        <v>2</v>
      </c>
      <c r="H17" s="2">
        <v>34119.496169520004</v>
      </c>
      <c r="I17" s="2">
        <v>1154.9077127999999</v>
      </c>
      <c r="J17" s="1">
        <v>3.2740672717047697E-2</v>
      </c>
    </row>
    <row r="18" spans="1:10" x14ac:dyDescent="0.25">
      <c r="A18" t="s">
        <v>1</v>
      </c>
      <c r="B18" t="s">
        <v>348</v>
      </c>
      <c r="C18" t="s">
        <v>350</v>
      </c>
      <c r="D18">
        <v>1</v>
      </c>
      <c r="E18" t="s">
        <v>61</v>
      </c>
      <c r="F18">
        <v>2038</v>
      </c>
      <c r="G18" t="s">
        <v>2</v>
      </c>
      <c r="H18" s="2">
        <v>31969.418330640001</v>
      </c>
      <c r="I18" s="2">
        <v>1154.9077127999999</v>
      </c>
      <c r="J18" s="1">
        <v>3.4865847875226903E-2</v>
      </c>
    </row>
    <row r="19" spans="1:10" x14ac:dyDescent="0.25">
      <c r="A19" t="s">
        <v>1</v>
      </c>
      <c r="B19" t="s">
        <v>348</v>
      </c>
      <c r="C19" t="s">
        <v>350</v>
      </c>
      <c r="D19">
        <v>1</v>
      </c>
      <c r="E19" t="s">
        <v>61</v>
      </c>
      <c r="F19">
        <v>2039</v>
      </c>
      <c r="G19" t="s">
        <v>2</v>
      </c>
      <c r="H19" s="2">
        <v>34269.288080159997</v>
      </c>
      <c r="I19" s="2">
        <v>1154.9077127999999</v>
      </c>
      <c r="J19" s="1">
        <v>3.2602228136665697E-2</v>
      </c>
    </row>
    <row r="20" spans="1:10" x14ac:dyDescent="0.25">
      <c r="A20" t="s">
        <v>1</v>
      </c>
      <c r="B20" t="s">
        <v>348</v>
      </c>
      <c r="C20" t="s">
        <v>350</v>
      </c>
      <c r="D20">
        <v>1</v>
      </c>
      <c r="E20" t="s">
        <v>61</v>
      </c>
      <c r="F20">
        <v>2040</v>
      </c>
      <c r="G20" t="s">
        <v>2</v>
      </c>
      <c r="H20" s="2">
        <v>34372.988150880003</v>
      </c>
      <c r="I20" s="2">
        <v>1158.0718435199999</v>
      </c>
      <c r="J20" s="1">
        <v>3.2593225299287903E-2</v>
      </c>
    </row>
    <row r="21" spans="1:10" x14ac:dyDescent="0.25">
      <c r="A21" t="s">
        <v>1</v>
      </c>
      <c r="B21" t="s">
        <v>348</v>
      </c>
      <c r="C21" t="s">
        <v>350</v>
      </c>
      <c r="D21">
        <v>1</v>
      </c>
      <c r="E21" t="s">
        <v>61</v>
      </c>
      <c r="F21">
        <v>2041</v>
      </c>
      <c r="G21" t="s">
        <v>2</v>
      </c>
      <c r="H21" s="2">
        <v>34269.288080159997</v>
      </c>
      <c r="I21" s="2">
        <v>1154.9077127999999</v>
      </c>
      <c r="J21" s="1">
        <v>3.2602228136665697E-2</v>
      </c>
    </row>
    <row r="22" spans="1:10" x14ac:dyDescent="0.25">
      <c r="A22" t="s">
        <v>1</v>
      </c>
      <c r="B22" t="s">
        <v>348</v>
      </c>
      <c r="C22" t="s">
        <v>350</v>
      </c>
      <c r="D22">
        <v>1</v>
      </c>
      <c r="E22" t="s">
        <v>61</v>
      </c>
      <c r="F22">
        <v>2042</v>
      </c>
      <c r="G22" t="s">
        <v>2</v>
      </c>
      <c r="H22" s="2">
        <v>31998.813612239999</v>
      </c>
      <c r="I22" s="2">
        <v>1154.9077127999999</v>
      </c>
      <c r="J22" s="1">
        <v>3.4834934560656103E-2</v>
      </c>
    </row>
    <row r="23" spans="1:10" x14ac:dyDescent="0.25">
      <c r="A23" t="s">
        <v>1</v>
      </c>
      <c r="B23" t="s">
        <v>348</v>
      </c>
      <c r="C23" t="s">
        <v>350</v>
      </c>
      <c r="D23">
        <v>1</v>
      </c>
      <c r="E23" t="s">
        <v>61</v>
      </c>
      <c r="F23">
        <v>2043</v>
      </c>
      <c r="G23" t="s">
        <v>2</v>
      </c>
      <c r="H23" s="2">
        <v>32006.022947040001</v>
      </c>
      <c r="I23" s="2">
        <v>1154.9077127999999</v>
      </c>
      <c r="J23" s="1">
        <v>3.4827361289912803E-2</v>
      </c>
    </row>
    <row r="24" spans="1:10" x14ac:dyDescent="0.25">
      <c r="A24" t="s">
        <v>1</v>
      </c>
      <c r="B24" t="s">
        <v>348</v>
      </c>
      <c r="C24" t="s">
        <v>350</v>
      </c>
      <c r="D24">
        <v>1</v>
      </c>
      <c r="E24" t="s">
        <v>61</v>
      </c>
      <c r="F24">
        <v>2044</v>
      </c>
      <c r="G24" t="s">
        <v>2</v>
      </c>
      <c r="H24" s="2">
        <v>34372.988150880003</v>
      </c>
      <c r="I24" s="2">
        <v>1158.0718435199999</v>
      </c>
      <c r="J24" s="1">
        <v>3.2593225299287903E-2</v>
      </c>
    </row>
    <row r="25" spans="1:10" x14ac:dyDescent="0.25">
      <c r="A25" t="s">
        <v>1</v>
      </c>
      <c r="B25" t="s">
        <v>348</v>
      </c>
      <c r="C25" t="s">
        <v>350</v>
      </c>
      <c r="D25">
        <v>1</v>
      </c>
      <c r="E25" t="s">
        <v>61</v>
      </c>
      <c r="F25">
        <v>2045</v>
      </c>
      <c r="G25" t="s">
        <v>2</v>
      </c>
      <c r="H25" s="2">
        <v>34269.288080159997</v>
      </c>
      <c r="I25" s="2">
        <v>1154.9077127999999</v>
      </c>
      <c r="J25" s="1">
        <v>3.2602228136665697E-2</v>
      </c>
    </row>
    <row r="26" spans="1:10" x14ac:dyDescent="0.25">
      <c r="A26" t="s">
        <v>1</v>
      </c>
      <c r="B26" t="s">
        <v>348</v>
      </c>
      <c r="C26" t="s">
        <v>350</v>
      </c>
      <c r="D26">
        <v>1</v>
      </c>
      <c r="E26" t="s">
        <v>61</v>
      </c>
      <c r="F26">
        <v>2046</v>
      </c>
      <c r="G26" t="s">
        <v>2</v>
      </c>
      <c r="H26" s="2">
        <v>32027.103216480002</v>
      </c>
      <c r="I26" s="2">
        <v>1154.9077127999999</v>
      </c>
      <c r="J26" s="1">
        <v>3.4805235742385303E-2</v>
      </c>
    </row>
    <row r="27" spans="1:10" x14ac:dyDescent="0.25">
      <c r="A27" t="s">
        <v>1</v>
      </c>
      <c r="B27" t="s">
        <v>348</v>
      </c>
      <c r="C27" t="s">
        <v>350</v>
      </c>
      <c r="D27">
        <v>1</v>
      </c>
      <c r="E27" t="s">
        <v>61</v>
      </c>
      <c r="F27">
        <v>2047</v>
      </c>
      <c r="G27" t="s">
        <v>2</v>
      </c>
      <c r="H27" s="2">
        <v>34269.288080159997</v>
      </c>
      <c r="I27" s="2">
        <v>1154.9077127999999</v>
      </c>
      <c r="J27" s="1">
        <v>3.2602228136665697E-2</v>
      </c>
    </row>
    <row r="28" spans="1:10" x14ac:dyDescent="0.25">
      <c r="A28" t="s">
        <v>1</v>
      </c>
      <c r="B28" t="s">
        <v>348</v>
      </c>
      <c r="C28" t="s">
        <v>350</v>
      </c>
      <c r="D28">
        <v>1</v>
      </c>
      <c r="E28" t="s">
        <v>61</v>
      </c>
      <c r="F28">
        <v>2048</v>
      </c>
      <c r="G28" t="s">
        <v>2</v>
      </c>
      <c r="H28" s="2">
        <v>34372.988150880003</v>
      </c>
      <c r="I28" s="2">
        <v>1158.0718435199999</v>
      </c>
      <c r="J28" s="1">
        <v>3.2593225299287903E-2</v>
      </c>
    </row>
    <row r="29" spans="1:10" x14ac:dyDescent="0.25">
      <c r="A29" t="s">
        <v>1</v>
      </c>
      <c r="B29" t="s">
        <v>348</v>
      </c>
      <c r="C29" t="s">
        <v>350</v>
      </c>
      <c r="D29">
        <v>1</v>
      </c>
      <c r="E29" t="s">
        <v>61</v>
      </c>
      <c r="F29">
        <v>2049</v>
      </c>
      <c r="G29" t="s">
        <v>2</v>
      </c>
      <c r="H29" s="2">
        <v>34269.288080159997</v>
      </c>
      <c r="I29" s="2">
        <v>1154.9077127999999</v>
      </c>
      <c r="J29" s="1">
        <v>3.2602228136665697E-2</v>
      </c>
    </row>
    <row r="30" spans="1:10" x14ac:dyDescent="0.25">
      <c r="A30" t="s">
        <v>1</v>
      </c>
      <c r="B30" t="s">
        <v>348</v>
      </c>
      <c r="C30" t="s">
        <v>350</v>
      </c>
      <c r="D30">
        <v>1</v>
      </c>
      <c r="E30" t="s">
        <v>61</v>
      </c>
      <c r="F30">
        <v>2050</v>
      </c>
      <c r="G30" t="s">
        <v>2</v>
      </c>
      <c r="H30" s="2">
        <v>34269.288080159997</v>
      </c>
      <c r="I30" s="2">
        <v>1154.9077127999999</v>
      </c>
      <c r="J30" s="1">
        <v>3.2602228136665697E-2</v>
      </c>
    </row>
    <row r="31" spans="1:10" x14ac:dyDescent="0.25">
      <c r="A31" t="s">
        <v>1</v>
      </c>
      <c r="B31" t="s">
        <v>348</v>
      </c>
      <c r="C31" t="s">
        <v>350</v>
      </c>
      <c r="D31">
        <v>1</v>
      </c>
      <c r="E31" t="s">
        <v>61</v>
      </c>
      <c r="F31">
        <v>2051</v>
      </c>
      <c r="G31" t="s">
        <v>2</v>
      </c>
      <c r="H31" s="2">
        <v>34269.288080159997</v>
      </c>
      <c r="I31" s="2">
        <v>1154.9077127999999</v>
      </c>
      <c r="J31" s="1">
        <v>3.2602228136665697E-2</v>
      </c>
    </row>
    <row r="32" spans="1:10" x14ac:dyDescent="0.25">
      <c r="A32" t="s">
        <v>1</v>
      </c>
      <c r="B32" t="s">
        <v>348</v>
      </c>
      <c r="C32" t="s">
        <v>350</v>
      </c>
      <c r="D32">
        <v>1</v>
      </c>
      <c r="E32" t="s">
        <v>62</v>
      </c>
      <c r="F32">
        <v>2022</v>
      </c>
      <c r="G32" t="s">
        <v>2</v>
      </c>
      <c r="H32">
        <v>26355.444418799998</v>
      </c>
      <c r="I32">
        <v>866.97181728000066</v>
      </c>
      <c r="J32">
        <v>3.1847717328300003E-2</v>
      </c>
    </row>
    <row r="33" spans="1:10" x14ac:dyDescent="0.25">
      <c r="A33" t="s">
        <v>1</v>
      </c>
      <c r="B33" t="s">
        <v>348</v>
      </c>
      <c r="C33" t="s">
        <v>350</v>
      </c>
      <c r="D33">
        <v>1</v>
      </c>
      <c r="E33" t="s">
        <v>62</v>
      </c>
      <c r="F33">
        <v>2023</v>
      </c>
      <c r="G33" t="s">
        <v>2</v>
      </c>
      <c r="H33">
        <v>34269.288080160157</v>
      </c>
      <c r="I33">
        <v>1154.9077128000008</v>
      </c>
      <c r="J33">
        <v>3.2602228136665697E-2</v>
      </c>
    </row>
    <row r="34" spans="1:10" x14ac:dyDescent="0.25">
      <c r="A34" t="s">
        <v>1</v>
      </c>
      <c r="B34" t="s">
        <v>348</v>
      </c>
      <c r="C34" t="s">
        <v>350</v>
      </c>
      <c r="D34">
        <v>1</v>
      </c>
      <c r="E34" t="s">
        <v>62</v>
      </c>
      <c r="F34">
        <v>2024</v>
      </c>
      <c r="G34" t="s">
        <v>2</v>
      </c>
      <c r="H34">
        <v>33589.318719840143</v>
      </c>
      <c r="I34">
        <v>1158.0718435200008</v>
      </c>
      <c r="J34">
        <v>3.3328311126221498E-2</v>
      </c>
    </row>
    <row r="35" spans="1:10" x14ac:dyDescent="0.25">
      <c r="A35" t="s">
        <v>1</v>
      </c>
      <c r="B35" t="s">
        <v>348</v>
      </c>
      <c r="C35" t="s">
        <v>350</v>
      </c>
      <c r="D35">
        <v>1</v>
      </c>
      <c r="E35" t="s">
        <v>62</v>
      </c>
      <c r="F35">
        <v>2025</v>
      </c>
      <c r="G35" t="s">
        <v>2</v>
      </c>
      <c r="H35">
        <v>34269.288080160157</v>
      </c>
      <c r="I35">
        <v>1154.9077128000008</v>
      </c>
      <c r="J35">
        <v>3.2602228136665697E-2</v>
      </c>
    </row>
    <row r="36" spans="1:10" x14ac:dyDescent="0.25">
      <c r="A36" t="s">
        <v>1</v>
      </c>
      <c r="B36" t="s">
        <v>348</v>
      </c>
      <c r="C36" t="s">
        <v>350</v>
      </c>
      <c r="D36">
        <v>1</v>
      </c>
      <c r="E36" t="s">
        <v>62</v>
      </c>
      <c r="F36">
        <v>2026</v>
      </c>
      <c r="G36" t="s">
        <v>2</v>
      </c>
      <c r="H36">
        <v>34269.288080160157</v>
      </c>
      <c r="I36">
        <v>1154.9077128000008</v>
      </c>
      <c r="J36">
        <v>3.2602228136665697E-2</v>
      </c>
    </row>
    <row r="37" spans="1:10" x14ac:dyDescent="0.25">
      <c r="A37" t="s">
        <v>1</v>
      </c>
      <c r="B37" t="s">
        <v>348</v>
      </c>
      <c r="C37" t="s">
        <v>350</v>
      </c>
      <c r="D37">
        <v>1</v>
      </c>
      <c r="E37" t="s">
        <v>62</v>
      </c>
      <c r="F37">
        <v>2027</v>
      </c>
      <c r="G37" t="s">
        <v>2</v>
      </c>
      <c r="H37">
        <v>34269.288080160157</v>
      </c>
      <c r="I37">
        <v>1154.9077128000008</v>
      </c>
      <c r="J37">
        <v>3.2602228136665697E-2</v>
      </c>
    </row>
    <row r="38" spans="1:10" x14ac:dyDescent="0.25">
      <c r="A38" t="s">
        <v>1</v>
      </c>
      <c r="B38" t="s">
        <v>348</v>
      </c>
      <c r="C38" t="s">
        <v>350</v>
      </c>
      <c r="D38">
        <v>1</v>
      </c>
      <c r="E38" t="s">
        <v>62</v>
      </c>
      <c r="F38">
        <v>2028</v>
      </c>
      <c r="G38" t="s">
        <v>2</v>
      </c>
      <c r="H38">
        <v>34269.064861920153</v>
      </c>
      <c r="I38">
        <v>1158.0718435200008</v>
      </c>
      <c r="J38">
        <v>3.2688835486446903E-2</v>
      </c>
    </row>
    <row r="39" spans="1:10" x14ac:dyDescent="0.25">
      <c r="A39" t="s">
        <v>1</v>
      </c>
      <c r="B39" t="s">
        <v>348</v>
      </c>
      <c r="C39" t="s">
        <v>350</v>
      </c>
      <c r="D39">
        <v>1</v>
      </c>
      <c r="E39" t="s">
        <v>62</v>
      </c>
      <c r="F39">
        <v>2029</v>
      </c>
      <c r="G39" t="s">
        <v>2</v>
      </c>
      <c r="H39">
        <v>33119.840441760127</v>
      </c>
      <c r="I39">
        <v>1154.9077128000008</v>
      </c>
      <c r="J39">
        <v>3.36955856711771E-2</v>
      </c>
    </row>
    <row r="40" spans="1:10" x14ac:dyDescent="0.25">
      <c r="A40" t="s">
        <v>1</v>
      </c>
      <c r="B40" t="s">
        <v>348</v>
      </c>
      <c r="C40" t="s">
        <v>350</v>
      </c>
      <c r="D40">
        <v>1</v>
      </c>
      <c r="E40" t="s">
        <v>62</v>
      </c>
      <c r="F40">
        <v>2030</v>
      </c>
      <c r="G40" t="s">
        <v>2</v>
      </c>
      <c r="H40">
        <v>33004.845009600125</v>
      </c>
      <c r="I40">
        <v>1154.9077128000008</v>
      </c>
      <c r="J40">
        <v>3.38090185308242E-2</v>
      </c>
    </row>
    <row r="41" spans="1:10" x14ac:dyDescent="0.25">
      <c r="A41" t="s">
        <v>1</v>
      </c>
      <c r="B41" t="s">
        <v>348</v>
      </c>
      <c r="C41" t="s">
        <v>350</v>
      </c>
      <c r="D41">
        <v>1</v>
      </c>
      <c r="E41" t="s">
        <v>62</v>
      </c>
      <c r="F41">
        <v>2031</v>
      </c>
      <c r="G41" t="s">
        <v>2</v>
      </c>
      <c r="H41">
        <v>33429.939476160136</v>
      </c>
      <c r="I41">
        <v>1154.9077128000008</v>
      </c>
      <c r="J41">
        <v>3.3393460045954997E-2</v>
      </c>
    </row>
    <row r="42" spans="1:10" x14ac:dyDescent="0.25">
      <c r="A42" t="s">
        <v>1</v>
      </c>
      <c r="B42" t="s">
        <v>348</v>
      </c>
      <c r="C42" t="s">
        <v>350</v>
      </c>
      <c r="D42">
        <v>1</v>
      </c>
      <c r="E42" t="s">
        <v>62</v>
      </c>
      <c r="F42">
        <v>2032</v>
      </c>
      <c r="G42" t="s">
        <v>2</v>
      </c>
      <c r="H42">
        <v>34372.988150880163</v>
      </c>
      <c r="I42">
        <v>1158.0718435200008</v>
      </c>
      <c r="J42">
        <v>3.2593225299287903E-2</v>
      </c>
    </row>
    <row r="43" spans="1:10" x14ac:dyDescent="0.25">
      <c r="A43" t="s">
        <v>1</v>
      </c>
      <c r="B43" t="s">
        <v>348</v>
      </c>
      <c r="C43" t="s">
        <v>350</v>
      </c>
      <c r="D43">
        <v>1</v>
      </c>
      <c r="E43" t="s">
        <v>62</v>
      </c>
      <c r="F43">
        <v>2033</v>
      </c>
      <c r="G43" t="s">
        <v>2</v>
      </c>
      <c r="H43">
        <v>33317.917013760132</v>
      </c>
      <c r="I43">
        <v>1154.9077128000008</v>
      </c>
      <c r="J43">
        <v>3.3501975018315901E-2</v>
      </c>
    </row>
    <row r="44" spans="1:10" x14ac:dyDescent="0.25">
      <c r="A44" t="s">
        <v>1</v>
      </c>
      <c r="B44" t="s">
        <v>348</v>
      </c>
      <c r="C44" t="s">
        <v>350</v>
      </c>
      <c r="D44">
        <v>1</v>
      </c>
      <c r="E44" t="s">
        <v>62</v>
      </c>
      <c r="F44">
        <v>2034</v>
      </c>
      <c r="G44" t="s">
        <v>2</v>
      </c>
      <c r="H44">
        <v>33133.482255600131</v>
      </c>
      <c r="I44">
        <v>1154.9077128000008</v>
      </c>
      <c r="J44">
        <v>3.3682179707602199E-2</v>
      </c>
    </row>
    <row r="45" spans="1:10" x14ac:dyDescent="0.25">
      <c r="A45" t="s">
        <v>1</v>
      </c>
      <c r="B45" t="s">
        <v>348</v>
      </c>
      <c r="C45" t="s">
        <v>350</v>
      </c>
      <c r="D45">
        <v>1</v>
      </c>
      <c r="E45" t="s">
        <v>62</v>
      </c>
      <c r="F45">
        <v>2035</v>
      </c>
      <c r="G45" t="s">
        <v>2</v>
      </c>
      <c r="H45">
        <v>34269.288080160157</v>
      </c>
      <c r="I45">
        <v>1154.9077128000008</v>
      </c>
      <c r="J45">
        <v>3.2602228136665697E-2</v>
      </c>
    </row>
    <row r="46" spans="1:10" x14ac:dyDescent="0.25">
      <c r="A46" t="s">
        <v>1</v>
      </c>
      <c r="B46" t="s">
        <v>348</v>
      </c>
      <c r="C46" t="s">
        <v>350</v>
      </c>
      <c r="D46">
        <v>1</v>
      </c>
      <c r="E46" t="s">
        <v>62</v>
      </c>
      <c r="F46">
        <v>2036</v>
      </c>
      <c r="G46" t="s">
        <v>2</v>
      </c>
      <c r="H46">
        <v>32942.068289760122</v>
      </c>
      <c r="I46">
        <v>1158.0718435200008</v>
      </c>
      <c r="J46">
        <v>3.3960911567919798E-2</v>
      </c>
    </row>
    <row r="47" spans="1:10" x14ac:dyDescent="0.25">
      <c r="A47" t="s">
        <v>1</v>
      </c>
      <c r="B47" t="s">
        <v>348</v>
      </c>
      <c r="C47" t="s">
        <v>350</v>
      </c>
      <c r="D47">
        <v>1</v>
      </c>
      <c r="E47" t="s">
        <v>62</v>
      </c>
      <c r="F47">
        <v>2037</v>
      </c>
      <c r="G47" t="s">
        <v>2</v>
      </c>
      <c r="H47">
        <v>32633.686355280115</v>
      </c>
      <c r="I47">
        <v>1154.9077128000008</v>
      </c>
      <c r="J47">
        <v>3.4180401542396002E-2</v>
      </c>
    </row>
    <row r="48" spans="1:10" x14ac:dyDescent="0.25">
      <c r="A48" t="s">
        <v>1</v>
      </c>
      <c r="B48" t="s">
        <v>348</v>
      </c>
      <c r="C48" t="s">
        <v>350</v>
      </c>
      <c r="D48">
        <v>1</v>
      </c>
      <c r="E48" t="s">
        <v>62</v>
      </c>
      <c r="F48">
        <v>2038</v>
      </c>
      <c r="G48" t="s">
        <v>2</v>
      </c>
      <c r="H48">
        <v>32091.1463683201</v>
      </c>
      <c r="I48">
        <v>1154.9077128000008</v>
      </c>
      <c r="J48">
        <v>3.4738189078981602E-2</v>
      </c>
    </row>
    <row r="49" spans="1:10" x14ac:dyDescent="0.25">
      <c r="A49" t="s">
        <v>1</v>
      </c>
      <c r="B49" t="s">
        <v>348</v>
      </c>
      <c r="C49" t="s">
        <v>350</v>
      </c>
      <c r="D49">
        <v>1</v>
      </c>
      <c r="E49" t="s">
        <v>62</v>
      </c>
      <c r="F49">
        <v>2039</v>
      </c>
      <c r="G49" t="s">
        <v>2</v>
      </c>
      <c r="H49">
        <v>34269.288080160157</v>
      </c>
      <c r="I49">
        <v>1154.9077128000008</v>
      </c>
      <c r="J49">
        <v>3.2602228136665697E-2</v>
      </c>
    </row>
    <row r="50" spans="1:10" x14ac:dyDescent="0.25">
      <c r="A50" t="s">
        <v>1</v>
      </c>
      <c r="B50" t="s">
        <v>348</v>
      </c>
      <c r="C50" t="s">
        <v>350</v>
      </c>
      <c r="D50">
        <v>1</v>
      </c>
      <c r="E50" t="s">
        <v>62</v>
      </c>
      <c r="F50">
        <v>2040</v>
      </c>
      <c r="G50" t="s">
        <v>2</v>
      </c>
      <c r="H50">
        <v>34372.988150880163</v>
      </c>
      <c r="I50">
        <v>1158.0718435200008</v>
      </c>
      <c r="J50">
        <v>3.2593225299287903E-2</v>
      </c>
    </row>
    <row r="51" spans="1:10" x14ac:dyDescent="0.25">
      <c r="A51" t="s">
        <v>1</v>
      </c>
      <c r="B51" t="s">
        <v>348</v>
      </c>
      <c r="C51" t="s">
        <v>350</v>
      </c>
      <c r="D51">
        <v>1</v>
      </c>
      <c r="E51" t="s">
        <v>62</v>
      </c>
      <c r="F51">
        <v>2041</v>
      </c>
      <c r="G51" t="s">
        <v>2</v>
      </c>
      <c r="H51">
        <v>34269.288080160157</v>
      </c>
      <c r="I51">
        <v>1154.9077128000008</v>
      </c>
      <c r="J51">
        <v>3.2602228136665697E-2</v>
      </c>
    </row>
    <row r="52" spans="1:10" x14ac:dyDescent="0.25">
      <c r="A52" t="s">
        <v>1</v>
      </c>
      <c r="B52" t="s">
        <v>348</v>
      </c>
      <c r="C52" t="s">
        <v>350</v>
      </c>
      <c r="D52">
        <v>1</v>
      </c>
      <c r="E52" t="s">
        <v>62</v>
      </c>
      <c r="F52">
        <v>2042</v>
      </c>
      <c r="G52" t="s">
        <v>2</v>
      </c>
      <c r="H52">
        <v>31660.89060240009</v>
      </c>
      <c r="I52">
        <v>1154.9077128000008</v>
      </c>
      <c r="J52">
        <v>3.5193649769143402E-2</v>
      </c>
    </row>
    <row r="53" spans="1:10" x14ac:dyDescent="0.25">
      <c r="A53" t="s">
        <v>1</v>
      </c>
      <c r="B53" t="s">
        <v>348</v>
      </c>
      <c r="C53" t="s">
        <v>350</v>
      </c>
      <c r="D53">
        <v>1</v>
      </c>
      <c r="E53" t="s">
        <v>62</v>
      </c>
      <c r="F53">
        <v>2043</v>
      </c>
      <c r="G53" t="s">
        <v>2</v>
      </c>
      <c r="H53">
        <v>31654.706364000089</v>
      </c>
      <c r="I53">
        <v>1154.9077128000008</v>
      </c>
      <c r="J53">
        <v>3.52002833711062E-2</v>
      </c>
    </row>
    <row r="54" spans="1:10" x14ac:dyDescent="0.25">
      <c r="A54" t="s">
        <v>1</v>
      </c>
      <c r="B54" t="s">
        <v>348</v>
      </c>
      <c r="C54" t="s">
        <v>350</v>
      </c>
      <c r="D54">
        <v>1</v>
      </c>
      <c r="E54" t="s">
        <v>62</v>
      </c>
      <c r="F54">
        <v>2044</v>
      </c>
      <c r="G54" t="s">
        <v>2</v>
      </c>
      <c r="H54">
        <v>34372.988150880163</v>
      </c>
      <c r="I54">
        <v>1158.0718435200008</v>
      </c>
      <c r="J54">
        <v>3.2593225299287903E-2</v>
      </c>
    </row>
    <row r="55" spans="1:10" x14ac:dyDescent="0.25">
      <c r="A55" t="s">
        <v>1</v>
      </c>
      <c r="B55" t="s">
        <v>348</v>
      </c>
      <c r="C55" t="s">
        <v>350</v>
      </c>
      <c r="D55">
        <v>1</v>
      </c>
      <c r="E55" t="s">
        <v>62</v>
      </c>
      <c r="F55">
        <v>2045</v>
      </c>
      <c r="G55" t="s">
        <v>2</v>
      </c>
      <c r="H55">
        <v>34269.288080160157</v>
      </c>
      <c r="I55">
        <v>1154.9077128000008</v>
      </c>
      <c r="J55">
        <v>3.2602228136665697E-2</v>
      </c>
    </row>
    <row r="56" spans="1:10" x14ac:dyDescent="0.25">
      <c r="A56" t="s">
        <v>1</v>
      </c>
      <c r="B56" t="s">
        <v>348</v>
      </c>
      <c r="C56" t="s">
        <v>350</v>
      </c>
      <c r="D56">
        <v>1</v>
      </c>
      <c r="E56" t="s">
        <v>62</v>
      </c>
      <c r="F56">
        <v>2046</v>
      </c>
      <c r="G56" t="s">
        <v>2</v>
      </c>
      <c r="H56">
        <v>31636.14140664009</v>
      </c>
      <c r="I56">
        <v>1154.9077128000008</v>
      </c>
      <c r="J56">
        <v>3.5220212338839603E-2</v>
      </c>
    </row>
    <row r="57" spans="1:10" x14ac:dyDescent="0.25">
      <c r="A57" t="s">
        <v>1</v>
      </c>
      <c r="B57" t="s">
        <v>348</v>
      </c>
      <c r="C57" t="s">
        <v>350</v>
      </c>
      <c r="D57">
        <v>1</v>
      </c>
      <c r="E57" t="s">
        <v>62</v>
      </c>
      <c r="F57">
        <v>2047</v>
      </c>
      <c r="G57" t="s">
        <v>2</v>
      </c>
      <c r="H57">
        <v>34269.288080160157</v>
      </c>
      <c r="I57">
        <v>1154.9077128000008</v>
      </c>
      <c r="J57">
        <v>3.2602228136665697E-2</v>
      </c>
    </row>
    <row r="58" spans="1:10" x14ac:dyDescent="0.25">
      <c r="A58" t="s">
        <v>1</v>
      </c>
      <c r="B58" t="s">
        <v>348</v>
      </c>
      <c r="C58" t="s">
        <v>350</v>
      </c>
      <c r="D58">
        <v>1</v>
      </c>
      <c r="E58" t="s">
        <v>62</v>
      </c>
      <c r="F58">
        <v>2048</v>
      </c>
      <c r="G58" t="s">
        <v>2</v>
      </c>
      <c r="H58">
        <v>34372.988150880163</v>
      </c>
      <c r="I58">
        <v>1158.0718435200008</v>
      </c>
      <c r="J58">
        <v>3.2593225299287903E-2</v>
      </c>
    </row>
    <row r="59" spans="1:10" x14ac:dyDescent="0.25">
      <c r="A59" t="s">
        <v>1</v>
      </c>
      <c r="B59" t="s">
        <v>348</v>
      </c>
      <c r="C59" t="s">
        <v>350</v>
      </c>
      <c r="D59">
        <v>1</v>
      </c>
      <c r="E59" t="s">
        <v>62</v>
      </c>
      <c r="F59">
        <v>2049</v>
      </c>
      <c r="G59" t="s">
        <v>2</v>
      </c>
      <c r="H59">
        <v>34252.889135520156</v>
      </c>
      <c r="I59">
        <v>1154.9077128000008</v>
      </c>
      <c r="J59">
        <v>3.2617327696139599E-2</v>
      </c>
    </row>
    <row r="60" spans="1:10" x14ac:dyDescent="0.25">
      <c r="A60" t="s">
        <v>1</v>
      </c>
      <c r="B60" t="s">
        <v>348</v>
      </c>
      <c r="C60" t="s">
        <v>350</v>
      </c>
      <c r="D60">
        <v>1</v>
      </c>
      <c r="E60" t="s">
        <v>62</v>
      </c>
      <c r="F60">
        <v>2050</v>
      </c>
      <c r="G60" t="s">
        <v>2</v>
      </c>
      <c r="H60">
        <v>34167.464423520156</v>
      </c>
      <c r="I60">
        <v>1154.9077128000008</v>
      </c>
      <c r="J60">
        <v>3.2696210445404002E-2</v>
      </c>
    </row>
    <row r="61" spans="1:10" x14ac:dyDescent="0.25">
      <c r="A61" t="s">
        <v>1</v>
      </c>
      <c r="B61" t="s">
        <v>348</v>
      </c>
      <c r="C61" t="s">
        <v>350</v>
      </c>
      <c r="D61">
        <v>1</v>
      </c>
      <c r="E61" t="s">
        <v>62</v>
      </c>
      <c r="F61">
        <v>2051</v>
      </c>
      <c r="G61" t="s">
        <v>2</v>
      </c>
      <c r="H61">
        <v>34167.464423520156</v>
      </c>
      <c r="I61">
        <v>1154.9077128000008</v>
      </c>
      <c r="J61">
        <v>3.2696210445404002E-2</v>
      </c>
    </row>
    <row r="62" spans="1:10" x14ac:dyDescent="0.25">
      <c r="A62" t="s">
        <v>1</v>
      </c>
      <c r="B62" t="s">
        <v>348</v>
      </c>
      <c r="C62" t="s">
        <v>350</v>
      </c>
      <c r="D62">
        <v>1</v>
      </c>
      <c r="E62" t="s">
        <v>63</v>
      </c>
      <c r="F62">
        <v>2022</v>
      </c>
      <c r="G62" t="s">
        <v>2</v>
      </c>
      <c r="H62">
        <v>26355.444418799998</v>
      </c>
      <c r="I62">
        <v>866.97181728000066</v>
      </c>
      <c r="J62">
        <v>3.1847717328300003E-2</v>
      </c>
    </row>
    <row r="63" spans="1:10" x14ac:dyDescent="0.25">
      <c r="A63" t="s">
        <v>1</v>
      </c>
      <c r="B63" t="s">
        <v>348</v>
      </c>
      <c r="C63" t="s">
        <v>350</v>
      </c>
      <c r="D63">
        <v>1</v>
      </c>
      <c r="E63" t="s">
        <v>63</v>
      </c>
      <c r="F63">
        <v>2023</v>
      </c>
      <c r="G63" t="s">
        <v>2</v>
      </c>
      <c r="H63">
        <v>34269.288080160157</v>
      </c>
      <c r="I63">
        <v>1154.9077128000008</v>
      </c>
      <c r="J63">
        <v>3.2602228136665697E-2</v>
      </c>
    </row>
    <row r="64" spans="1:10" x14ac:dyDescent="0.25">
      <c r="A64" t="s">
        <v>1</v>
      </c>
      <c r="B64" t="s">
        <v>348</v>
      </c>
      <c r="C64" t="s">
        <v>350</v>
      </c>
      <c r="D64">
        <v>1</v>
      </c>
      <c r="E64" t="s">
        <v>63</v>
      </c>
      <c r="F64">
        <v>2024</v>
      </c>
      <c r="G64" t="s">
        <v>2</v>
      </c>
      <c r="H64">
        <v>33532.85156832014</v>
      </c>
      <c r="I64">
        <v>1158.0718435200008</v>
      </c>
      <c r="J64">
        <v>3.33825603248354E-2</v>
      </c>
    </row>
    <row r="65" spans="1:10" x14ac:dyDescent="0.25">
      <c r="A65" t="s">
        <v>1</v>
      </c>
      <c r="B65" t="s">
        <v>348</v>
      </c>
      <c r="C65" t="s">
        <v>350</v>
      </c>
      <c r="D65">
        <v>1</v>
      </c>
      <c r="E65" t="s">
        <v>63</v>
      </c>
      <c r="F65">
        <v>2025</v>
      </c>
      <c r="G65" t="s">
        <v>2</v>
      </c>
      <c r="H65">
        <v>34269.288080160157</v>
      </c>
      <c r="I65">
        <v>1154.9077128000008</v>
      </c>
      <c r="J65">
        <v>3.2602228136665697E-2</v>
      </c>
    </row>
    <row r="66" spans="1:10" x14ac:dyDescent="0.25">
      <c r="A66" t="s">
        <v>1</v>
      </c>
      <c r="B66" t="s">
        <v>348</v>
      </c>
      <c r="C66" t="s">
        <v>350</v>
      </c>
      <c r="D66">
        <v>1</v>
      </c>
      <c r="E66" t="s">
        <v>63</v>
      </c>
      <c r="F66">
        <v>2026</v>
      </c>
      <c r="G66" t="s">
        <v>2</v>
      </c>
      <c r="H66">
        <v>34269.288080160157</v>
      </c>
      <c r="I66">
        <v>1154.9077128000008</v>
      </c>
      <c r="J66">
        <v>3.2602228136665697E-2</v>
      </c>
    </row>
    <row r="67" spans="1:10" x14ac:dyDescent="0.25">
      <c r="A67" t="s">
        <v>1</v>
      </c>
      <c r="B67" t="s">
        <v>348</v>
      </c>
      <c r="C67" t="s">
        <v>350</v>
      </c>
      <c r="D67">
        <v>1</v>
      </c>
      <c r="E67" t="s">
        <v>63</v>
      </c>
      <c r="F67">
        <v>2027</v>
      </c>
      <c r="G67" t="s">
        <v>2</v>
      </c>
      <c r="H67">
        <v>34269.288080160157</v>
      </c>
      <c r="I67">
        <v>1154.9077128000008</v>
      </c>
      <c r="J67">
        <v>3.2602228136665697E-2</v>
      </c>
    </row>
    <row r="68" spans="1:10" x14ac:dyDescent="0.25">
      <c r="A68" t="s">
        <v>1</v>
      </c>
      <c r="B68" t="s">
        <v>348</v>
      </c>
      <c r="C68" t="s">
        <v>350</v>
      </c>
      <c r="D68">
        <v>1</v>
      </c>
      <c r="E68" t="s">
        <v>63</v>
      </c>
      <c r="F68">
        <v>2028</v>
      </c>
      <c r="G68" t="s">
        <v>2</v>
      </c>
      <c r="H68">
        <v>34229.214734400157</v>
      </c>
      <c r="I68">
        <v>1158.0718435200008</v>
      </c>
      <c r="J68">
        <v>3.2725646849752398E-2</v>
      </c>
    </row>
    <row r="69" spans="1:10" x14ac:dyDescent="0.25">
      <c r="A69" t="s">
        <v>1</v>
      </c>
      <c r="B69" t="s">
        <v>348</v>
      </c>
      <c r="C69" t="s">
        <v>350</v>
      </c>
      <c r="D69">
        <v>1</v>
      </c>
      <c r="E69" t="s">
        <v>63</v>
      </c>
      <c r="F69">
        <v>2029</v>
      </c>
      <c r="G69" t="s">
        <v>2</v>
      </c>
      <c r="H69">
        <v>33214.190505600127</v>
      </c>
      <c r="I69">
        <v>1154.9077128000008</v>
      </c>
      <c r="J69">
        <v>3.3603084534283699E-2</v>
      </c>
    </row>
    <row r="70" spans="1:10" x14ac:dyDescent="0.25">
      <c r="A70" t="s">
        <v>1</v>
      </c>
      <c r="B70" t="s">
        <v>348</v>
      </c>
      <c r="C70" t="s">
        <v>350</v>
      </c>
      <c r="D70">
        <v>1</v>
      </c>
      <c r="E70" t="s">
        <v>63</v>
      </c>
      <c r="F70">
        <v>2030</v>
      </c>
      <c r="G70" t="s">
        <v>2</v>
      </c>
      <c r="H70">
        <v>33126.945099600132</v>
      </c>
      <c r="I70">
        <v>1154.9077128000008</v>
      </c>
      <c r="J70">
        <v>3.3688602512821499E-2</v>
      </c>
    </row>
    <row r="71" spans="1:10" x14ac:dyDescent="0.25">
      <c r="A71" t="s">
        <v>1</v>
      </c>
      <c r="B71" t="s">
        <v>348</v>
      </c>
      <c r="C71" t="s">
        <v>350</v>
      </c>
      <c r="D71">
        <v>1</v>
      </c>
      <c r="E71" t="s">
        <v>63</v>
      </c>
      <c r="F71">
        <v>2031</v>
      </c>
      <c r="G71" t="s">
        <v>2</v>
      </c>
      <c r="H71">
        <v>33587.441235360136</v>
      </c>
      <c r="I71">
        <v>1154.9077128000008</v>
      </c>
      <c r="J71">
        <v>3.3242073370550303E-2</v>
      </c>
    </row>
    <row r="72" spans="1:10" x14ac:dyDescent="0.25">
      <c r="A72" t="s">
        <v>1</v>
      </c>
      <c r="B72" t="s">
        <v>348</v>
      </c>
      <c r="C72" t="s">
        <v>350</v>
      </c>
      <c r="D72">
        <v>1</v>
      </c>
      <c r="E72" t="s">
        <v>63</v>
      </c>
      <c r="F72">
        <v>2032</v>
      </c>
      <c r="G72" t="s">
        <v>2</v>
      </c>
      <c r="H72">
        <v>34372.988150880163</v>
      </c>
      <c r="I72">
        <v>1158.0718435200008</v>
      </c>
      <c r="J72">
        <v>3.2593225299287903E-2</v>
      </c>
    </row>
    <row r="73" spans="1:10" x14ac:dyDescent="0.25">
      <c r="A73" t="s">
        <v>1</v>
      </c>
      <c r="B73" t="s">
        <v>348</v>
      </c>
      <c r="C73" t="s">
        <v>350</v>
      </c>
      <c r="D73">
        <v>1</v>
      </c>
      <c r="E73" t="s">
        <v>63</v>
      </c>
      <c r="F73">
        <v>2033</v>
      </c>
      <c r="G73" t="s">
        <v>2</v>
      </c>
      <c r="H73">
        <v>33541.608762000142</v>
      </c>
      <c r="I73">
        <v>1154.9077128000008</v>
      </c>
      <c r="J73">
        <v>3.32859845926839E-2</v>
      </c>
    </row>
    <row r="74" spans="1:10" x14ac:dyDescent="0.25">
      <c r="A74" t="s">
        <v>1</v>
      </c>
      <c r="B74" t="s">
        <v>348</v>
      </c>
      <c r="C74" t="s">
        <v>350</v>
      </c>
      <c r="D74">
        <v>1</v>
      </c>
      <c r="E74" t="s">
        <v>63</v>
      </c>
      <c r="F74">
        <v>2034</v>
      </c>
      <c r="G74" t="s">
        <v>2</v>
      </c>
      <c r="H74">
        <v>33366.844590960136</v>
      </c>
      <c r="I74">
        <v>1154.9077128000008</v>
      </c>
      <c r="J74">
        <v>3.3454492768439398E-2</v>
      </c>
    </row>
    <row r="75" spans="1:10" x14ac:dyDescent="0.25">
      <c r="A75" t="s">
        <v>1</v>
      </c>
      <c r="B75" t="s">
        <v>348</v>
      </c>
      <c r="C75" t="s">
        <v>350</v>
      </c>
      <c r="D75">
        <v>1</v>
      </c>
      <c r="E75" t="s">
        <v>63</v>
      </c>
      <c r="F75">
        <v>2035</v>
      </c>
      <c r="G75" t="s">
        <v>2</v>
      </c>
      <c r="H75">
        <v>34269.288080160157</v>
      </c>
      <c r="I75">
        <v>1154.9077128000008</v>
      </c>
      <c r="J75">
        <v>3.2602228136665697E-2</v>
      </c>
    </row>
    <row r="76" spans="1:10" x14ac:dyDescent="0.25">
      <c r="A76" t="s">
        <v>1</v>
      </c>
      <c r="B76" t="s">
        <v>348</v>
      </c>
      <c r="C76" t="s">
        <v>350</v>
      </c>
      <c r="D76">
        <v>1</v>
      </c>
      <c r="E76" t="s">
        <v>63</v>
      </c>
      <c r="F76">
        <v>2036</v>
      </c>
      <c r="G76" t="s">
        <v>2</v>
      </c>
      <c r="H76">
        <v>33142.905107040126</v>
      </c>
      <c r="I76">
        <v>1158.0718435200008</v>
      </c>
      <c r="J76">
        <v>3.3762065879032903E-2</v>
      </c>
    </row>
    <row r="77" spans="1:10" x14ac:dyDescent="0.25">
      <c r="A77" t="s">
        <v>1</v>
      </c>
      <c r="B77" t="s">
        <v>348</v>
      </c>
      <c r="C77" t="s">
        <v>350</v>
      </c>
      <c r="D77">
        <v>1</v>
      </c>
      <c r="E77" t="s">
        <v>63</v>
      </c>
      <c r="F77">
        <v>2037</v>
      </c>
      <c r="G77" t="s">
        <v>2</v>
      </c>
      <c r="H77">
        <v>32840.60291736012</v>
      </c>
      <c r="I77">
        <v>1154.9077128000008</v>
      </c>
      <c r="J77">
        <v>3.3972359626079203E-2</v>
      </c>
    </row>
    <row r="78" spans="1:10" x14ac:dyDescent="0.25">
      <c r="A78" t="s">
        <v>1</v>
      </c>
      <c r="B78" t="s">
        <v>348</v>
      </c>
      <c r="C78" t="s">
        <v>350</v>
      </c>
      <c r="D78">
        <v>1</v>
      </c>
      <c r="E78" t="s">
        <v>63</v>
      </c>
      <c r="F78">
        <v>2038</v>
      </c>
      <c r="G78" t="s">
        <v>2</v>
      </c>
      <c r="H78">
        <v>32243.742316320106</v>
      </c>
      <c r="I78">
        <v>1154.9077128000008</v>
      </c>
      <c r="J78">
        <v>3.4579472876689402E-2</v>
      </c>
    </row>
    <row r="79" spans="1:10" x14ac:dyDescent="0.25">
      <c r="A79" t="s">
        <v>1</v>
      </c>
      <c r="B79" t="s">
        <v>348</v>
      </c>
      <c r="C79" t="s">
        <v>350</v>
      </c>
      <c r="D79">
        <v>1</v>
      </c>
      <c r="E79" t="s">
        <v>63</v>
      </c>
      <c r="F79">
        <v>2039</v>
      </c>
      <c r="G79" t="s">
        <v>2</v>
      </c>
      <c r="H79">
        <v>34269.288080160157</v>
      </c>
      <c r="I79">
        <v>1154.9077128000008</v>
      </c>
      <c r="J79">
        <v>3.2602228136665697E-2</v>
      </c>
    </row>
    <row r="80" spans="1:10" x14ac:dyDescent="0.25">
      <c r="A80" t="s">
        <v>1</v>
      </c>
      <c r="B80" t="s">
        <v>348</v>
      </c>
      <c r="C80" t="s">
        <v>350</v>
      </c>
      <c r="D80">
        <v>1</v>
      </c>
      <c r="E80" t="s">
        <v>63</v>
      </c>
      <c r="F80">
        <v>2040</v>
      </c>
      <c r="G80" t="s">
        <v>2</v>
      </c>
      <c r="H80">
        <v>34372.988150880163</v>
      </c>
      <c r="I80">
        <v>1158.0718435200008</v>
      </c>
      <c r="J80">
        <v>3.2593225299287903E-2</v>
      </c>
    </row>
    <row r="81" spans="1:10" x14ac:dyDescent="0.25">
      <c r="A81" t="s">
        <v>1</v>
      </c>
      <c r="B81" t="s">
        <v>348</v>
      </c>
      <c r="C81" t="s">
        <v>350</v>
      </c>
      <c r="D81">
        <v>1</v>
      </c>
      <c r="E81" t="s">
        <v>63</v>
      </c>
      <c r="F81">
        <v>2041</v>
      </c>
      <c r="G81" t="s">
        <v>2</v>
      </c>
      <c r="H81">
        <v>34269.288080160157</v>
      </c>
      <c r="I81">
        <v>1154.9077128000008</v>
      </c>
      <c r="J81">
        <v>3.2602228136665697E-2</v>
      </c>
    </row>
    <row r="82" spans="1:10" x14ac:dyDescent="0.25">
      <c r="A82" t="s">
        <v>1</v>
      </c>
      <c r="B82" t="s">
        <v>348</v>
      </c>
      <c r="C82" t="s">
        <v>350</v>
      </c>
      <c r="D82">
        <v>1</v>
      </c>
      <c r="E82" t="s">
        <v>63</v>
      </c>
      <c r="F82">
        <v>2042</v>
      </c>
      <c r="G82" t="s">
        <v>2</v>
      </c>
      <c r="H82">
        <v>31709.735355600093</v>
      </c>
      <c r="I82">
        <v>1154.9077128000008</v>
      </c>
      <c r="J82">
        <v>3.5141343552593199E-2</v>
      </c>
    </row>
    <row r="83" spans="1:10" x14ac:dyDescent="0.25">
      <c r="A83" t="s">
        <v>1</v>
      </c>
      <c r="B83" t="s">
        <v>348</v>
      </c>
      <c r="C83" t="s">
        <v>350</v>
      </c>
      <c r="D83">
        <v>1</v>
      </c>
      <c r="E83" t="s">
        <v>63</v>
      </c>
      <c r="F83">
        <v>2043</v>
      </c>
      <c r="G83" t="s">
        <v>2</v>
      </c>
      <c r="H83">
        <v>31687.87971192009</v>
      </c>
      <c r="I83">
        <v>1154.9077128000008</v>
      </c>
      <c r="J83">
        <v>3.51647287991982E-2</v>
      </c>
    </row>
    <row r="84" spans="1:10" x14ac:dyDescent="0.25">
      <c r="A84" t="s">
        <v>1</v>
      </c>
      <c r="B84" t="s">
        <v>348</v>
      </c>
      <c r="C84" t="s">
        <v>350</v>
      </c>
      <c r="D84">
        <v>1</v>
      </c>
      <c r="E84" t="s">
        <v>63</v>
      </c>
      <c r="F84">
        <v>2044</v>
      </c>
      <c r="G84" t="s">
        <v>2</v>
      </c>
      <c r="H84">
        <v>34372.988150880163</v>
      </c>
      <c r="I84">
        <v>1158.0718435200008</v>
      </c>
      <c r="J84">
        <v>3.2593225299287903E-2</v>
      </c>
    </row>
    <row r="85" spans="1:10" x14ac:dyDescent="0.25">
      <c r="A85" t="s">
        <v>1</v>
      </c>
      <c r="B85" t="s">
        <v>348</v>
      </c>
      <c r="C85" t="s">
        <v>350</v>
      </c>
      <c r="D85">
        <v>1</v>
      </c>
      <c r="E85" t="s">
        <v>63</v>
      </c>
      <c r="F85">
        <v>2045</v>
      </c>
      <c r="G85" t="s">
        <v>2</v>
      </c>
      <c r="H85">
        <v>34269.288080160157</v>
      </c>
      <c r="I85">
        <v>1154.9077128000008</v>
      </c>
      <c r="J85">
        <v>3.2602228136665697E-2</v>
      </c>
    </row>
    <row r="86" spans="1:10" x14ac:dyDescent="0.25">
      <c r="A86" t="s">
        <v>1</v>
      </c>
      <c r="B86" t="s">
        <v>348</v>
      </c>
      <c r="C86" t="s">
        <v>350</v>
      </c>
      <c r="D86">
        <v>1</v>
      </c>
      <c r="E86" t="s">
        <v>63</v>
      </c>
      <c r="F86">
        <v>2046</v>
      </c>
      <c r="G86" t="s">
        <v>2</v>
      </c>
      <c r="H86">
        <v>31666.176224880091</v>
      </c>
      <c r="I86">
        <v>1154.9077128000008</v>
      </c>
      <c r="J86">
        <v>3.5187982060340003E-2</v>
      </c>
    </row>
    <row r="87" spans="1:10" x14ac:dyDescent="0.25">
      <c r="A87" t="s">
        <v>1</v>
      </c>
      <c r="B87" t="s">
        <v>348</v>
      </c>
      <c r="C87" t="s">
        <v>350</v>
      </c>
      <c r="D87">
        <v>1</v>
      </c>
      <c r="E87" t="s">
        <v>63</v>
      </c>
      <c r="F87">
        <v>2047</v>
      </c>
      <c r="G87" t="s">
        <v>2</v>
      </c>
      <c r="H87">
        <v>34147.681971840153</v>
      </c>
      <c r="I87">
        <v>1154.9077128000008</v>
      </c>
      <c r="J87">
        <v>3.2714532364816598E-2</v>
      </c>
    </row>
    <row r="88" spans="1:10" x14ac:dyDescent="0.25">
      <c r="A88" t="s">
        <v>1</v>
      </c>
      <c r="B88" t="s">
        <v>348</v>
      </c>
      <c r="C88" t="s">
        <v>350</v>
      </c>
      <c r="D88">
        <v>1</v>
      </c>
      <c r="E88" t="s">
        <v>63</v>
      </c>
      <c r="F88">
        <v>2048</v>
      </c>
      <c r="G88" t="s">
        <v>2</v>
      </c>
      <c r="H88">
        <v>34270.213863840159</v>
      </c>
      <c r="I88">
        <v>1158.0718435200008</v>
      </c>
      <c r="J88">
        <v>3.2687775329739203E-2</v>
      </c>
    </row>
    <row r="89" spans="1:10" x14ac:dyDescent="0.25">
      <c r="A89" t="s">
        <v>1</v>
      </c>
      <c r="B89" t="s">
        <v>348</v>
      </c>
      <c r="C89" t="s">
        <v>350</v>
      </c>
      <c r="D89">
        <v>1</v>
      </c>
      <c r="E89" t="s">
        <v>63</v>
      </c>
      <c r="F89">
        <v>2049</v>
      </c>
      <c r="G89" t="s">
        <v>2</v>
      </c>
      <c r="H89">
        <v>33771.159420720141</v>
      </c>
      <c r="I89">
        <v>1154.9077128000008</v>
      </c>
      <c r="J89">
        <v>3.3067213333378198E-2</v>
      </c>
    </row>
    <row r="90" spans="1:10" x14ac:dyDescent="0.25">
      <c r="A90" t="s">
        <v>1</v>
      </c>
      <c r="B90" t="s">
        <v>348</v>
      </c>
      <c r="C90" t="s">
        <v>350</v>
      </c>
      <c r="D90">
        <v>1</v>
      </c>
      <c r="E90" t="s">
        <v>63</v>
      </c>
      <c r="F90">
        <v>2050</v>
      </c>
      <c r="G90" t="s">
        <v>2</v>
      </c>
      <c r="H90">
        <v>33601.039294080139</v>
      </c>
      <c r="I90">
        <v>1154.9077128000008</v>
      </c>
      <c r="J90">
        <v>3.3229067605937398E-2</v>
      </c>
    </row>
    <row r="91" spans="1:10" x14ac:dyDescent="0.25">
      <c r="A91" t="s">
        <v>1</v>
      </c>
      <c r="B91" t="s">
        <v>348</v>
      </c>
      <c r="C91" t="s">
        <v>350</v>
      </c>
      <c r="D91">
        <v>1</v>
      </c>
      <c r="E91" t="s">
        <v>63</v>
      </c>
      <c r="F91">
        <v>2051</v>
      </c>
      <c r="G91" t="s">
        <v>2</v>
      </c>
      <c r="H91">
        <v>33601.039294080139</v>
      </c>
      <c r="I91">
        <v>1154.9077128000008</v>
      </c>
      <c r="J91">
        <v>3.3229067605937398E-2</v>
      </c>
    </row>
    <row r="92" spans="1:10" x14ac:dyDescent="0.25">
      <c r="A92" t="s">
        <v>1</v>
      </c>
      <c r="B92" t="s">
        <v>348</v>
      </c>
      <c r="C92" t="s">
        <v>350</v>
      </c>
      <c r="D92">
        <v>1</v>
      </c>
      <c r="E92" t="s">
        <v>64</v>
      </c>
      <c r="F92">
        <v>2022</v>
      </c>
      <c r="G92" t="s">
        <v>2</v>
      </c>
      <c r="H92">
        <v>26355.444418799998</v>
      </c>
      <c r="I92">
        <v>866.97181728000066</v>
      </c>
      <c r="J92">
        <v>3.1847717328300003E-2</v>
      </c>
    </row>
    <row r="93" spans="1:10" x14ac:dyDescent="0.25">
      <c r="A93" t="s">
        <v>1</v>
      </c>
      <c r="B93" t="s">
        <v>348</v>
      </c>
      <c r="C93" t="s">
        <v>350</v>
      </c>
      <c r="D93">
        <v>1</v>
      </c>
      <c r="E93" t="s">
        <v>64</v>
      </c>
      <c r="F93">
        <v>2023</v>
      </c>
      <c r="G93" t="s">
        <v>2</v>
      </c>
      <c r="H93">
        <v>34269.288080160157</v>
      </c>
      <c r="I93">
        <v>1154.9077128000008</v>
      </c>
      <c r="J93">
        <v>3.2602228136665697E-2</v>
      </c>
    </row>
    <row r="94" spans="1:10" x14ac:dyDescent="0.25">
      <c r="A94" t="s">
        <v>1</v>
      </c>
      <c r="B94" t="s">
        <v>348</v>
      </c>
      <c r="C94" t="s">
        <v>350</v>
      </c>
      <c r="D94">
        <v>1</v>
      </c>
      <c r="E94" t="s">
        <v>64</v>
      </c>
      <c r="F94">
        <v>2024</v>
      </c>
      <c r="G94" t="s">
        <v>2</v>
      </c>
      <c r="H94">
        <v>33534.710143920136</v>
      </c>
      <c r="I94">
        <v>1158.0718435200008</v>
      </c>
      <c r="J94">
        <v>3.33807719409547E-2</v>
      </c>
    </row>
    <row r="95" spans="1:10" x14ac:dyDescent="0.25">
      <c r="A95" t="s">
        <v>1</v>
      </c>
      <c r="B95" t="s">
        <v>348</v>
      </c>
      <c r="C95" t="s">
        <v>350</v>
      </c>
      <c r="D95">
        <v>1</v>
      </c>
      <c r="E95" t="s">
        <v>64</v>
      </c>
      <c r="F95">
        <v>2025</v>
      </c>
      <c r="G95" t="s">
        <v>2</v>
      </c>
      <c r="H95">
        <v>34269.288080160157</v>
      </c>
      <c r="I95">
        <v>1154.9077128000008</v>
      </c>
      <c r="J95">
        <v>3.2602228136665697E-2</v>
      </c>
    </row>
    <row r="96" spans="1:10" x14ac:dyDescent="0.25">
      <c r="A96" t="s">
        <v>1</v>
      </c>
      <c r="B96" t="s">
        <v>348</v>
      </c>
      <c r="C96" t="s">
        <v>350</v>
      </c>
      <c r="D96">
        <v>1</v>
      </c>
      <c r="E96" t="s">
        <v>64</v>
      </c>
      <c r="F96">
        <v>2026</v>
      </c>
      <c r="G96" t="s">
        <v>2</v>
      </c>
      <c r="H96">
        <v>34269.288080160157</v>
      </c>
      <c r="I96">
        <v>1154.9077128000008</v>
      </c>
      <c r="J96">
        <v>3.2602228136665697E-2</v>
      </c>
    </row>
    <row r="97" spans="1:10" x14ac:dyDescent="0.25">
      <c r="A97" t="s">
        <v>1</v>
      </c>
      <c r="B97" t="s">
        <v>348</v>
      </c>
      <c r="C97" t="s">
        <v>350</v>
      </c>
      <c r="D97">
        <v>1</v>
      </c>
      <c r="E97" t="s">
        <v>64</v>
      </c>
      <c r="F97">
        <v>2027</v>
      </c>
      <c r="G97" t="s">
        <v>2</v>
      </c>
      <c r="H97">
        <v>34128.171820320153</v>
      </c>
      <c r="I97">
        <v>1154.9077128000008</v>
      </c>
      <c r="J97">
        <v>3.2732622211048501E-2</v>
      </c>
    </row>
    <row r="98" spans="1:10" x14ac:dyDescent="0.25">
      <c r="A98" t="s">
        <v>1</v>
      </c>
      <c r="B98" t="s">
        <v>348</v>
      </c>
      <c r="C98" t="s">
        <v>350</v>
      </c>
      <c r="D98">
        <v>1</v>
      </c>
      <c r="E98" t="s">
        <v>64</v>
      </c>
      <c r="F98">
        <v>2028</v>
      </c>
      <c r="G98" t="s">
        <v>2</v>
      </c>
      <c r="H98">
        <v>33232.854755520129</v>
      </c>
      <c r="I98">
        <v>1158.0718435200008</v>
      </c>
      <c r="J98">
        <v>3.3673761019056697E-2</v>
      </c>
    </row>
    <row r="99" spans="1:10" x14ac:dyDescent="0.25">
      <c r="A99" t="s">
        <v>1</v>
      </c>
      <c r="B99" t="s">
        <v>348</v>
      </c>
      <c r="C99" t="s">
        <v>350</v>
      </c>
      <c r="D99">
        <v>1</v>
      </c>
      <c r="E99" t="s">
        <v>64</v>
      </c>
      <c r="F99">
        <v>2029</v>
      </c>
      <c r="G99" t="s">
        <v>2</v>
      </c>
      <c r="H99">
        <v>32298.339319920105</v>
      </c>
      <c r="I99">
        <v>1154.9077128000008</v>
      </c>
      <c r="J99">
        <v>3.45230378285971E-2</v>
      </c>
    </row>
    <row r="100" spans="1:10" x14ac:dyDescent="0.25">
      <c r="A100" t="s">
        <v>1</v>
      </c>
      <c r="B100" t="s">
        <v>348</v>
      </c>
      <c r="C100" t="s">
        <v>350</v>
      </c>
      <c r="D100">
        <v>1</v>
      </c>
      <c r="E100" t="s">
        <v>64</v>
      </c>
      <c r="F100">
        <v>2030</v>
      </c>
      <c r="G100" t="s">
        <v>2</v>
      </c>
      <c r="H100">
        <v>32013.520206480098</v>
      </c>
      <c r="I100">
        <v>1154.9077128000008</v>
      </c>
      <c r="J100">
        <v>3.4819489051776099E-2</v>
      </c>
    </row>
    <row r="101" spans="1:10" x14ac:dyDescent="0.25">
      <c r="A101" t="s">
        <v>1</v>
      </c>
      <c r="B101" t="s">
        <v>348</v>
      </c>
      <c r="C101" t="s">
        <v>350</v>
      </c>
      <c r="D101">
        <v>1</v>
      </c>
      <c r="E101" t="s">
        <v>64</v>
      </c>
      <c r="F101">
        <v>2031</v>
      </c>
      <c r="G101" t="s">
        <v>2</v>
      </c>
      <c r="H101">
        <v>31779.081386640093</v>
      </c>
      <c r="I101">
        <v>1154.9077128000008</v>
      </c>
      <c r="J101">
        <v>3.5067349701030703E-2</v>
      </c>
    </row>
    <row r="102" spans="1:10" x14ac:dyDescent="0.25">
      <c r="A102" t="s">
        <v>1</v>
      </c>
      <c r="B102" t="s">
        <v>348</v>
      </c>
      <c r="C102" t="s">
        <v>350</v>
      </c>
      <c r="D102">
        <v>1</v>
      </c>
      <c r="E102" t="s">
        <v>64</v>
      </c>
      <c r="F102">
        <v>2032</v>
      </c>
      <c r="G102" t="s">
        <v>2</v>
      </c>
      <c r="H102">
        <v>34372.988150880163</v>
      </c>
      <c r="I102">
        <v>1158.0718435200008</v>
      </c>
      <c r="J102">
        <v>3.2593225299287903E-2</v>
      </c>
    </row>
    <row r="103" spans="1:10" x14ac:dyDescent="0.25">
      <c r="A103" t="s">
        <v>1</v>
      </c>
      <c r="B103" t="s">
        <v>348</v>
      </c>
      <c r="C103" t="s">
        <v>350</v>
      </c>
      <c r="D103">
        <v>1</v>
      </c>
      <c r="E103" t="s">
        <v>64</v>
      </c>
      <c r="F103">
        <v>2033</v>
      </c>
      <c r="G103" t="s">
        <v>2</v>
      </c>
      <c r="H103">
        <v>31599.57026184009</v>
      </c>
      <c r="I103">
        <v>1154.9077128000008</v>
      </c>
      <c r="J103">
        <v>3.5259536534032902E-2</v>
      </c>
    </row>
    <row r="104" spans="1:10" x14ac:dyDescent="0.25">
      <c r="A104" t="s">
        <v>1</v>
      </c>
      <c r="B104" t="s">
        <v>348</v>
      </c>
      <c r="C104" t="s">
        <v>350</v>
      </c>
      <c r="D104">
        <v>1</v>
      </c>
      <c r="E104" t="s">
        <v>64</v>
      </c>
      <c r="F104">
        <v>2034</v>
      </c>
      <c r="G104" t="s">
        <v>2</v>
      </c>
      <c r="H104">
        <v>31577.141772240087</v>
      </c>
      <c r="I104">
        <v>1154.9077128000008</v>
      </c>
      <c r="J104">
        <v>3.5283696895540902E-2</v>
      </c>
    </row>
    <row r="105" spans="1:10" x14ac:dyDescent="0.25">
      <c r="A105" t="s">
        <v>1</v>
      </c>
      <c r="B105" t="s">
        <v>348</v>
      </c>
      <c r="C105" t="s">
        <v>350</v>
      </c>
      <c r="D105">
        <v>1</v>
      </c>
      <c r="E105" t="s">
        <v>64</v>
      </c>
      <c r="F105">
        <v>2035</v>
      </c>
      <c r="G105" t="s">
        <v>2</v>
      </c>
      <c r="H105">
        <v>33464.845467600135</v>
      </c>
      <c r="I105">
        <v>1154.9077128000008</v>
      </c>
      <c r="J105">
        <v>3.3359790486716903E-2</v>
      </c>
    </row>
    <row r="106" spans="1:10" x14ac:dyDescent="0.25">
      <c r="A106" t="s">
        <v>1</v>
      </c>
      <c r="B106" t="s">
        <v>348</v>
      </c>
      <c r="C106" t="s">
        <v>350</v>
      </c>
      <c r="D106">
        <v>1</v>
      </c>
      <c r="E106" t="s">
        <v>64</v>
      </c>
      <c r="F106">
        <v>2036</v>
      </c>
      <c r="G106" t="s">
        <v>2</v>
      </c>
      <c r="H106">
        <v>31565.832078000087</v>
      </c>
      <c r="I106">
        <v>1158.0718435200008</v>
      </c>
      <c r="J106">
        <v>3.5389171362235301E-2</v>
      </c>
    </row>
    <row r="107" spans="1:10" x14ac:dyDescent="0.25">
      <c r="A107" t="s">
        <v>1</v>
      </c>
      <c r="B107" t="s">
        <v>348</v>
      </c>
      <c r="C107" t="s">
        <v>350</v>
      </c>
      <c r="D107">
        <v>1</v>
      </c>
      <c r="E107" t="s">
        <v>64</v>
      </c>
      <c r="F107">
        <v>2037</v>
      </c>
      <c r="G107" t="s">
        <v>2</v>
      </c>
      <c r="H107">
        <v>31531.896417360087</v>
      </c>
      <c r="I107">
        <v>1154.9077128000008</v>
      </c>
      <c r="J107">
        <v>3.5332536891679998E-2</v>
      </c>
    </row>
    <row r="108" spans="1:10" x14ac:dyDescent="0.25">
      <c r="A108" t="s">
        <v>1</v>
      </c>
      <c r="B108" t="s">
        <v>348</v>
      </c>
      <c r="C108" t="s">
        <v>350</v>
      </c>
      <c r="D108">
        <v>1</v>
      </c>
      <c r="E108" t="s">
        <v>64</v>
      </c>
      <c r="F108">
        <v>2038</v>
      </c>
      <c r="G108" t="s">
        <v>2</v>
      </c>
      <c r="H108">
        <v>31527.156306000088</v>
      </c>
      <c r="I108">
        <v>1154.9077128000008</v>
      </c>
      <c r="J108">
        <v>3.5337661419904402E-2</v>
      </c>
    </row>
    <row r="109" spans="1:10" x14ac:dyDescent="0.25">
      <c r="A109" t="s">
        <v>1</v>
      </c>
      <c r="B109" t="s">
        <v>348</v>
      </c>
      <c r="C109" t="s">
        <v>350</v>
      </c>
      <c r="D109">
        <v>1</v>
      </c>
      <c r="E109" t="s">
        <v>64</v>
      </c>
      <c r="F109">
        <v>2039</v>
      </c>
      <c r="G109" t="s">
        <v>2</v>
      </c>
      <c r="H109">
        <v>31766.592330480093</v>
      </c>
      <c r="I109">
        <v>1154.9077128000008</v>
      </c>
      <c r="J109">
        <v>3.50806528038426E-2</v>
      </c>
    </row>
    <row r="110" spans="1:10" x14ac:dyDescent="0.25">
      <c r="A110" t="s">
        <v>1</v>
      </c>
      <c r="B110" t="s">
        <v>348</v>
      </c>
      <c r="C110" t="s">
        <v>350</v>
      </c>
      <c r="D110">
        <v>1</v>
      </c>
      <c r="E110" t="s">
        <v>64</v>
      </c>
      <c r="F110">
        <v>2040</v>
      </c>
      <c r="G110" t="s">
        <v>2</v>
      </c>
      <c r="H110">
        <v>31546.000742160086</v>
      </c>
      <c r="I110">
        <v>1158.0718435200008</v>
      </c>
      <c r="J110">
        <v>3.5410630908001201E-2</v>
      </c>
    </row>
    <row r="111" spans="1:10" x14ac:dyDescent="0.25">
      <c r="A111" t="s">
        <v>1</v>
      </c>
      <c r="B111" t="s">
        <v>348</v>
      </c>
      <c r="C111" t="s">
        <v>350</v>
      </c>
      <c r="D111">
        <v>1</v>
      </c>
      <c r="E111" t="s">
        <v>64</v>
      </c>
      <c r="F111">
        <v>2041</v>
      </c>
      <c r="G111" t="s">
        <v>2</v>
      </c>
      <c r="H111">
        <v>31520.953304400085</v>
      </c>
      <c r="I111">
        <v>1154.9077128000008</v>
      </c>
      <c r="J111">
        <v>3.5344369722715901E-2</v>
      </c>
    </row>
    <row r="112" spans="1:10" x14ac:dyDescent="0.25">
      <c r="A112" t="s">
        <v>1</v>
      </c>
      <c r="B112" t="s">
        <v>348</v>
      </c>
      <c r="C112" t="s">
        <v>350</v>
      </c>
      <c r="D112">
        <v>1</v>
      </c>
      <c r="E112" t="s">
        <v>64</v>
      </c>
      <c r="F112">
        <v>2042</v>
      </c>
      <c r="G112" t="s">
        <v>2</v>
      </c>
      <c r="H112">
        <v>31519.176470400085</v>
      </c>
      <c r="I112">
        <v>1154.9077128000008</v>
      </c>
      <c r="J112">
        <v>3.5346291768257501E-2</v>
      </c>
    </row>
    <row r="113" spans="1:10" x14ac:dyDescent="0.25">
      <c r="A113" t="s">
        <v>1</v>
      </c>
      <c r="B113" t="s">
        <v>348</v>
      </c>
      <c r="C113" t="s">
        <v>350</v>
      </c>
      <c r="D113">
        <v>1</v>
      </c>
      <c r="E113" t="s">
        <v>64</v>
      </c>
      <c r="F113">
        <v>2043</v>
      </c>
      <c r="G113" t="s">
        <v>2</v>
      </c>
      <c r="H113">
        <v>31517.543455680086</v>
      </c>
      <c r="I113">
        <v>1154.9077128000008</v>
      </c>
      <c r="J113">
        <v>3.5348058425263403E-2</v>
      </c>
    </row>
    <row r="114" spans="1:10" x14ac:dyDescent="0.25">
      <c r="A114" t="s">
        <v>1</v>
      </c>
      <c r="B114" t="s">
        <v>348</v>
      </c>
      <c r="C114" t="s">
        <v>350</v>
      </c>
      <c r="D114">
        <v>1</v>
      </c>
      <c r="E114" t="s">
        <v>64</v>
      </c>
      <c r="F114">
        <v>2044</v>
      </c>
      <c r="G114" t="s">
        <v>2</v>
      </c>
      <c r="H114">
        <v>31522.616960640087</v>
      </c>
      <c r="I114">
        <v>1158.0718435200008</v>
      </c>
      <c r="J114">
        <v>3.5435968025636699E-2</v>
      </c>
    </row>
    <row r="115" spans="1:10" x14ac:dyDescent="0.25">
      <c r="A115" t="s">
        <v>1</v>
      </c>
      <c r="B115" t="s">
        <v>348</v>
      </c>
      <c r="C115" t="s">
        <v>350</v>
      </c>
      <c r="D115">
        <v>1</v>
      </c>
      <c r="E115" t="s">
        <v>64</v>
      </c>
      <c r="F115">
        <v>2045</v>
      </c>
      <c r="G115" t="s">
        <v>2</v>
      </c>
      <c r="H115">
        <v>31512.770194320088</v>
      </c>
      <c r="I115">
        <v>1154.9077128000008</v>
      </c>
      <c r="J115">
        <v>3.53532233323594E-2</v>
      </c>
    </row>
    <row r="116" spans="1:10" x14ac:dyDescent="0.25">
      <c r="A116" t="s">
        <v>1</v>
      </c>
      <c r="B116" t="s">
        <v>348</v>
      </c>
      <c r="C116" t="s">
        <v>350</v>
      </c>
      <c r="D116">
        <v>1</v>
      </c>
      <c r="E116" t="s">
        <v>64</v>
      </c>
      <c r="F116">
        <v>2046</v>
      </c>
      <c r="G116" t="s">
        <v>2</v>
      </c>
      <c r="H116">
        <v>31000.895457120074</v>
      </c>
      <c r="I116">
        <v>1154.9077128000008</v>
      </c>
      <c r="J116">
        <v>3.59159964593996E-2</v>
      </c>
    </row>
    <row r="117" spans="1:10" x14ac:dyDescent="0.25">
      <c r="A117" t="s">
        <v>1</v>
      </c>
      <c r="B117" t="s">
        <v>348</v>
      </c>
      <c r="C117" t="s">
        <v>350</v>
      </c>
      <c r="D117">
        <v>1</v>
      </c>
      <c r="E117" t="s">
        <v>64</v>
      </c>
      <c r="F117">
        <v>2047</v>
      </c>
      <c r="G117" t="s">
        <v>2</v>
      </c>
      <c r="H117">
        <v>29001.294839280083</v>
      </c>
      <c r="I117">
        <v>1154.9077128000008</v>
      </c>
      <c r="J117">
        <v>3.8297518091194097E-2</v>
      </c>
    </row>
    <row r="118" spans="1:10" x14ac:dyDescent="0.25">
      <c r="A118" t="s">
        <v>1</v>
      </c>
      <c r="B118" t="s">
        <v>348</v>
      </c>
      <c r="C118" t="s">
        <v>350</v>
      </c>
      <c r="D118">
        <v>1</v>
      </c>
      <c r="E118" t="s">
        <v>64</v>
      </c>
      <c r="F118">
        <v>2048</v>
      </c>
      <c r="G118" t="s">
        <v>2</v>
      </c>
      <c r="H118">
        <v>31478.79551664009</v>
      </c>
      <c r="I118">
        <v>1158.0718435200008</v>
      </c>
      <c r="J118">
        <v>3.5483547815427299E-2</v>
      </c>
    </row>
    <row r="119" spans="1:10" x14ac:dyDescent="0.25">
      <c r="A119" t="s">
        <v>1</v>
      </c>
      <c r="B119" t="s">
        <v>348</v>
      </c>
      <c r="C119" t="s">
        <v>350</v>
      </c>
      <c r="D119">
        <v>1</v>
      </c>
      <c r="E119" t="s">
        <v>64</v>
      </c>
      <c r="F119">
        <v>2049</v>
      </c>
      <c r="G119" t="s">
        <v>2</v>
      </c>
      <c r="H119">
        <v>29549.227610400048</v>
      </c>
      <c r="I119">
        <v>1154.9077128000008</v>
      </c>
      <c r="J119">
        <v>3.7614077082553501E-2</v>
      </c>
    </row>
    <row r="120" spans="1:10" x14ac:dyDescent="0.25">
      <c r="A120" t="s">
        <v>1</v>
      </c>
      <c r="B120" t="s">
        <v>348</v>
      </c>
      <c r="C120" t="s">
        <v>350</v>
      </c>
      <c r="D120">
        <v>1</v>
      </c>
      <c r="E120" t="s">
        <v>64</v>
      </c>
      <c r="F120">
        <v>2050</v>
      </c>
      <c r="G120" t="s">
        <v>2</v>
      </c>
      <c r="H120">
        <v>28181.538593040044</v>
      </c>
      <c r="I120">
        <v>1154.9077128000008</v>
      </c>
      <c r="J120">
        <v>3.93676759877385E-2</v>
      </c>
    </row>
    <row r="121" spans="1:10" x14ac:dyDescent="0.25">
      <c r="A121" t="s">
        <v>1</v>
      </c>
      <c r="B121" t="s">
        <v>348</v>
      </c>
      <c r="C121" t="s">
        <v>350</v>
      </c>
      <c r="D121">
        <v>1</v>
      </c>
      <c r="E121" t="s">
        <v>64</v>
      </c>
      <c r="F121">
        <v>2051</v>
      </c>
      <c r="G121" t="s">
        <v>2</v>
      </c>
      <c r="H121">
        <v>28823.044885440118</v>
      </c>
      <c r="I121">
        <v>1154.9077128000008</v>
      </c>
      <c r="J121">
        <v>3.8525236472213203E-2</v>
      </c>
    </row>
    <row r="122" spans="1:10" x14ac:dyDescent="0.25">
      <c r="A122" t="s">
        <v>1</v>
      </c>
      <c r="B122" t="s">
        <v>348</v>
      </c>
      <c r="C122" t="s">
        <v>350</v>
      </c>
      <c r="D122">
        <v>1</v>
      </c>
      <c r="E122" t="s">
        <v>65</v>
      </c>
      <c r="F122">
        <v>2022</v>
      </c>
      <c r="G122" t="s">
        <v>2</v>
      </c>
      <c r="H122">
        <v>26355.444418799998</v>
      </c>
      <c r="I122">
        <v>866.97181728000066</v>
      </c>
      <c r="J122">
        <v>3.1847717328300003E-2</v>
      </c>
    </row>
    <row r="123" spans="1:10" x14ac:dyDescent="0.25">
      <c r="A123" t="s">
        <v>1</v>
      </c>
      <c r="B123" t="s">
        <v>348</v>
      </c>
      <c r="C123" t="s">
        <v>350</v>
      </c>
      <c r="D123">
        <v>1</v>
      </c>
      <c r="E123" t="s">
        <v>65</v>
      </c>
      <c r="F123">
        <v>2023</v>
      </c>
      <c r="G123" t="s">
        <v>2</v>
      </c>
      <c r="H123">
        <v>34269.288080160157</v>
      </c>
      <c r="I123">
        <v>1154.9077128000008</v>
      </c>
      <c r="J123">
        <v>3.2602228136665697E-2</v>
      </c>
    </row>
    <row r="124" spans="1:10" x14ac:dyDescent="0.25">
      <c r="A124" t="s">
        <v>1</v>
      </c>
      <c r="B124" t="s">
        <v>348</v>
      </c>
      <c r="C124" t="s">
        <v>350</v>
      </c>
      <c r="D124">
        <v>1</v>
      </c>
      <c r="E124" t="s">
        <v>65</v>
      </c>
      <c r="F124">
        <v>2024</v>
      </c>
      <c r="G124" t="s">
        <v>2</v>
      </c>
      <c r="H124">
        <v>33589.318719840143</v>
      </c>
      <c r="I124">
        <v>1158.0718435200008</v>
      </c>
      <c r="J124">
        <v>3.3328311126221498E-2</v>
      </c>
    </row>
    <row r="125" spans="1:10" x14ac:dyDescent="0.25">
      <c r="A125" t="s">
        <v>1</v>
      </c>
      <c r="B125" t="s">
        <v>348</v>
      </c>
      <c r="C125" t="s">
        <v>350</v>
      </c>
      <c r="D125">
        <v>1</v>
      </c>
      <c r="E125" t="s">
        <v>65</v>
      </c>
      <c r="F125">
        <v>2025</v>
      </c>
      <c r="G125" t="s">
        <v>2</v>
      </c>
      <c r="H125">
        <v>34269.288080160157</v>
      </c>
      <c r="I125">
        <v>1154.9077128000008</v>
      </c>
      <c r="J125">
        <v>3.2602228136665697E-2</v>
      </c>
    </row>
    <row r="126" spans="1:10" x14ac:dyDescent="0.25">
      <c r="A126" t="s">
        <v>1</v>
      </c>
      <c r="B126" t="s">
        <v>348</v>
      </c>
      <c r="C126" t="s">
        <v>350</v>
      </c>
      <c r="D126">
        <v>1</v>
      </c>
      <c r="E126" t="s">
        <v>65</v>
      </c>
      <c r="F126">
        <v>2026</v>
      </c>
      <c r="G126" t="s">
        <v>2</v>
      </c>
      <c r="H126">
        <v>34269.288080160157</v>
      </c>
      <c r="I126">
        <v>1154.9077128000008</v>
      </c>
      <c r="J126">
        <v>3.2602228136665697E-2</v>
      </c>
    </row>
    <row r="127" spans="1:10" x14ac:dyDescent="0.25">
      <c r="A127" t="s">
        <v>1</v>
      </c>
      <c r="B127" t="s">
        <v>348</v>
      </c>
      <c r="C127" t="s">
        <v>350</v>
      </c>
      <c r="D127">
        <v>1</v>
      </c>
      <c r="E127" t="s">
        <v>65</v>
      </c>
      <c r="F127">
        <v>2027</v>
      </c>
      <c r="G127" t="s">
        <v>2</v>
      </c>
      <c r="H127">
        <v>34269.288080160157</v>
      </c>
      <c r="I127">
        <v>1154.9077128000008</v>
      </c>
      <c r="J127">
        <v>3.2602228136665697E-2</v>
      </c>
    </row>
    <row r="128" spans="1:10" x14ac:dyDescent="0.25">
      <c r="A128" t="s">
        <v>1</v>
      </c>
      <c r="B128" t="s">
        <v>348</v>
      </c>
      <c r="C128" t="s">
        <v>350</v>
      </c>
      <c r="D128">
        <v>1</v>
      </c>
      <c r="E128" t="s">
        <v>65</v>
      </c>
      <c r="F128">
        <v>2028</v>
      </c>
      <c r="G128" t="s">
        <v>2</v>
      </c>
      <c r="H128">
        <v>34372.988150880163</v>
      </c>
      <c r="I128">
        <v>1158.0718435200008</v>
      </c>
      <c r="J128">
        <v>3.2593225299287903E-2</v>
      </c>
    </row>
    <row r="129" spans="1:10" x14ac:dyDescent="0.25">
      <c r="A129" t="s">
        <v>1</v>
      </c>
      <c r="B129" t="s">
        <v>348</v>
      </c>
      <c r="C129" t="s">
        <v>350</v>
      </c>
      <c r="D129">
        <v>1</v>
      </c>
      <c r="E129" t="s">
        <v>65</v>
      </c>
      <c r="F129">
        <v>2029</v>
      </c>
      <c r="G129" t="s">
        <v>2</v>
      </c>
      <c r="H129">
        <v>33510.368859840135</v>
      </c>
      <c r="I129">
        <v>1154.9077128000008</v>
      </c>
      <c r="J129">
        <v>3.3315981494620998E-2</v>
      </c>
    </row>
    <row r="130" spans="1:10" x14ac:dyDescent="0.25">
      <c r="A130" t="s">
        <v>1</v>
      </c>
      <c r="B130" t="s">
        <v>348</v>
      </c>
      <c r="C130" t="s">
        <v>350</v>
      </c>
      <c r="D130">
        <v>1</v>
      </c>
      <c r="E130" t="s">
        <v>65</v>
      </c>
      <c r="F130">
        <v>2030</v>
      </c>
      <c r="G130" t="s">
        <v>2</v>
      </c>
      <c r="H130">
        <v>33316.491993360134</v>
      </c>
      <c r="I130">
        <v>1154.9077128000008</v>
      </c>
      <c r="J130">
        <v>3.3503359963465998E-2</v>
      </c>
    </row>
    <row r="131" spans="1:10" x14ac:dyDescent="0.25">
      <c r="A131" t="s">
        <v>1</v>
      </c>
      <c r="B131" t="s">
        <v>348</v>
      </c>
      <c r="C131" t="s">
        <v>350</v>
      </c>
      <c r="D131">
        <v>1</v>
      </c>
      <c r="E131" t="s">
        <v>65</v>
      </c>
      <c r="F131">
        <v>2031</v>
      </c>
      <c r="G131" t="s">
        <v>2</v>
      </c>
      <c r="H131">
        <v>33332.164566960135</v>
      </c>
      <c r="I131">
        <v>1154.9077128000008</v>
      </c>
      <c r="J131">
        <v>3.3488134435749002E-2</v>
      </c>
    </row>
    <row r="132" spans="1:10" x14ac:dyDescent="0.25">
      <c r="A132" t="s">
        <v>1</v>
      </c>
      <c r="B132" t="s">
        <v>348</v>
      </c>
      <c r="C132" t="s">
        <v>350</v>
      </c>
      <c r="D132">
        <v>1</v>
      </c>
      <c r="E132" t="s">
        <v>65</v>
      </c>
      <c r="F132">
        <v>2032</v>
      </c>
      <c r="G132" t="s">
        <v>2</v>
      </c>
      <c r="H132">
        <v>34372.988150880163</v>
      </c>
      <c r="I132">
        <v>1158.0718435200008</v>
      </c>
      <c r="J132">
        <v>3.2593225299287903E-2</v>
      </c>
    </row>
    <row r="133" spans="1:10" x14ac:dyDescent="0.25">
      <c r="A133" t="s">
        <v>1</v>
      </c>
      <c r="B133" t="s">
        <v>348</v>
      </c>
      <c r="C133" t="s">
        <v>350</v>
      </c>
      <c r="D133">
        <v>1</v>
      </c>
      <c r="E133" t="s">
        <v>65</v>
      </c>
      <c r="F133">
        <v>2033</v>
      </c>
      <c r="G133" t="s">
        <v>2</v>
      </c>
      <c r="H133">
        <v>33092.901716880129</v>
      </c>
      <c r="I133">
        <v>1154.9077128000008</v>
      </c>
      <c r="J133">
        <v>3.3722090026555802E-2</v>
      </c>
    </row>
    <row r="134" spans="1:10" x14ac:dyDescent="0.25">
      <c r="A134" t="s">
        <v>1</v>
      </c>
      <c r="B134" t="s">
        <v>348</v>
      </c>
      <c r="C134" t="s">
        <v>350</v>
      </c>
      <c r="D134">
        <v>1</v>
      </c>
      <c r="E134" t="s">
        <v>65</v>
      </c>
      <c r="F134">
        <v>2034</v>
      </c>
      <c r="G134" t="s">
        <v>2</v>
      </c>
      <c r="H134">
        <v>32851.039111920123</v>
      </c>
      <c r="I134">
        <v>1154.9077128000008</v>
      </c>
      <c r="J134">
        <v>3.3961933739202803E-2</v>
      </c>
    </row>
    <row r="135" spans="1:10" x14ac:dyDescent="0.25">
      <c r="A135" t="s">
        <v>1</v>
      </c>
      <c r="B135" t="s">
        <v>348</v>
      </c>
      <c r="C135" t="s">
        <v>350</v>
      </c>
      <c r="D135">
        <v>1</v>
      </c>
      <c r="E135" t="s">
        <v>65</v>
      </c>
      <c r="F135">
        <v>2035</v>
      </c>
      <c r="G135" t="s">
        <v>2</v>
      </c>
      <c r="H135">
        <v>34269.288080160157</v>
      </c>
      <c r="I135">
        <v>1154.9077128000008</v>
      </c>
      <c r="J135">
        <v>3.2602228136665697E-2</v>
      </c>
    </row>
    <row r="136" spans="1:10" x14ac:dyDescent="0.25">
      <c r="A136" t="s">
        <v>1</v>
      </c>
      <c r="B136" t="s">
        <v>348</v>
      </c>
      <c r="C136" t="s">
        <v>350</v>
      </c>
      <c r="D136">
        <v>1</v>
      </c>
      <c r="E136" t="s">
        <v>65</v>
      </c>
      <c r="F136">
        <v>2036</v>
      </c>
      <c r="G136" t="s">
        <v>2</v>
      </c>
      <c r="H136">
        <v>32708.804587920116</v>
      </c>
      <c r="I136">
        <v>1158.0718435200008</v>
      </c>
      <c r="J136">
        <v>3.4194822952284702E-2</v>
      </c>
    </row>
    <row r="137" spans="1:10" x14ac:dyDescent="0.25">
      <c r="A137" t="s">
        <v>1</v>
      </c>
      <c r="B137" t="s">
        <v>348</v>
      </c>
      <c r="C137" t="s">
        <v>350</v>
      </c>
      <c r="D137">
        <v>1</v>
      </c>
      <c r="E137" t="s">
        <v>65</v>
      </c>
      <c r="F137">
        <v>2037</v>
      </c>
      <c r="G137" t="s">
        <v>2</v>
      </c>
      <c r="H137">
        <v>32240.446513440103</v>
      </c>
      <c r="I137">
        <v>1154.9077128000008</v>
      </c>
      <c r="J137">
        <v>3.4582885540784002E-2</v>
      </c>
    </row>
    <row r="138" spans="1:10" x14ac:dyDescent="0.25">
      <c r="A138" t="s">
        <v>1</v>
      </c>
      <c r="B138" t="s">
        <v>348</v>
      </c>
      <c r="C138" t="s">
        <v>350</v>
      </c>
      <c r="D138">
        <v>1</v>
      </c>
      <c r="E138" t="s">
        <v>65</v>
      </c>
      <c r="F138">
        <v>2038</v>
      </c>
      <c r="G138" t="s">
        <v>2</v>
      </c>
      <c r="H138">
        <v>32006.187068640098</v>
      </c>
      <c r="I138">
        <v>1154.9077128000008</v>
      </c>
      <c r="J138">
        <v>3.4827188921591E-2</v>
      </c>
    </row>
    <row r="139" spans="1:10" x14ac:dyDescent="0.25">
      <c r="A139" t="s">
        <v>1</v>
      </c>
      <c r="B139" t="s">
        <v>348</v>
      </c>
      <c r="C139" t="s">
        <v>350</v>
      </c>
      <c r="D139">
        <v>1</v>
      </c>
      <c r="E139" t="s">
        <v>65</v>
      </c>
      <c r="F139">
        <v>2039</v>
      </c>
      <c r="G139" t="s">
        <v>2</v>
      </c>
      <c r="H139">
        <v>34269.288080160157</v>
      </c>
      <c r="I139">
        <v>1154.9077128000008</v>
      </c>
      <c r="J139">
        <v>3.2602228136665697E-2</v>
      </c>
    </row>
    <row r="140" spans="1:10" x14ac:dyDescent="0.25">
      <c r="A140" t="s">
        <v>1</v>
      </c>
      <c r="B140" t="s">
        <v>348</v>
      </c>
      <c r="C140" t="s">
        <v>350</v>
      </c>
      <c r="D140">
        <v>1</v>
      </c>
      <c r="E140" t="s">
        <v>65</v>
      </c>
      <c r="F140">
        <v>2040</v>
      </c>
      <c r="G140" t="s">
        <v>2</v>
      </c>
      <c r="H140">
        <v>34372.988150880163</v>
      </c>
      <c r="I140">
        <v>1158.0718435200008</v>
      </c>
      <c r="J140">
        <v>3.2593225299287903E-2</v>
      </c>
    </row>
    <row r="141" spans="1:10" x14ac:dyDescent="0.25">
      <c r="A141" t="s">
        <v>1</v>
      </c>
      <c r="B141" t="s">
        <v>348</v>
      </c>
      <c r="C141" t="s">
        <v>350</v>
      </c>
      <c r="D141">
        <v>1</v>
      </c>
      <c r="E141" t="s">
        <v>65</v>
      </c>
      <c r="F141">
        <v>2041</v>
      </c>
      <c r="G141" t="s">
        <v>2</v>
      </c>
      <c r="H141">
        <v>34269.288080160157</v>
      </c>
      <c r="I141">
        <v>1154.9077128000008</v>
      </c>
      <c r="J141">
        <v>3.2602228136665697E-2</v>
      </c>
    </row>
    <row r="142" spans="1:10" x14ac:dyDescent="0.25">
      <c r="A142" t="s">
        <v>1</v>
      </c>
      <c r="B142" t="s">
        <v>348</v>
      </c>
      <c r="C142" t="s">
        <v>350</v>
      </c>
      <c r="D142">
        <v>1</v>
      </c>
      <c r="E142" t="s">
        <v>65</v>
      </c>
      <c r="F142">
        <v>2042</v>
      </c>
      <c r="G142" t="s">
        <v>2</v>
      </c>
      <c r="H142">
        <v>31544.347273440089</v>
      </c>
      <c r="I142">
        <v>1154.9077128000008</v>
      </c>
      <c r="J142">
        <v>3.5319083364008998E-2</v>
      </c>
    </row>
    <row r="143" spans="1:10" x14ac:dyDescent="0.25">
      <c r="A143" t="s">
        <v>1</v>
      </c>
      <c r="B143" t="s">
        <v>348</v>
      </c>
      <c r="C143" t="s">
        <v>350</v>
      </c>
      <c r="D143">
        <v>1</v>
      </c>
      <c r="E143" t="s">
        <v>65</v>
      </c>
      <c r="F143">
        <v>2043</v>
      </c>
      <c r="G143" t="s">
        <v>2</v>
      </c>
      <c r="H143">
        <v>31536.201177840088</v>
      </c>
      <c r="I143">
        <v>1154.9077128000008</v>
      </c>
      <c r="J143">
        <v>3.5327884308343702E-2</v>
      </c>
    </row>
    <row r="144" spans="1:10" x14ac:dyDescent="0.25">
      <c r="A144" t="s">
        <v>1</v>
      </c>
      <c r="B144" t="s">
        <v>348</v>
      </c>
      <c r="C144" t="s">
        <v>350</v>
      </c>
      <c r="D144">
        <v>1</v>
      </c>
      <c r="E144" t="s">
        <v>65</v>
      </c>
      <c r="F144">
        <v>2044</v>
      </c>
      <c r="G144" t="s">
        <v>2</v>
      </c>
      <c r="H144">
        <v>33999.37204872015</v>
      </c>
      <c r="I144">
        <v>1158.0718435200008</v>
      </c>
      <c r="J144">
        <v>3.2939591600275701E-2</v>
      </c>
    </row>
    <row r="145" spans="1:10" x14ac:dyDescent="0.25">
      <c r="A145" t="s">
        <v>1</v>
      </c>
      <c r="B145" t="s">
        <v>348</v>
      </c>
      <c r="C145" t="s">
        <v>350</v>
      </c>
      <c r="D145">
        <v>1</v>
      </c>
      <c r="E145" t="s">
        <v>65</v>
      </c>
      <c r="F145">
        <v>2045</v>
      </c>
      <c r="G145" t="s">
        <v>2</v>
      </c>
      <c r="H145">
        <v>33493.545150720136</v>
      </c>
      <c r="I145">
        <v>1154.9077128000008</v>
      </c>
      <c r="J145">
        <v>3.3332158216390399E-2</v>
      </c>
    </row>
    <row r="146" spans="1:10" x14ac:dyDescent="0.25">
      <c r="A146" t="s">
        <v>1</v>
      </c>
      <c r="B146" t="s">
        <v>348</v>
      </c>
      <c r="C146" t="s">
        <v>350</v>
      </c>
      <c r="D146">
        <v>1</v>
      </c>
      <c r="E146" t="s">
        <v>65</v>
      </c>
      <c r="F146">
        <v>2046</v>
      </c>
      <c r="G146" t="s">
        <v>2</v>
      </c>
      <c r="H146">
        <v>31514.26059648009</v>
      </c>
      <c r="I146">
        <v>1154.9077128000008</v>
      </c>
      <c r="J146">
        <v>3.5351610480758203E-2</v>
      </c>
    </row>
    <row r="147" spans="1:10" x14ac:dyDescent="0.25">
      <c r="A147" t="s">
        <v>1</v>
      </c>
      <c r="B147" t="s">
        <v>348</v>
      </c>
      <c r="C147" t="s">
        <v>350</v>
      </c>
      <c r="D147">
        <v>1</v>
      </c>
      <c r="E147" t="s">
        <v>65</v>
      </c>
      <c r="F147">
        <v>2047</v>
      </c>
      <c r="G147" t="s">
        <v>2</v>
      </c>
      <c r="H147">
        <v>33088.829894640134</v>
      </c>
      <c r="I147">
        <v>1154.9077128000008</v>
      </c>
      <c r="J147">
        <v>3.3726099821214398E-2</v>
      </c>
    </row>
    <row r="148" spans="1:10" x14ac:dyDescent="0.25">
      <c r="A148" t="s">
        <v>1</v>
      </c>
      <c r="B148" t="s">
        <v>348</v>
      </c>
      <c r="C148" t="s">
        <v>350</v>
      </c>
      <c r="D148">
        <v>1</v>
      </c>
      <c r="E148" t="s">
        <v>65</v>
      </c>
      <c r="F148">
        <v>2048</v>
      </c>
      <c r="G148" t="s">
        <v>2</v>
      </c>
      <c r="H148">
        <v>33163.479765600132</v>
      </c>
      <c r="I148">
        <v>1158.0718435200008</v>
      </c>
      <c r="J148">
        <v>3.37418266140471E-2</v>
      </c>
    </row>
    <row r="149" spans="1:10" x14ac:dyDescent="0.25">
      <c r="A149" t="s">
        <v>1</v>
      </c>
      <c r="B149" t="s">
        <v>348</v>
      </c>
      <c r="C149" t="s">
        <v>350</v>
      </c>
      <c r="D149">
        <v>1</v>
      </c>
      <c r="E149" t="s">
        <v>65</v>
      </c>
      <c r="F149">
        <v>2049</v>
      </c>
      <c r="G149" t="s">
        <v>2</v>
      </c>
      <c r="H149">
        <v>32722.385607120115</v>
      </c>
      <c r="I149">
        <v>1154.9077128000008</v>
      </c>
      <c r="J149">
        <v>3.4090908677196601E-2</v>
      </c>
    </row>
    <row r="150" spans="1:10" x14ac:dyDescent="0.25">
      <c r="A150" t="s">
        <v>1</v>
      </c>
      <c r="B150" t="s">
        <v>348</v>
      </c>
      <c r="C150" t="s">
        <v>350</v>
      </c>
      <c r="D150">
        <v>1</v>
      </c>
      <c r="E150" t="s">
        <v>65</v>
      </c>
      <c r="F150">
        <v>2050</v>
      </c>
      <c r="G150" t="s">
        <v>2</v>
      </c>
      <c r="H150">
        <v>32598.959903040115</v>
      </c>
      <c r="I150">
        <v>1154.9077128000008</v>
      </c>
      <c r="J150">
        <v>3.4215566818719803E-2</v>
      </c>
    </row>
    <row r="151" spans="1:10" x14ac:dyDescent="0.25">
      <c r="A151" t="s">
        <v>1</v>
      </c>
      <c r="B151" t="s">
        <v>348</v>
      </c>
      <c r="C151" t="s">
        <v>350</v>
      </c>
      <c r="D151">
        <v>1</v>
      </c>
      <c r="E151" t="s">
        <v>65</v>
      </c>
      <c r="F151">
        <v>2051</v>
      </c>
      <c r="G151" t="s">
        <v>2</v>
      </c>
      <c r="H151">
        <v>32148.506576400123</v>
      </c>
      <c r="I151">
        <v>1154.9077128000008</v>
      </c>
      <c r="J151">
        <v>3.4678357683419897E-2</v>
      </c>
    </row>
    <row r="152" spans="1:10" x14ac:dyDescent="0.25">
      <c r="A152" t="s">
        <v>1</v>
      </c>
      <c r="B152" t="s">
        <v>348</v>
      </c>
      <c r="C152" t="s">
        <v>350</v>
      </c>
      <c r="D152">
        <v>1</v>
      </c>
      <c r="E152" t="s">
        <v>66</v>
      </c>
      <c r="F152">
        <v>2022</v>
      </c>
      <c r="G152" t="s">
        <v>2</v>
      </c>
      <c r="H152" s="2">
        <v>26355.444418800002</v>
      </c>
      <c r="I152" s="3">
        <v>866.97181727999998</v>
      </c>
      <c r="J152" s="1">
        <v>3.1847717328300003E-2</v>
      </c>
    </row>
    <row r="153" spans="1:10" x14ac:dyDescent="0.25">
      <c r="A153" t="s">
        <v>1</v>
      </c>
      <c r="B153" t="s">
        <v>348</v>
      </c>
      <c r="C153" t="s">
        <v>350</v>
      </c>
      <c r="D153">
        <v>1</v>
      </c>
      <c r="E153" t="s">
        <v>66</v>
      </c>
      <c r="F153">
        <v>2023</v>
      </c>
      <c r="G153" t="s">
        <v>2</v>
      </c>
      <c r="H153" s="2">
        <v>34269.288080159997</v>
      </c>
      <c r="I153" s="2">
        <v>1154.9077127999999</v>
      </c>
      <c r="J153" s="1">
        <v>3.2602228136665697E-2</v>
      </c>
    </row>
    <row r="154" spans="1:10" x14ac:dyDescent="0.25">
      <c r="A154" t="s">
        <v>1</v>
      </c>
      <c r="B154" t="s">
        <v>348</v>
      </c>
      <c r="C154" t="s">
        <v>350</v>
      </c>
      <c r="D154">
        <v>1</v>
      </c>
      <c r="E154" t="s">
        <v>66</v>
      </c>
      <c r="F154">
        <v>2024</v>
      </c>
      <c r="G154" t="s">
        <v>2</v>
      </c>
      <c r="H154" s="2">
        <v>33539.278110480001</v>
      </c>
      <c r="I154" s="2">
        <v>1158.0718435199999</v>
      </c>
      <c r="J154" s="1">
        <v>3.3376377304183399E-2</v>
      </c>
    </row>
    <row r="155" spans="1:10" x14ac:dyDescent="0.25">
      <c r="A155" t="s">
        <v>1</v>
      </c>
      <c r="B155" t="s">
        <v>348</v>
      </c>
      <c r="C155" t="s">
        <v>350</v>
      </c>
      <c r="D155">
        <v>1</v>
      </c>
      <c r="E155" t="s">
        <v>66</v>
      </c>
      <c r="F155">
        <v>2025</v>
      </c>
      <c r="G155" t="s">
        <v>2</v>
      </c>
      <c r="H155" s="2">
        <v>34269.288080159997</v>
      </c>
      <c r="I155" s="2">
        <v>1154.9077127999999</v>
      </c>
      <c r="J155" s="1">
        <v>3.2602228136665697E-2</v>
      </c>
    </row>
    <row r="156" spans="1:10" x14ac:dyDescent="0.25">
      <c r="A156" t="s">
        <v>1</v>
      </c>
      <c r="B156" t="s">
        <v>348</v>
      </c>
      <c r="C156" t="s">
        <v>350</v>
      </c>
      <c r="D156">
        <v>1</v>
      </c>
      <c r="E156" t="s">
        <v>66</v>
      </c>
      <c r="F156">
        <v>2026</v>
      </c>
      <c r="G156" t="s">
        <v>2</v>
      </c>
      <c r="H156" s="2">
        <v>34269.288080159997</v>
      </c>
      <c r="I156" s="2">
        <v>1154.9077127999999</v>
      </c>
      <c r="J156" s="1">
        <v>3.2602228136665697E-2</v>
      </c>
    </row>
    <row r="157" spans="1:10" x14ac:dyDescent="0.25">
      <c r="A157" t="s">
        <v>1</v>
      </c>
      <c r="B157" t="s">
        <v>348</v>
      </c>
      <c r="C157" t="s">
        <v>350</v>
      </c>
      <c r="D157">
        <v>1</v>
      </c>
      <c r="E157" t="s">
        <v>66</v>
      </c>
      <c r="F157">
        <v>2027</v>
      </c>
      <c r="G157" t="s">
        <v>2</v>
      </c>
      <c r="H157" s="2">
        <v>34269.288080159997</v>
      </c>
      <c r="I157" s="2">
        <v>1154.9077127999999</v>
      </c>
      <c r="J157" s="1">
        <v>3.2602228136665697E-2</v>
      </c>
    </row>
    <row r="158" spans="1:10" x14ac:dyDescent="0.25">
      <c r="A158" t="s">
        <v>1</v>
      </c>
      <c r="B158" t="s">
        <v>348</v>
      </c>
      <c r="C158" t="s">
        <v>350</v>
      </c>
      <c r="D158">
        <v>1</v>
      </c>
      <c r="E158" t="s">
        <v>66</v>
      </c>
      <c r="F158">
        <v>2028</v>
      </c>
      <c r="G158" t="s">
        <v>2</v>
      </c>
      <c r="H158" s="2">
        <v>34369.096625760001</v>
      </c>
      <c r="I158" s="2">
        <v>1158.0718435199999</v>
      </c>
      <c r="J158" s="1">
        <v>3.2596795450258502E-2</v>
      </c>
    </row>
    <row r="159" spans="1:10" x14ac:dyDescent="0.25">
      <c r="A159" t="s">
        <v>1</v>
      </c>
      <c r="B159" t="s">
        <v>348</v>
      </c>
      <c r="C159" t="s">
        <v>350</v>
      </c>
      <c r="D159">
        <v>1</v>
      </c>
      <c r="E159" t="s">
        <v>66</v>
      </c>
      <c r="F159">
        <v>2029</v>
      </c>
      <c r="G159" t="s">
        <v>2</v>
      </c>
      <c r="H159" s="2">
        <v>33493.188808799998</v>
      </c>
      <c r="I159" s="2">
        <v>1154.9077127999999</v>
      </c>
      <c r="J159" s="1">
        <v>3.3332501024407303E-2</v>
      </c>
    </row>
    <row r="160" spans="1:10" x14ac:dyDescent="0.25">
      <c r="A160" t="s">
        <v>1</v>
      </c>
      <c r="B160" t="s">
        <v>348</v>
      </c>
      <c r="C160" t="s">
        <v>350</v>
      </c>
      <c r="D160">
        <v>1</v>
      </c>
      <c r="E160" t="s">
        <v>66</v>
      </c>
      <c r="F160">
        <v>2030</v>
      </c>
      <c r="G160" t="s">
        <v>2</v>
      </c>
      <c r="H160" s="2">
        <v>33268.084746959998</v>
      </c>
      <c r="I160" s="2">
        <v>1154.9077127999999</v>
      </c>
      <c r="J160" s="1">
        <v>3.3550473978985598E-2</v>
      </c>
    </row>
    <row r="161" spans="1:10" x14ac:dyDescent="0.25">
      <c r="A161" t="s">
        <v>1</v>
      </c>
      <c r="B161" t="s">
        <v>348</v>
      </c>
      <c r="C161" t="s">
        <v>350</v>
      </c>
      <c r="D161">
        <v>1</v>
      </c>
      <c r="E161" t="s">
        <v>66</v>
      </c>
      <c r="F161">
        <v>2031</v>
      </c>
      <c r="G161" t="s">
        <v>2</v>
      </c>
      <c r="H161" s="2">
        <v>33195.457264320001</v>
      </c>
      <c r="I161" s="2">
        <v>1154.9077127999999</v>
      </c>
      <c r="J161" s="1">
        <v>3.3621410240306099E-2</v>
      </c>
    </row>
    <row r="162" spans="1:10" x14ac:dyDescent="0.25">
      <c r="A162" t="s">
        <v>1</v>
      </c>
      <c r="B162" t="s">
        <v>348</v>
      </c>
      <c r="C162" t="s">
        <v>350</v>
      </c>
      <c r="D162">
        <v>1</v>
      </c>
      <c r="E162" t="s">
        <v>66</v>
      </c>
      <c r="F162">
        <v>2032</v>
      </c>
      <c r="G162" t="s">
        <v>2</v>
      </c>
      <c r="H162" s="2">
        <v>34372.988150880003</v>
      </c>
      <c r="I162" s="2">
        <v>1158.0718435199999</v>
      </c>
      <c r="J162" s="1">
        <v>3.2593225299287903E-2</v>
      </c>
    </row>
    <row r="163" spans="1:10" x14ac:dyDescent="0.25">
      <c r="A163" t="s">
        <v>1</v>
      </c>
      <c r="B163" t="s">
        <v>348</v>
      </c>
      <c r="C163" t="s">
        <v>350</v>
      </c>
      <c r="D163">
        <v>1</v>
      </c>
      <c r="E163" t="s">
        <v>66</v>
      </c>
      <c r="F163">
        <v>2033</v>
      </c>
      <c r="G163" t="s">
        <v>2</v>
      </c>
      <c r="H163" s="2">
        <v>32838.091723680001</v>
      </c>
      <c r="I163" s="2">
        <v>1154.9077127999999</v>
      </c>
      <c r="J163" s="1">
        <v>3.3974869295017002E-2</v>
      </c>
    </row>
    <row r="164" spans="1:10" x14ac:dyDescent="0.25">
      <c r="A164" t="s">
        <v>1</v>
      </c>
      <c r="B164" t="s">
        <v>348</v>
      </c>
      <c r="C164" t="s">
        <v>350</v>
      </c>
      <c r="D164">
        <v>1</v>
      </c>
      <c r="E164" t="s">
        <v>66</v>
      </c>
      <c r="F164">
        <v>2034</v>
      </c>
      <c r="G164" t="s">
        <v>2</v>
      </c>
      <c r="H164" s="2">
        <v>32544.494945999999</v>
      </c>
      <c r="I164" s="2">
        <v>1154.9077127999999</v>
      </c>
      <c r="J164" s="1">
        <v>3.4270866000006402E-2</v>
      </c>
    </row>
    <row r="165" spans="1:10" x14ac:dyDescent="0.25">
      <c r="A165" t="s">
        <v>1</v>
      </c>
      <c r="B165" t="s">
        <v>348</v>
      </c>
      <c r="C165" t="s">
        <v>350</v>
      </c>
      <c r="D165">
        <v>1</v>
      </c>
      <c r="E165" t="s">
        <v>66</v>
      </c>
      <c r="F165">
        <v>2035</v>
      </c>
      <c r="G165" t="s">
        <v>2</v>
      </c>
      <c r="H165" s="2">
        <v>34269.288080159997</v>
      </c>
      <c r="I165" s="2">
        <v>1154.9077127999999</v>
      </c>
      <c r="J165" s="1">
        <v>3.2602228136665697E-2</v>
      </c>
    </row>
    <row r="166" spans="1:10" x14ac:dyDescent="0.25">
      <c r="A166" t="s">
        <v>1</v>
      </c>
      <c r="B166" t="s">
        <v>348</v>
      </c>
      <c r="C166" t="s">
        <v>350</v>
      </c>
      <c r="D166">
        <v>1</v>
      </c>
      <c r="E166" t="s">
        <v>66</v>
      </c>
      <c r="F166">
        <v>2036</v>
      </c>
      <c r="G166" t="s">
        <v>2</v>
      </c>
      <c r="H166" s="2">
        <v>32300.139977999999</v>
      </c>
      <c r="I166" s="2">
        <v>1158.0718435199999</v>
      </c>
      <c r="J166" s="1">
        <v>3.46124846628873E-2</v>
      </c>
    </row>
    <row r="167" spans="1:10" x14ac:dyDescent="0.25">
      <c r="A167" t="s">
        <v>1</v>
      </c>
      <c r="B167" t="s">
        <v>348</v>
      </c>
      <c r="C167" t="s">
        <v>350</v>
      </c>
      <c r="D167">
        <v>1</v>
      </c>
      <c r="E167" t="s">
        <v>66</v>
      </c>
      <c r="F167">
        <v>2037</v>
      </c>
      <c r="G167" t="s">
        <v>2</v>
      </c>
      <c r="H167" s="2">
        <v>31773.969570720001</v>
      </c>
      <c r="I167" s="2">
        <v>1154.9077127999999</v>
      </c>
      <c r="J167" s="1">
        <v>3.5072793489318098E-2</v>
      </c>
    </row>
    <row r="168" spans="1:10" x14ac:dyDescent="0.25">
      <c r="A168" t="s">
        <v>1</v>
      </c>
      <c r="B168" t="s">
        <v>348</v>
      </c>
      <c r="C168" t="s">
        <v>350</v>
      </c>
      <c r="D168">
        <v>1</v>
      </c>
      <c r="E168" t="s">
        <v>66</v>
      </c>
      <c r="F168">
        <v>2038</v>
      </c>
      <c r="G168" t="s">
        <v>2</v>
      </c>
      <c r="H168" s="2">
        <v>31548.32128728</v>
      </c>
      <c r="I168" s="2">
        <v>1154.9077127999999</v>
      </c>
      <c r="J168" s="1">
        <v>3.5314791478149497E-2</v>
      </c>
    </row>
    <row r="169" spans="1:10" x14ac:dyDescent="0.25">
      <c r="A169" t="s">
        <v>1</v>
      </c>
      <c r="B169" t="s">
        <v>348</v>
      </c>
      <c r="C169" t="s">
        <v>350</v>
      </c>
      <c r="D169">
        <v>1</v>
      </c>
      <c r="E169" t="s">
        <v>66</v>
      </c>
      <c r="F169">
        <v>2039</v>
      </c>
      <c r="G169" t="s">
        <v>2</v>
      </c>
      <c r="H169" s="2">
        <v>33608.75147304</v>
      </c>
      <c r="I169" s="2">
        <v>1154.9077127999999</v>
      </c>
      <c r="J169" s="1">
        <v>3.3221695869990998E-2</v>
      </c>
    </row>
    <row r="170" spans="1:10" x14ac:dyDescent="0.25">
      <c r="A170" t="s">
        <v>1</v>
      </c>
      <c r="B170" t="s">
        <v>348</v>
      </c>
      <c r="C170" t="s">
        <v>350</v>
      </c>
      <c r="D170">
        <v>1</v>
      </c>
      <c r="E170" t="s">
        <v>66</v>
      </c>
      <c r="F170">
        <v>2040</v>
      </c>
      <c r="G170" t="s">
        <v>2</v>
      </c>
      <c r="H170" s="2">
        <v>33491.719509839997</v>
      </c>
      <c r="I170" s="2">
        <v>1158.0718435199999</v>
      </c>
      <c r="J170" s="1">
        <v>3.3422188079285403E-2</v>
      </c>
    </row>
    <row r="171" spans="1:10" x14ac:dyDescent="0.25">
      <c r="A171" t="s">
        <v>1</v>
      </c>
      <c r="B171" t="s">
        <v>348</v>
      </c>
      <c r="C171" t="s">
        <v>350</v>
      </c>
      <c r="D171">
        <v>1</v>
      </c>
      <c r="E171" t="s">
        <v>66</v>
      </c>
      <c r="F171">
        <v>2041</v>
      </c>
      <c r="G171" t="s">
        <v>2</v>
      </c>
      <c r="H171" s="2">
        <v>32801.194943280003</v>
      </c>
      <c r="I171" s="2">
        <v>1154.9077127999999</v>
      </c>
      <c r="J171" s="1">
        <v>3.4011786467290701E-2</v>
      </c>
    </row>
    <row r="172" spans="1:10" x14ac:dyDescent="0.25">
      <c r="A172" t="s">
        <v>1</v>
      </c>
      <c r="B172" t="s">
        <v>348</v>
      </c>
      <c r="C172" t="s">
        <v>350</v>
      </c>
      <c r="D172">
        <v>1</v>
      </c>
      <c r="E172" t="s">
        <v>66</v>
      </c>
      <c r="F172">
        <v>2042</v>
      </c>
      <c r="G172" t="s">
        <v>2</v>
      </c>
      <c r="H172" s="2">
        <v>31467.58539864</v>
      </c>
      <c r="I172" s="2">
        <v>1154.9077127999999</v>
      </c>
      <c r="J172" s="1">
        <v>3.5402190410609498E-2</v>
      </c>
    </row>
    <row r="173" spans="1:10" x14ac:dyDescent="0.25">
      <c r="A173" t="s">
        <v>1</v>
      </c>
      <c r="B173" t="s">
        <v>348</v>
      </c>
      <c r="C173" t="s">
        <v>350</v>
      </c>
      <c r="D173">
        <v>1</v>
      </c>
      <c r="E173" t="s">
        <v>66</v>
      </c>
      <c r="F173">
        <v>2043</v>
      </c>
      <c r="G173" t="s">
        <v>2</v>
      </c>
      <c r="H173" s="2">
        <v>31433.910916320001</v>
      </c>
      <c r="I173" s="2">
        <v>1154.9077127999999</v>
      </c>
      <c r="J173" s="1">
        <v>3.5438771989360199E-2</v>
      </c>
    </row>
    <row r="174" spans="1:10" x14ac:dyDescent="0.25">
      <c r="A174" t="s">
        <v>1</v>
      </c>
      <c r="B174" t="s">
        <v>348</v>
      </c>
      <c r="C174" t="s">
        <v>350</v>
      </c>
      <c r="D174">
        <v>1</v>
      </c>
      <c r="E174" t="s">
        <v>66</v>
      </c>
      <c r="F174">
        <v>2044</v>
      </c>
      <c r="G174" t="s">
        <v>2</v>
      </c>
      <c r="H174" s="2">
        <v>31274.04098424</v>
      </c>
      <c r="I174" s="2">
        <v>1158.0718435199999</v>
      </c>
      <c r="J174" s="1">
        <v>3.57075670546124E-2</v>
      </c>
    </row>
    <row r="175" spans="1:10" x14ac:dyDescent="0.25">
      <c r="A175" t="s">
        <v>1</v>
      </c>
      <c r="B175" t="s">
        <v>348</v>
      </c>
      <c r="C175" t="s">
        <v>350</v>
      </c>
      <c r="D175">
        <v>1</v>
      </c>
      <c r="E175" t="s">
        <v>66</v>
      </c>
      <c r="F175">
        <v>2045</v>
      </c>
      <c r="G175" t="s">
        <v>2</v>
      </c>
      <c r="H175" s="2">
        <v>31150.322772</v>
      </c>
      <c r="I175" s="2">
        <v>1154.9077127999999</v>
      </c>
      <c r="J175" s="1">
        <v>3.5749867605600102E-2</v>
      </c>
    </row>
    <row r="176" spans="1:10" x14ac:dyDescent="0.25">
      <c r="A176" t="s">
        <v>1</v>
      </c>
      <c r="B176" t="s">
        <v>348</v>
      </c>
      <c r="C176" t="s">
        <v>350</v>
      </c>
      <c r="D176">
        <v>1</v>
      </c>
      <c r="E176" t="s">
        <v>66</v>
      </c>
      <c r="F176">
        <v>2046</v>
      </c>
      <c r="G176" t="s">
        <v>2</v>
      </c>
      <c r="H176" s="2">
        <v>30006.295776719999</v>
      </c>
      <c r="I176" s="2">
        <v>1154.9077127999999</v>
      </c>
      <c r="J176" s="1">
        <v>3.7062359070579899E-2</v>
      </c>
    </row>
    <row r="177" spans="1:10" x14ac:dyDescent="0.25">
      <c r="A177" t="s">
        <v>1</v>
      </c>
      <c r="B177" t="s">
        <v>348</v>
      </c>
      <c r="C177" t="s">
        <v>350</v>
      </c>
      <c r="D177">
        <v>1</v>
      </c>
      <c r="E177" t="s">
        <v>66</v>
      </c>
      <c r="F177">
        <v>2047</v>
      </c>
      <c r="G177" t="s">
        <v>2</v>
      </c>
      <c r="H177" s="2">
        <v>26916.550537440002</v>
      </c>
      <c r="I177" s="2">
        <v>1154.9077127999999</v>
      </c>
      <c r="J177" s="1">
        <v>4.11417070857059E-2</v>
      </c>
    </row>
    <row r="178" spans="1:10" x14ac:dyDescent="0.25">
      <c r="A178" t="s">
        <v>1</v>
      </c>
      <c r="B178" t="s">
        <v>348</v>
      </c>
      <c r="C178" t="s">
        <v>350</v>
      </c>
      <c r="D178">
        <v>1</v>
      </c>
      <c r="E178" t="s">
        <v>66</v>
      </c>
      <c r="F178">
        <v>2048</v>
      </c>
      <c r="G178" t="s">
        <v>2</v>
      </c>
      <c r="H178" s="2">
        <v>31024.802982239999</v>
      </c>
      <c r="I178" s="2">
        <v>1158.0718435199999</v>
      </c>
      <c r="J178" s="1">
        <v>3.5984101786737999E-2</v>
      </c>
    </row>
    <row r="179" spans="1:10" x14ac:dyDescent="0.25">
      <c r="A179" t="s">
        <v>1</v>
      </c>
      <c r="B179" t="s">
        <v>348</v>
      </c>
      <c r="C179" t="s">
        <v>350</v>
      </c>
      <c r="D179">
        <v>1</v>
      </c>
      <c r="E179" t="s">
        <v>66</v>
      </c>
      <c r="F179">
        <v>2049</v>
      </c>
      <c r="G179" t="s">
        <v>2</v>
      </c>
      <c r="H179" s="2">
        <v>27609.613551599999</v>
      </c>
      <c r="I179" s="2">
        <v>1154.9077127999999</v>
      </c>
      <c r="J179" s="1">
        <v>4.0150423578554501E-2</v>
      </c>
    </row>
    <row r="180" spans="1:10" x14ac:dyDescent="0.25">
      <c r="A180" t="s">
        <v>1</v>
      </c>
      <c r="B180" t="s">
        <v>348</v>
      </c>
      <c r="C180" t="s">
        <v>350</v>
      </c>
      <c r="D180">
        <v>1</v>
      </c>
      <c r="E180" t="s">
        <v>66</v>
      </c>
      <c r="F180">
        <v>2050</v>
      </c>
      <c r="G180" t="s">
        <v>2</v>
      </c>
      <c r="H180" s="2">
        <v>24849.425215200001</v>
      </c>
      <c r="I180" s="2">
        <v>1154.9077127999999</v>
      </c>
      <c r="J180" s="1">
        <v>4.4412126086743699E-2</v>
      </c>
    </row>
    <row r="181" spans="1:10" x14ac:dyDescent="0.25">
      <c r="A181" t="s">
        <v>1</v>
      </c>
      <c r="B181" t="s">
        <v>348</v>
      </c>
      <c r="C181" t="s">
        <v>350</v>
      </c>
      <c r="D181">
        <v>1</v>
      </c>
      <c r="E181" t="s">
        <v>66</v>
      </c>
      <c r="F181">
        <v>2051</v>
      </c>
      <c r="G181" t="s">
        <v>2</v>
      </c>
      <c r="H181" s="2">
        <v>27405.350795999999</v>
      </c>
      <c r="I181" s="2">
        <v>1056.81966048</v>
      </c>
      <c r="J181" s="1">
        <v>3.7130677089293698E-2</v>
      </c>
    </row>
    <row r="182" spans="1:10" x14ac:dyDescent="0.25">
      <c r="A182" t="s">
        <v>1</v>
      </c>
      <c r="B182" t="s">
        <v>348</v>
      </c>
      <c r="C182" t="s">
        <v>350</v>
      </c>
      <c r="D182">
        <v>1</v>
      </c>
      <c r="E182" t="s">
        <v>67</v>
      </c>
      <c r="F182">
        <v>2022</v>
      </c>
      <c r="G182" t="s">
        <v>2</v>
      </c>
      <c r="H182">
        <v>26355.444418799998</v>
      </c>
      <c r="I182">
        <v>866.97181728000066</v>
      </c>
      <c r="J182">
        <v>3.1847717328300003E-2</v>
      </c>
    </row>
    <row r="183" spans="1:10" x14ac:dyDescent="0.25">
      <c r="A183" t="s">
        <v>1</v>
      </c>
      <c r="B183" t="s">
        <v>348</v>
      </c>
      <c r="C183" t="s">
        <v>350</v>
      </c>
      <c r="D183">
        <v>1</v>
      </c>
      <c r="E183" t="s">
        <v>67</v>
      </c>
      <c r="F183">
        <v>2023</v>
      </c>
      <c r="G183" t="s">
        <v>2</v>
      </c>
      <c r="H183">
        <v>34269.288080160157</v>
      </c>
      <c r="I183">
        <v>1154.9077128000008</v>
      </c>
      <c r="J183">
        <v>3.2602228136665697E-2</v>
      </c>
    </row>
    <row r="184" spans="1:10" x14ac:dyDescent="0.25">
      <c r="A184" t="s">
        <v>1</v>
      </c>
      <c r="B184" t="s">
        <v>348</v>
      </c>
      <c r="C184" t="s">
        <v>350</v>
      </c>
      <c r="D184">
        <v>1</v>
      </c>
      <c r="E184" t="s">
        <v>67</v>
      </c>
      <c r="F184">
        <v>2024</v>
      </c>
      <c r="G184" t="s">
        <v>2</v>
      </c>
      <c r="H184">
        <v>33521.190166080138</v>
      </c>
      <c r="I184">
        <v>1158.0718435200008</v>
      </c>
      <c r="J184">
        <v>3.3393785692423697E-2</v>
      </c>
    </row>
    <row r="185" spans="1:10" x14ac:dyDescent="0.25">
      <c r="A185" t="s">
        <v>1</v>
      </c>
      <c r="B185" t="s">
        <v>348</v>
      </c>
      <c r="C185" t="s">
        <v>350</v>
      </c>
      <c r="D185">
        <v>1</v>
      </c>
      <c r="E185" t="s">
        <v>67</v>
      </c>
      <c r="F185">
        <v>2025</v>
      </c>
      <c r="G185" t="s">
        <v>2</v>
      </c>
      <c r="H185">
        <v>34269.288080160157</v>
      </c>
      <c r="I185">
        <v>1154.9077128000008</v>
      </c>
      <c r="J185">
        <v>3.2602228136665697E-2</v>
      </c>
    </row>
    <row r="186" spans="1:10" x14ac:dyDescent="0.25">
      <c r="A186" t="s">
        <v>1</v>
      </c>
      <c r="B186" t="s">
        <v>348</v>
      </c>
      <c r="C186" t="s">
        <v>350</v>
      </c>
      <c r="D186">
        <v>1</v>
      </c>
      <c r="E186" t="s">
        <v>67</v>
      </c>
      <c r="F186">
        <v>2026</v>
      </c>
      <c r="G186" t="s">
        <v>2</v>
      </c>
      <c r="H186">
        <v>34269.288080160157</v>
      </c>
      <c r="I186">
        <v>1154.9077128000008</v>
      </c>
      <c r="J186">
        <v>3.2602228136665697E-2</v>
      </c>
    </row>
    <row r="187" spans="1:10" x14ac:dyDescent="0.25">
      <c r="A187" t="s">
        <v>1</v>
      </c>
      <c r="B187" t="s">
        <v>348</v>
      </c>
      <c r="C187" t="s">
        <v>350</v>
      </c>
      <c r="D187">
        <v>1</v>
      </c>
      <c r="E187" t="s">
        <v>67</v>
      </c>
      <c r="F187">
        <v>2027</v>
      </c>
      <c r="G187" t="s">
        <v>2</v>
      </c>
      <c r="H187">
        <v>32948.092106880125</v>
      </c>
      <c r="I187">
        <v>1154.9077128000008</v>
      </c>
      <c r="J187">
        <v>3.3865282201172402E-2</v>
      </c>
    </row>
    <row r="188" spans="1:10" x14ac:dyDescent="0.25">
      <c r="A188" t="s">
        <v>1</v>
      </c>
      <c r="B188" t="s">
        <v>348</v>
      </c>
      <c r="C188" t="s">
        <v>350</v>
      </c>
      <c r="D188">
        <v>1</v>
      </c>
      <c r="E188" t="s">
        <v>67</v>
      </c>
      <c r="F188">
        <v>2028</v>
      </c>
      <c r="G188" t="s">
        <v>2</v>
      </c>
      <c r="H188">
        <v>32552.826352800119</v>
      </c>
      <c r="I188">
        <v>1158.0718435200008</v>
      </c>
      <c r="J188">
        <v>3.4353040277236298E-2</v>
      </c>
    </row>
    <row r="189" spans="1:10" x14ac:dyDescent="0.25">
      <c r="A189" t="s">
        <v>1</v>
      </c>
      <c r="B189" t="s">
        <v>348</v>
      </c>
      <c r="C189" t="s">
        <v>350</v>
      </c>
      <c r="D189">
        <v>1</v>
      </c>
      <c r="E189" t="s">
        <v>67</v>
      </c>
      <c r="F189">
        <v>2029</v>
      </c>
      <c r="G189" t="s">
        <v>2</v>
      </c>
      <c r="H189">
        <v>32235.492821520107</v>
      </c>
      <c r="I189">
        <v>1154.9077128000008</v>
      </c>
      <c r="J189">
        <v>3.4588016145926E-2</v>
      </c>
    </row>
    <row r="190" spans="1:10" x14ac:dyDescent="0.25">
      <c r="A190" t="s">
        <v>1</v>
      </c>
      <c r="B190" t="s">
        <v>348</v>
      </c>
      <c r="C190" t="s">
        <v>350</v>
      </c>
      <c r="D190">
        <v>1</v>
      </c>
      <c r="E190" t="s">
        <v>67</v>
      </c>
      <c r="F190">
        <v>2030</v>
      </c>
      <c r="G190" t="s">
        <v>2</v>
      </c>
      <c r="H190">
        <v>31831.588462080097</v>
      </c>
      <c r="I190">
        <v>1154.9077128000008</v>
      </c>
      <c r="J190">
        <v>3.5011530375253501E-2</v>
      </c>
    </row>
    <row r="191" spans="1:10" x14ac:dyDescent="0.25">
      <c r="A191" t="s">
        <v>1</v>
      </c>
      <c r="B191" t="s">
        <v>348</v>
      </c>
      <c r="C191" t="s">
        <v>350</v>
      </c>
      <c r="D191">
        <v>1</v>
      </c>
      <c r="E191" t="s">
        <v>67</v>
      </c>
      <c r="F191">
        <v>2031</v>
      </c>
      <c r="G191" t="s">
        <v>2</v>
      </c>
      <c r="H191">
        <v>31527.226195200088</v>
      </c>
      <c r="I191">
        <v>1154.9077128000008</v>
      </c>
      <c r="J191">
        <v>3.53375858519843E-2</v>
      </c>
    </row>
    <row r="192" spans="1:10" x14ac:dyDescent="0.25">
      <c r="A192" t="s">
        <v>1</v>
      </c>
      <c r="B192" t="s">
        <v>348</v>
      </c>
      <c r="C192" t="s">
        <v>350</v>
      </c>
      <c r="D192">
        <v>1</v>
      </c>
      <c r="E192" t="s">
        <v>67</v>
      </c>
      <c r="F192">
        <v>2032</v>
      </c>
      <c r="G192" t="s">
        <v>2</v>
      </c>
      <c r="H192">
        <v>33233.204412960135</v>
      </c>
      <c r="I192">
        <v>1158.0718435200008</v>
      </c>
      <c r="J192">
        <v>3.3673418656622003E-2</v>
      </c>
    </row>
    <row r="193" spans="1:10" x14ac:dyDescent="0.25">
      <c r="A193" t="s">
        <v>1</v>
      </c>
      <c r="B193" t="s">
        <v>348</v>
      </c>
      <c r="C193" t="s">
        <v>350</v>
      </c>
      <c r="D193">
        <v>1</v>
      </c>
      <c r="E193" t="s">
        <v>67</v>
      </c>
      <c r="F193">
        <v>2033</v>
      </c>
      <c r="G193" t="s">
        <v>2</v>
      </c>
      <c r="H193">
        <v>31437.663420720095</v>
      </c>
      <c r="I193">
        <v>1154.9077128000008</v>
      </c>
      <c r="J193">
        <v>3.5434691791229198E-2</v>
      </c>
    </row>
    <row r="194" spans="1:10" x14ac:dyDescent="0.25">
      <c r="A194" t="s">
        <v>1</v>
      </c>
      <c r="B194" t="s">
        <v>348</v>
      </c>
      <c r="C194" t="s">
        <v>350</v>
      </c>
      <c r="D194">
        <v>1</v>
      </c>
      <c r="E194" t="s">
        <v>67</v>
      </c>
      <c r="F194">
        <v>2034</v>
      </c>
      <c r="G194" t="s">
        <v>2</v>
      </c>
      <c r="H194">
        <v>30026.0598132001</v>
      </c>
      <c r="I194">
        <v>1154.9077128000008</v>
      </c>
      <c r="J194">
        <v>3.7038867117801397E-2</v>
      </c>
    </row>
    <row r="195" spans="1:10" x14ac:dyDescent="0.25">
      <c r="A195" t="s">
        <v>1</v>
      </c>
      <c r="B195" t="s">
        <v>348</v>
      </c>
      <c r="C195" t="s">
        <v>350</v>
      </c>
      <c r="D195">
        <v>1</v>
      </c>
      <c r="E195" t="s">
        <v>67</v>
      </c>
      <c r="F195">
        <v>2035</v>
      </c>
      <c r="G195" t="s">
        <v>2</v>
      </c>
      <c r="H195">
        <v>30791.202807840076</v>
      </c>
      <c r="I195">
        <v>1154.9077128000008</v>
      </c>
      <c r="J195">
        <v>3.6151747238644998E-2</v>
      </c>
    </row>
    <row r="196" spans="1:10" x14ac:dyDescent="0.25">
      <c r="A196" t="s">
        <v>1</v>
      </c>
      <c r="B196" t="s">
        <v>348</v>
      </c>
      <c r="C196" t="s">
        <v>350</v>
      </c>
      <c r="D196">
        <v>1</v>
      </c>
      <c r="E196" t="s">
        <v>67</v>
      </c>
      <c r="F196">
        <v>2036</v>
      </c>
      <c r="G196" t="s">
        <v>2</v>
      </c>
      <c r="H196">
        <v>28583.780003280037</v>
      </c>
      <c r="I196">
        <v>1158.0718435200008</v>
      </c>
      <c r="J196">
        <v>3.8937449136833002E-2</v>
      </c>
    </row>
    <row r="197" spans="1:10" x14ac:dyDescent="0.25">
      <c r="A197" t="s">
        <v>1</v>
      </c>
      <c r="B197" t="s">
        <v>348</v>
      </c>
      <c r="C197" t="s">
        <v>350</v>
      </c>
      <c r="D197">
        <v>1</v>
      </c>
      <c r="E197" t="s">
        <v>67</v>
      </c>
      <c r="F197">
        <v>2037</v>
      </c>
      <c r="G197" t="s">
        <v>2</v>
      </c>
      <c r="H197">
        <v>25073.564922960009</v>
      </c>
      <c r="I197">
        <v>1154.9077128000008</v>
      </c>
      <c r="J197">
        <v>4.4032594990887602E-2</v>
      </c>
    </row>
    <row r="198" spans="1:10" x14ac:dyDescent="0.25">
      <c r="A198" t="s">
        <v>1</v>
      </c>
      <c r="B198" t="s">
        <v>348</v>
      </c>
      <c r="C198" t="s">
        <v>350</v>
      </c>
      <c r="D198">
        <v>1</v>
      </c>
      <c r="E198" t="s">
        <v>67</v>
      </c>
      <c r="F198">
        <v>2038</v>
      </c>
      <c r="G198" t="s">
        <v>2</v>
      </c>
      <c r="H198">
        <v>24350.231832480033</v>
      </c>
      <c r="I198">
        <v>1056.8196604800007</v>
      </c>
      <c r="J198">
        <v>4.1595525587564998E-2</v>
      </c>
    </row>
    <row r="199" spans="1:10" x14ac:dyDescent="0.25">
      <c r="A199" t="s">
        <v>1</v>
      </c>
      <c r="B199" t="s">
        <v>348</v>
      </c>
      <c r="C199" t="s">
        <v>350</v>
      </c>
      <c r="D199">
        <v>1</v>
      </c>
      <c r="E199" t="s">
        <v>67</v>
      </c>
      <c r="F199">
        <v>2039</v>
      </c>
      <c r="G199" t="s">
        <v>2</v>
      </c>
      <c r="H199">
        <v>21101.624341200011</v>
      </c>
      <c r="I199">
        <v>1154.9077128000008</v>
      </c>
      <c r="J199">
        <v>5.1890730775032701E-2</v>
      </c>
    </row>
    <row r="200" spans="1:10" x14ac:dyDescent="0.25">
      <c r="A200" t="s">
        <v>1</v>
      </c>
      <c r="B200" t="s">
        <v>348</v>
      </c>
      <c r="C200" t="s">
        <v>350</v>
      </c>
      <c r="D200">
        <v>1</v>
      </c>
      <c r="E200" t="s">
        <v>67</v>
      </c>
      <c r="F200">
        <v>2040</v>
      </c>
      <c r="G200" t="s">
        <v>2</v>
      </c>
      <c r="H200">
        <v>19959.254817840003</v>
      </c>
      <c r="I200">
        <v>1158.0718435200008</v>
      </c>
      <c r="J200">
        <v>5.4839888689083599E-2</v>
      </c>
    </row>
    <row r="201" spans="1:10" x14ac:dyDescent="0.25">
      <c r="A201" t="s">
        <v>1</v>
      </c>
      <c r="B201" t="s">
        <v>348</v>
      </c>
      <c r="C201" t="s">
        <v>350</v>
      </c>
      <c r="D201">
        <v>1</v>
      </c>
      <c r="E201" t="s">
        <v>67</v>
      </c>
      <c r="F201">
        <v>2041</v>
      </c>
      <c r="G201" t="s">
        <v>2</v>
      </c>
      <c r="H201">
        <v>17316.946577519982</v>
      </c>
      <c r="I201">
        <v>1011.5846606400008</v>
      </c>
      <c r="J201">
        <v>5.5191801650417101E-2</v>
      </c>
    </row>
    <row r="202" spans="1:10" x14ac:dyDescent="0.25">
      <c r="A202" t="s">
        <v>1</v>
      </c>
      <c r="B202" t="s">
        <v>348</v>
      </c>
      <c r="C202" t="s">
        <v>350</v>
      </c>
      <c r="D202">
        <v>1</v>
      </c>
      <c r="E202" t="s">
        <v>67</v>
      </c>
      <c r="F202">
        <v>2042</v>
      </c>
      <c r="G202" t="s">
        <v>2</v>
      </c>
      <c r="H202">
        <v>14309.295067199982</v>
      </c>
      <c r="I202">
        <v>870.13594800000067</v>
      </c>
      <c r="J202">
        <v>5.7323357320092298E-2</v>
      </c>
    </row>
    <row r="203" spans="1:10" x14ac:dyDescent="0.25">
      <c r="A203" t="s">
        <v>1</v>
      </c>
      <c r="B203" t="s">
        <v>348</v>
      </c>
      <c r="C203" t="s">
        <v>350</v>
      </c>
      <c r="D203">
        <v>1</v>
      </c>
      <c r="E203" t="s">
        <v>67</v>
      </c>
      <c r="F203">
        <v>2043</v>
      </c>
      <c r="G203" t="s">
        <v>2</v>
      </c>
      <c r="H203">
        <v>12898.598405999986</v>
      </c>
      <c r="I203">
        <v>863.80768656000066</v>
      </c>
      <c r="J203">
        <v>6.2765746102127998E-2</v>
      </c>
    </row>
    <row r="204" spans="1:10" x14ac:dyDescent="0.25">
      <c r="A204" t="s">
        <v>1</v>
      </c>
      <c r="B204" t="s">
        <v>348</v>
      </c>
      <c r="C204" t="s">
        <v>350</v>
      </c>
      <c r="D204">
        <v>1</v>
      </c>
      <c r="E204" t="s">
        <v>67</v>
      </c>
      <c r="F204">
        <v>2044</v>
      </c>
      <c r="G204" t="s">
        <v>2</v>
      </c>
      <c r="H204">
        <v>10735.777126799987</v>
      </c>
      <c r="I204">
        <v>766.08092160000058</v>
      </c>
      <c r="J204">
        <v>6.6604970986106807E-2</v>
      </c>
    </row>
    <row r="205" spans="1:10" x14ac:dyDescent="0.25">
      <c r="A205" t="s">
        <v>1</v>
      </c>
      <c r="B205" t="s">
        <v>348</v>
      </c>
      <c r="C205" t="s">
        <v>350</v>
      </c>
      <c r="D205">
        <v>1</v>
      </c>
      <c r="E205" t="s">
        <v>67</v>
      </c>
      <c r="F205">
        <v>2045</v>
      </c>
      <c r="G205" t="s">
        <v>2</v>
      </c>
      <c r="H205">
        <v>7705.9999216799943</v>
      </c>
      <c r="I205">
        <v>677.12397408000049</v>
      </c>
      <c r="J205">
        <v>8.07722732599091E-2</v>
      </c>
    </row>
    <row r="206" spans="1:10" x14ac:dyDescent="0.25">
      <c r="A206" t="s">
        <v>1</v>
      </c>
      <c r="B206" t="s">
        <v>348</v>
      </c>
      <c r="C206" t="s">
        <v>350</v>
      </c>
      <c r="D206">
        <v>1</v>
      </c>
      <c r="E206" t="s">
        <v>67</v>
      </c>
      <c r="F206">
        <v>2046</v>
      </c>
      <c r="G206" t="s">
        <v>2</v>
      </c>
      <c r="H206">
        <v>7495.8686791199916</v>
      </c>
      <c r="I206">
        <v>677.12397408000049</v>
      </c>
      <c r="J206">
        <v>8.2848963997891795E-2</v>
      </c>
    </row>
    <row r="207" spans="1:10" x14ac:dyDescent="0.25">
      <c r="A207" t="s">
        <v>1</v>
      </c>
      <c r="B207" t="s">
        <v>348</v>
      </c>
      <c r="C207" t="s">
        <v>350</v>
      </c>
      <c r="D207">
        <v>1</v>
      </c>
      <c r="E207" t="s">
        <v>67</v>
      </c>
      <c r="F207">
        <v>2047</v>
      </c>
      <c r="G207" t="s">
        <v>2</v>
      </c>
      <c r="H207">
        <v>4914.0091670399952</v>
      </c>
      <c r="I207">
        <v>677.12397408000049</v>
      </c>
      <c r="J207">
        <v>0.121106751885425</v>
      </c>
    </row>
    <row r="208" spans="1:10" x14ac:dyDescent="0.25">
      <c r="A208" t="s">
        <v>1</v>
      </c>
      <c r="B208" t="s">
        <v>348</v>
      </c>
      <c r="C208" t="s">
        <v>350</v>
      </c>
      <c r="D208">
        <v>1</v>
      </c>
      <c r="E208" t="s">
        <v>67</v>
      </c>
      <c r="F208">
        <v>2048</v>
      </c>
      <c r="G208" t="s">
        <v>2</v>
      </c>
      <c r="H208">
        <v>4664.4660664799958</v>
      </c>
      <c r="I208">
        <v>677.12397408000049</v>
      </c>
      <c r="J208">
        <v>0.12676449688920899</v>
      </c>
    </row>
    <row r="209" spans="1:10" x14ac:dyDescent="0.25">
      <c r="A209" t="s">
        <v>1</v>
      </c>
      <c r="B209" t="s">
        <v>348</v>
      </c>
      <c r="C209" t="s">
        <v>350</v>
      </c>
      <c r="D209">
        <v>1</v>
      </c>
      <c r="E209" t="s">
        <v>67</v>
      </c>
      <c r="F209">
        <v>2049</v>
      </c>
      <c r="G209" t="s">
        <v>2</v>
      </c>
      <c r="H209">
        <v>4726.4848377599956</v>
      </c>
      <c r="I209">
        <v>579.03592176000041</v>
      </c>
      <c r="J209">
        <v>0.10913837642063701</v>
      </c>
    </row>
    <row r="210" spans="1:10" x14ac:dyDescent="0.25">
      <c r="A210" t="s">
        <v>1</v>
      </c>
      <c r="B210" t="s">
        <v>348</v>
      </c>
      <c r="C210" t="s">
        <v>350</v>
      </c>
      <c r="D210">
        <v>1</v>
      </c>
      <c r="E210" t="s">
        <v>67</v>
      </c>
      <c r="F210">
        <v>2050</v>
      </c>
      <c r="G210" t="s">
        <v>2</v>
      </c>
      <c r="H210">
        <v>2759.5793563199977</v>
      </c>
      <c r="I210">
        <v>417.58113504000028</v>
      </c>
      <c r="J210">
        <v>0.13143218171558299</v>
      </c>
    </row>
    <row r="211" spans="1:10" x14ac:dyDescent="0.25">
      <c r="A211" t="s">
        <v>1</v>
      </c>
      <c r="B211" t="s">
        <v>348</v>
      </c>
      <c r="C211" t="s">
        <v>350</v>
      </c>
      <c r="D211">
        <v>1</v>
      </c>
      <c r="E211" t="s">
        <v>67</v>
      </c>
      <c r="F211">
        <v>2051</v>
      </c>
      <c r="G211" t="s">
        <v>2</v>
      </c>
      <c r="H211">
        <v>3404.3947214399973</v>
      </c>
      <c r="I211">
        <v>480.94786944000037</v>
      </c>
      <c r="J211">
        <v>0.123785189642972</v>
      </c>
    </row>
    <row r="212" spans="1:10" x14ac:dyDescent="0.25">
      <c r="A212" t="s">
        <v>1</v>
      </c>
      <c r="B212" t="s">
        <v>348</v>
      </c>
      <c r="C212" t="s">
        <v>350</v>
      </c>
      <c r="D212">
        <v>1</v>
      </c>
      <c r="E212" t="s">
        <v>95</v>
      </c>
      <c r="F212">
        <v>2022</v>
      </c>
      <c r="G212" t="s">
        <v>2</v>
      </c>
      <c r="H212">
        <v>26355.444418799998</v>
      </c>
      <c r="I212">
        <v>866.97181728000066</v>
      </c>
      <c r="J212">
        <v>3.1847717328300003E-2</v>
      </c>
    </row>
    <row r="213" spans="1:10" x14ac:dyDescent="0.25">
      <c r="A213" t="s">
        <v>1</v>
      </c>
      <c r="B213" t="s">
        <v>348</v>
      </c>
      <c r="C213" t="s">
        <v>350</v>
      </c>
      <c r="D213">
        <v>1</v>
      </c>
      <c r="E213" t="s">
        <v>95</v>
      </c>
      <c r="F213">
        <v>2023</v>
      </c>
      <c r="G213" t="s">
        <v>2</v>
      </c>
      <c r="H213">
        <v>34269.288080160157</v>
      </c>
      <c r="I213">
        <v>1154.9077128000008</v>
      </c>
      <c r="J213">
        <v>3.2602228136665697E-2</v>
      </c>
    </row>
    <row r="214" spans="1:10" x14ac:dyDescent="0.25">
      <c r="A214" t="s">
        <v>1</v>
      </c>
      <c r="B214" t="s">
        <v>348</v>
      </c>
      <c r="C214" t="s">
        <v>350</v>
      </c>
      <c r="D214">
        <v>1</v>
      </c>
      <c r="E214" t="s">
        <v>95</v>
      </c>
      <c r="F214">
        <v>2024</v>
      </c>
      <c r="G214" t="s">
        <v>2</v>
      </c>
      <c r="H214">
        <v>33589.318719840143</v>
      </c>
      <c r="I214">
        <v>1158.0718435200008</v>
      </c>
      <c r="J214">
        <v>3.3328311126221498E-2</v>
      </c>
    </row>
    <row r="215" spans="1:10" x14ac:dyDescent="0.25">
      <c r="A215" t="s">
        <v>1</v>
      </c>
      <c r="B215" t="s">
        <v>348</v>
      </c>
      <c r="C215" t="s">
        <v>350</v>
      </c>
      <c r="D215">
        <v>1</v>
      </c>
      <c r="E215" t="s">
        <v>95</v>
      </c>
      <c r="F215">
        <v>2025</v>
      </c>
      <c r="G215" t="s">
        <v>2</v>
      </c>
      <c r="H215">
        <v>34269.288080160157</v>
      </c>
      <c r="I215">
        <v>1154.9077128000008</v>
      </c>
      <c r="J215">
        <v>3.2602228136665697E-2</v>
      </c>
    </row>
    <row r="216" spans="1:10" x14ac:dyDescent="0.25">
      <c r="A216" t="s">
        <v>1</v>
      </c>
      <c r="B216" t="s">
        <v>348</v>
      </c>
      <c r="C216" t="s">
        <v>350</v>
      </c>
      <c r="D216">
        <v>1</v>
      </c>
      <c r="E216" t="s">
        <v>95</v>
      </c>
      <c r="F216">
        <v>2026</v>
      </c>
      <c r="G216" t="s">
        <v>2</v>
      </c>
      <c r="H216">
        <v>34269.288080160157</v>
      </c>
      <c r="I216">
        <v>1154.9077128000008</v>
      </c>
      <c r="J216">
        <v>3.2602228136665697E-2</v>
      </c>
    </row>
    <row r="217" spans="1:10" x14ac:dyDescent="0.25">
      <c r="A217" t="s">
        <v>1</v>
      </c>
      <c r="B217" t="s">
        <v>348</v>
      </c>
      <c r="C217" t="s">
        <v>350</v>
      </c>
      <c r="D217">
        <v>1</v>
      </c>
      <c r="E217" t="s">
        <v>95</v>
      </c>
      <c r="F217">
        <v>2027</v>
      </c>
      <c r="G217" t="s">
        <v>2</v>
      </c>
      <c r="H217">
        <v>34269.288080160157</v>
      </c>
      <c r="I217">
        <v>1154.9077128000008</v>
      </c>
      <c r="J217">
        <v>3.2602228136665697E-2</v>
      </c>
    </row>
    <row r="218" spans="1:10" x14ac:dyDescent="0.25">
      <c r="A218" t="s">
        <v>1</v>
      </c>
      <c r="B218" t="s">
        <v>348</v>
      </c>
      <c r="C218" t="s">
        <v>350</v>
      </c>
      <c r="D218">
        <v>1</v>
      </c>
      <c r="E218" t="s">
        <v>95</v>
      </c>
      <c r="F218">
        <v>2028</v>
      </c>
      <c r="G218" t="s">
        <v>2</v>
      </c>
      <c r="H218">
        <v>34372.988150880163</v>
      </c>
      <c r="I218">
        <v>1158.0718435200008</v>
      </c>
      <c r="J218">
        <v>3.2593225299287903E-2</v>
      </c>
    </row>
    <row r="219" spans="1:10" x14ac:dyDescent="0.25">
      <c r="A219" t="s">
        <v>1</v>
      </c>
      <c r="B219" t="s">
        <v>348</v>
      </c>
      <c r="C219" t="s">
        <v>350</v>
      </c>
      <c r="D219">
        <v>1</v>
      </c>
      <c r="E219" t="s">
        <v>95</v>
      </c>
      <c r="F219">
        <v>2029</v>
      </c>
      <c r="G219" t="s">
        <v>2</v>
      </c>
      <c r="H219">
        <v>33329.351879280133</v>
      </c>
      <c r="I219">
        <v>1154.9077128000008</v>
      </c>
      <c r="J219">
        <v>3.3490865875085901E-2</v>
      </c>
    </row>
    <row r="220" spans="1:10" x14ac:dyDescent="0.25">
      <c r="A220" t="s">
        <v>1</v>
      </c>
      <c r="B220" t="s">
        <v>348</v>
      </c>
      <c r="C220" t="s">
        <v>350</v>
      </c>
      <c r="D220">
        <v>1</v>
      </c>
      <c r="E220" t="s">
        <v>95</v>
      </c>
      <c r="F220">
        <v>2030</v>
      </c>
      <c r="G220" t="s">
        <v>2</v>
      </c>
      <c r="H220">
        <v>33223.286516640132</v>
      </c>
      <c r="I220">
        <v>1154.9077128000008</v>
      </c>
      <c r="J220">
        <v>3.3594193606916699E-2</v>
      </c>
    </row>
    <row r="221" spans="1:10" x14ac:dyDescent="0.25">
      <c r="A221" t="s">
        <v>1</v>
      </c>
      <c r="B221" t="s">
        <v>348</v>
      </c>
      <c r="C221" t="s">
        <v>350</v>
      </c>
      <c r="D221">
        <v>1</v>
      </c>
      <c r="E221" t="s">
        <v>95</v>
      </c>
      <c r="F221">
        <v>2031</v>
      </c>
      <c r="G221" t="s">
        <v>2</v>
      </c>
      <c r="H221">
        <v>33793.089864240144</v>
      </c>
      <c r="I221">
        <v>1154.9077128000008</v>
      </c>
      <c r="J221">
        <v>3.3046463112917798E-2</v>
      </c>
    </row>
    <row r="222" spans="1:10" x14ac:dyDescent="0.25">
      <c r="A222" t="s">
        <v>1</v>
      </c>
      <c r="B222" t="s">
        <v>348</v>
      </c>
      <c r="C222" t="s">
        <v>350</v>
      </c>
      <c r="D222">
        <v>1</v>
      </c>
      <c r="E222" t="s">
        <v>95</v>
      </c>
      <c r="F222">
        <v>2032</v>
      </c>
      <c r="G222" t="s">
        <v>2</v>
      </c>
      <c r="H222">
        <v>34372.988150880163</v>
      </c>
      <c r="I222">
        <v>1158.0718435200008</v>
      </c>
      <c r="J222">
        <v>3.2593225299287903E-2</v>
      </c>
    </row>
    <row r="223" spans="1:10" x14ac:dyDescent="0.25">
      <c r="A223" t="s">
        <v>1</v>
      </c>
      <c r="B223" t="s">
        <v>348</v>
      </c>
      <c r="C223" t="s">
        <v>350</v>
      </c>
      <c r="D223">
        <v>1</v>
      </c>
      <c r="E223" t="s">
        <v>95</v>
      </c>
      <c r="F223">
        <v>2033</v>
      </c>
      <c r="G223" t="s">
        <v>2</v>
      </c>
      <c r="H223">
        <v>33649.669939200139</v>
      </c>
      <c r="I223">
        <v>1154.9077128000008</v>
      </c>
      <c r="J223">
        <v>3.3182638339920502E-2</v>
      </c>
    </row>
    <row r="224" spans="1:10" x14ac:dyDescent="0.25">
      <c r="A224" t="s">
        <v>1</v>
      </c>
      <c r="B224" t="s">
        <v>348</v>
      </c>
      <c r="C224" t="s">
        <v>350</v>
      </c>
      <c r="D224">
        <v>1</v>
      </c>
      <c r="E224" t="s">
        <v>95</v>
      </c>
      <c r="F224">
        <v>2034</v>
      </c>
      <c r="G224" t="s">
        <v>2</v>
      </c>
      <c r="H224">
        <v>33458.551143360135</v>
      </c>
      <c r="I224">
        <v>1154.9077128000008</v>
      </c>
      <c r="J224">
        <v>3.33658568361902E-2</v>
      </c>
    </row>
    <row r="225" spans="1:10" x14ac:dyDescent="0.25">
      <c r="A225" t="s">
        <v>1</v>
      </c>
      <c r="B225" t="s">
        <v>348</v>
      </c>
      <c r="C225" t="s">
        <v>350</v>
      </c>
      <c r="D225">
        <v>1</v>
      </c>
      <c r="E225" t="s">
        <v>95</v>
      </c>
      <c r="F225">
        <v>2035</v>
      </c>
      <c r="G225" t="s">
        <v>2</v>
      </c>
      <c r="H225">
        <v>34269.288080160157</v>
      </c>
      <c r="I225">
        <v>1154.9077128000008</v>
      </c>
      <c r="J225">
        <v>3.2602228136665697E-2</v>
      </c>
    </row>
    <row r="226" spans="1:10" x14ac:dyDescent="0.25">
      <c r="A226" t="s">
        <v>1</v>
      </c>
      <c r="B226" t="s">
        <v>348</v>
      </c>
      <c r="C226" t="s">
        <v>350</v>
      </c>
      <c r="D226">
        <v>1</v>
      </c>
      <c r="E226" t="s">
        <v>95</v>
      </c>
      <c r="F226">
        <v>2036</v>
      </c>
      <c r="G226" t="s">
        <v>2</v>
      </c>
      <c r="H226">
        <v>33260.793110880128</v>
      </c>
      <c r="I226">
        <v>1158.0718435200008</v>
      </c>
      <c r="J226">
        <v>3.3646427476742E-2</v>
      </c>
    </row>
    <row r="227" spans="1:10" x14ac:dyDescent="0.25">
      <c r="A227" t="s">
        <v>1</v>
      </c>
      <c r="B227" t="s">
        <v>348</v>
      </c>
      <c r="C227" t="s">
        <v>350</v>
      </c>
      <c r="D227">
        <v>1</v>
      </c>
      <c r="E227" t="s">
        <v>95</v>
      </c>
      <c r="F227">
        <v>2037</v>
      </c>
      <c r="G227" t="s">
        <v>2</v>
      </c>
      <c r="H227">
        <v>32934.633988800124</v>
      </c>
      <c r="I227">
        <v>1154.9077128000008</v>
      </c>
      <c r="J227">
        <v>3.3878651784450001E-2</v>
      </c>
    </row>
    <row r="228" spans="1:10" x14ac:dyDescent="0.25">
      <c r="A228" t="s">
        <v>1</v>
      </c>
      <c r="B228" t="s">
        <v>348</v>
      </c>
      <c r="C228" t="s">
        <v>350</v>
      </c>
      <c r="D228">
        <v>1</v>
      </c>
      <c r="E228" t="s">
        <v>95</v>
      </c>
      <c r="F228">
        <v>2038</v>
      </c>
      <c r="G228" t="s">
        <v>2</v>
      </c>
      <c r="H228">
        <v>32278.796220000106</v>
      </c>
      <c r="I228">
        <v>1154.9077128000008</v>
      </c>
      <c r="J228">
        <v>3.45432176800183E-2</v>
      </c>
    </row>
    <row r="229" spans="1:10" x14ac:dyDescent="0.25">
      <c r="A229" t="s">
        <v>1</v>
      </c>
      <c r="B229" t="s">
        <v>348</v>
      </c>
      <c r="C229" t="s">
        <v>350</v>
      </c>
      <c r="D229">
        <v>1</v>
      </c>
      <c r="E229" t="s">
        <v>95</v>
      </c>
      <c r="F229">
        <v>2039</v>
      </c>
      <c r="G229" t="s">
        <v>2</v>
      </c>
      <c r="H229">
        <v>34269.288080160157</v>
      </c>
      <c r="I229">
        <v>1154.9077128000008</v>
      </c>
      <c r="J229">
        <v>3.2602228136665697E-2</v>
      </c>
    </row>
    <row r="230" spans="1:10" x14ac:dyDescent="0.25">
      <c r="A230" t="s">
        <v>1</v>
      </c>
      <c r="B230" t="s">
        <v>348</v>
      </c>
      <c r="C230" t="s">
        <v>350</v>
      </c>
      <c r="D230">
        <v>1</v>
      </c>
      <c r="E230" t="s">
        <v>95</v>
      </c>
      <c r="F230">
        <v>2040</v>
      </c>
      <c r="G230" t="s">
        <v>2</v>
      </c>
      <c r="H230">
        <v>34372.988150880163</v>
      </c>
      <c r="I230">
        <v>1158.0718435200008</v>
      </c>
      <c r="J230">
        <v>3.2593225299287903E-2</v>
      </c>
    </row>
    <row r="231" spans="1:10" x14ac:dyDescent="0.25">
      <c r="A231" t="s">
        <v>1</v>
      </c>
      <c r="B231" t="s">
        <v>348</v>
      </c>
      <c r="C231" t="s">
        <v>350</v>
      </c>
      <c r="D231">
        <v>1</v>
      </c>
      <c r="E231" t="s">
        <v>95</v>
      </c>
      <c r="F231">
        <v>2041</v>
      </c>
      <c r="G231" t="s">
        <v>2</v>
      </c>
      <c r="H231">
        <v>34269.288080160157</v>
      </c>
      <c r="I231">
        <v>1154.9077128000008</v>
      </c>
      <c r="J231">
        <v>3.2602228136665697E-2</v>
      </c>
    </row>
    <row r="232" spans="1:10" x14ac:dyDescent="0.25">
      <c r="A232" t="s">
        <v>1</v>
      </c>
      <c r="B232" t="s">
        <v>348</v>
      </c>
      <c r="C232" t="s">
        <v>350</v>
      </c>
      <c r="D232">
        <v>1</v>
      </c>
      <c r="E232" t="s">
        <v>95</v>
      </c>
      <c r="F232">
        <v>2042</v>
      </c>
      <c r="G232" t="s">
        <v>2</v>
      </c>
      <c r="H232">
        <v>31813.292228160095</v>
      </c>
      <c r="I232">
        <v>1154.9077128000008</v>
      </c>
      <c r="J232">
        <v>3.50309605883313E-2</v>
      </c>
    </row>
    <row r="233" spans="1:10" x14ac:dyDescent="0.25">
      <c r="A233" t="s">
        <v>1</v>
      </c>
      <c r="B233" t="s">
        <v>348</v>
      </c>
      <c r="C233" t="s">
        <v>350</v>
      </c>
      <c r="D233">
        <v>1</v>
      </c>
      <c r="E233" t="s">
        <v>95</v>
      </c>
      <c r="F233">
        <v>2043</v>
      </c>
      <c r="G233" t="s">
        <v>2</v>
      </c>
      <c r="H233">
        <v>31736.077468080093</v>
      </c>
      <c r="I233">
        <v>1154.9077128000008</v>
      </c>
      <c r="J233">
        <v>3.5113199147083003E-2</v>
      </c>
    </row>
    <row r="234" spans="1:10" x14ac:dyDescent="0.25">
      <c r="A234" t="s">
        <v>1</v>
      </c>
      <c r="B234" t="s">
        <v>348</v>
      </c>
      <c r="C234" t="s">
        <v>350</v>
      </c>
      <c r="D234">
        <v>1</v>
      </c>
      <c r="E234" t="s">
        <v>95</v>
      </c>
      <c r="F234">
        <v>2044</v>
      </c>
      <c r="G234" t="s">
        <v>2</v>
      </c>
      <c r="H234">
        <v>34372.988150880163</v>
      </c>
      <c r="I234">
        <v>1158.0718435200008</v>
      </c>
      <c r="J234">
        <v>3.2593225299287903E-2</v>
      </c>
    </row>
    <row r="235" spans="1:10" x14ac:dyDescent="0.25">
      <c r="A235" t="s">
        <v>1</v>
      </c>
      <c r="B235" t="s">
        <v>348</v>
      </c>
      <c r="C235" t="s">
        <v>350</v>
      </c>
      <c r="D235">
        <v>1</v>
      </c>
      <c r="E235" t="s">
        <v>95</v>
      </c>
      <c r="F235">
        <v>2045</v>
      </c>
      <c r="G235" t="s">
        <v>2</v>
      </c>
      <c r="H235">
        <v>34269.288080160157</v>
      </c>
      <c r="I235">
        <v>1154.9077128000008</v>
      </c>
      <c r="J235">
        <v>3.2602228136665697E-2</v>
      </c>
    </row>
    <row r="236" spans="1:10" x14ac:dyDescent="0.25">
      <c r="A236" t="s">
        <v>1</v>
      </c>
      <c r="B236" t="s">
        <v>348</v>
      </c>
      <c r="C236" t="s">
        <v>350</v>
      </c>
      <c r="D236">
        <v>1</v>
      </c>
      <c r="E236" t="s">
        <v>95</v>
      </c>
      <c r="F236">
        <v>2046</v>
      </c>
      <c r="G236" t="s">
        <v>2</v>
      </c>
      <c r="H236">
        <v>31654.424844720088</v>
      </c>
      <c r="I236">
        <v>1154.9077128000008</v>
      </c>
      <c r="J236">
        <v>3.52005854058524E-2</v>
      </c>
    </row>
    <row r="237" spans="1:10" x14ac:dyDescent="0.25">
      <c r="A237" t="s">
        <v>1</v>
      </c>
      <c r="B237" t="s">
        <v>348</v>
      </c>
      <c r="C237" t="s">
        <v>350</v>
      </c>
      <c r="D237">
        <v>1</v>
      </c>
      <c r="E237" t="s">
        <v>95</v>
      </c>
      <c r="F237">
        <v>2047</v>
      </c>
      <c r="G237" t="s">
        <v>2</v>
      </c>
      <c r="H237">
        <v>34269.288080160157</v>
      </c>
      <c r="I237">
        <v>1154.9077128000008</v>
      </c>
      <c r="J237">
        <v>3.2602228136665697E-2</v>
      </c>
    </row>
    <row r="238" spans="1:10" x14ac:dyDescent="0.25">
      <c r="A238" t="s">
        <v>1</v>
      </c>
      <c r="B238" t="s">
        <v>348</v>
      </c>
      <c r="C238" t="s">
        <v>350</v>
      </c>
      <c r="D238">
        <v>1</v>
      </c>
      <c r="E238" t="s">
        <v>95</v>
      </c>
      <c r="F238">
        <v>2048</v>
      </c>
      <c r="G238" t="s">
        <v>2</v>
      </c>
      <c r="H238">
        <v>34372.988150880163</v>
      </c>
      <c r="I238">
        <v>1158.0718435200008</v>
      </c>
      <c r="J238">
        <v>3.2593225299287903E-2</v>
      </c>
    </row>
    <row r="239" spans="1:10" x14ac:dyDescent="0.25">
      <c r="A239" t="s">
        <v>1</v>
      </c>
      <c r="B239" t="s">
        <v>348</v>
      </c>
      <c r="C239" t="s">
        <v>350</v>
      </c>
      <c r="D239">
        <v>1</v>
      </c>
      <c r="E239" t="s">
        <v>95</v>
      </c>
      <c r="F239">
        <v>2049</v>
      </c>
      <c r="G239" t="s">
        <v>2</v>
      </c>
      <c r="H239">
        <v>34269.288080160157</v>
      </c>
      <c r="I239">
        <v>1154.9077128000008</v>
      </c>
      <c r="J239">
        <v>3.2602228136665697E-2</v>
      </c>
    </row>
    <row r="240" spans="1:10" x14ac:dyDescent="0.25">
      <c r="A240" t="s">
        <v>1</v>
      </c>
      <c r="B240" t="s">
        <v>348</v>
      </c>
      <c r="C240" t="s">
        <v>350</v>
      </c>
      <c r="D240">
        <v>1</v>
      </c>
      <c r="E240" t="s">
        <v>95</v>
      </c>
      <c r="F240">
        <v>2050</v>
      </c>
      <c r="G240" t="s">
        <v>2</v>
      </c>
      <c r="H240">
        <v>34269.288080160157</v>
      </c>
      <c r="I240">
        <v>1154.9077128000008</v>
      </c>
      <c r="J240">
        <v>3.2602228136665697E-2</v>
      </c>
    </row>
    <row r="241" spans="1:10" x14ac:dyDescent="0.25">
      <c r="A241" t="s">
        <v>1</v>
      </c>
      <c r="B241" t="s">
        <v>348</v>
      </c>
      <c r="C241" t="s">
        <v>350</v>
      </c>
      <c r="D241">
        <v>1</v>
      </c>
      <c r="E241" t="s">
        <v>95</v>
      </c>
      <c r="F241">
        <v>2051</v>
      </c>
      <c r="G241" t="s">
        <v>2</v>
      </c>
      <c r="H241">
        <v>34269.288080160157</v>
      </c>
      <c r="I241">
        <v>1154.9077128000008</v>
      </c>
      <c r="J241">
        <v>3.2602228136665697E-2</v>
      </c>
    </row>
    <row r="242" spans="1:10" x14ac:dyDescent="0.25">
      <c r="A242" t="s">
        <v>1</v>
      </c>
      <c r="B242" t="s">
        <v>348</v>
      </c>
      <c r="C242" t="s">
        <v>350</v>
      </c>
      <c r="D242">
        <v>1</v>
      </c>
      <c r="E242" t="s">
        <v>96</v>
      </c>
      <c r="F242">
        <v>2022</v>
      </c>
      <c r="G242" t="s">
        <v>2</v>
      </c>
      <c r="H242">
        <v>26355.444418799998</v>
      </c>
      <c r="I242">
        <v>866.97181728000066</v>
      </c>
      <c r="J242">
        <v>3.1847717328300003E-2</v>
      </c>
    </row>
    <row r="243" spans="1:10" x14ac:dyDescent="0.25">
      <c r="A243" t="s">
        <v>1</v>
      </c>
      <c r="B243" t="s">
        <v>348</v>
      </c>
      <c r="C243" t="s">
        <v>350</v>
      </c>
      <c r="D243">
        <v>1</v>
      </c>
      <c r="E243" t="s">
        <v>96</v>
      </c>
      <c r="F243">
        <v>2023</v>
      </c>
      <c r="G243" t="s">
        <v>2</v>
      </c>
      <c r="H243">
        <v>34269.288080160157</v>
      </c>
      <c r="I243">
        <v>1154.9077128000008</v>
      </c>
      <c r="J243">
        <v>3.2602228136665697E-2</v>
      </c>
    </row>
    <row r="244" spans="1:10" x14ac:dyDescent="0.25">
      <c r="A244" t="s">
        <v>1</v>
      </c>
      <c r="B244" t="s">
        <v>348</v>
      </c>
      <c r="C244" t="s">
        <v>350</v>
      </c>
      <c r="D244">
        <v>1</v>
      </c>
      <c r="E244" t="s">
        <v>96</v>
      </c>
      <c r="F244">
        <v>2024</v>
      </c>
      <c r="G244" t="s">
        <v>2</v>
      </c>
      <c r="H244">
        <v>33589.31872008014</v>
      </c>
      <c r="I244">
        <v>1158.0718435200008</v>
      </c>
      <c r="J244">
        <v>3.33283111259913E-2</v>
      </c>
    </row>
    <row r="245" spans="1:10" x14ac:dyDescent="0.25">
      <c r="A245" t="s">
        <v>1</v>
      </c>
      <c r="B245" t="s">
        <v>348</v>
      </c>
      <c r="C245" t="s">
        <v>350</v>
      </c>
      <c r="D245">
        <v>1</v>
      </c>
      <c r="E245" t="s">
        <v>96</v>
      </c>
      <c r="F245">
        <v>2025</v>
      </c>
      <c r="G245" t="s">
        <v>2</v>
      </c>
      <c r="H245">
        <v>34269.288080160157</v>
      </c>
      <c r="I245">
        <v>1154.9077128000008</v>
      </c>
      <c r="J245">
        <v>3.2602228136665697E-2</v>
      </c>
    </row>
    <row r="246" spans="1:10" x14ac:dyDescent="0.25">
      <c r="A246" t="s">
        <v>1</v>
      </c>
      <c r="B246" t="s">
        <v>348</v>
      </c>
      <c r="C246" t="s">
        <v>350</v>
      </c>
      <c r="D246">
        <v>1</v>
      </c>
      <c r="E246" t="s">
        <v>96</v>
      </c>
      <c r="F246">
        <v>2026</v>
      </c>
      <c r="G246" t="s">
        <v>2</v>
      </c>
      <c r="H246">
        <v>34269.288080160157</v>
      </c>
      <c r="I246">
        <v>1154.9077128000008</v>
      </c>
      <c r="J246">
        <v>3.2602228136665697E-2</v>
      </c>
    </row>
    <row r="247" spans="1:10" x14ac:dyDescent="0.25">
      <c r="A247" t="s">
        <v>1</v>
      </c>
      <c r="B247" t="s">
        <v>348</v>
      </c>
      <c r="C247" t="s">
        <v>350</v>
      </c>
      <c r="D247">
        <v>1</v>
      </c>
      <c r="E247" t="s">
        <v>96</v>
      </c>
      <c r="F247">
        <v>2027</v>
      </c>
      <c r="G247" t="s">
        <v>2</v>
      </c>
      <c r="H247">
        <v>34269.288080160157</v>
      </c>
      <c r="I247">
        <v>1154.9077128000008</v>
      </c>
      <c r="J247">
        <v>3.2602228136665697E-2</v>
      </c>
    </row>
    <row r="248" spans="1:10" x14ac:dyDescent="0.25">
      <c r="A248" t="s">
        <v>1</v>
      </c>
      <c r="B248" t="s">
        <v>348</v>
      </c>
      <c r="C248" t="s">
        <v>350</v>
      </c>
      <c r="D248">
        <v>1</v>
      </c>
      <c r="E248" t="s">
        <v>96</v>
      </c>
      <c r="F248">
        <v>2028</v>
      </c>
      <c r="G248" t="s">
        <v>2</v>
      </c>
      <c r="H248">
        <v>34372.988150880163</v>
      </c>
      <c r="I248">
        <v>1158.0718435200008</v>
      </c>
      <c r="J248">
        <v>3.2593225299287903E-2</v>
      </c>
    </row>
    <row r="249" spans="1:10" x14ac:dyDescent="0.25">
      <c r="A249" t="s">
        <v>1</v>
      </c>
      <c r="B249" t="s">
        <v>348</v>
      </c>
      <c r="C249" t="s">
        <v>350</v>
      </c>
      <c r="D249">
        <v>1</v>
      </c>
      <c r="E249" t="s">
        <v>96</v>
      </c>
      <c r="F249">
        <v>2029</v>
      </c>
      <c r="G249" t="s">
        <v>2</v>
      </c>
      <c r="H249">
        <v>33329.351879280133</v>
      </c>
      <c r="I249">
        <v>1154.9077128000008</v>
      </c>
      <c r="J249">
        <v>3.3490865875085901E-2</v>
      </c>
    </row>
    <row r="250" spans="1:10" x14ac:dyDescent="0.25">
      <c r="A250" t="s">
        <v>1</v>
      </c>
      <c r="B250" t="s">
        <v>348</v>
      </c>
      <c r="C250" t="s">
        <v>350</v>
      </c>
      <c r="D250">
        <v>1</v>
      </c>
      <c r="E250" t="s">
        <v>96</v>
      </c>
      <c r="F250">
        <v>2030</v>
      </c>
      <c r="G250" t="s">
        <v>2</v>
      </c>
      <c r="H250">
        <v>33223.286517120127</v>
      </c>
      <c r="I250">
        <v>1154.9077128000008</v>
      </c>
      <c r="J250">
        <v>3.3594193606447699E-2</v>
      </c>
    </row>
    <row r="251" spans="1:10" x14ac:dyDescent="0.25">
      <c r="A251" t="s">
        <v>1</v>
      </c>
      <c r="B251" t="s">
        <v>348</v>
      </c>
      <c r="C251" t="s">
        <v>350</v>
      </c>
      <c r="D251">
        <v>1</v>
      </c>
      <c r="E251" t="s">
        <v>96</v>
      </c>
      <c r="F251">
        <v>2031</v>
      </c>
      <c r="G251" t="s">
        <v>2</v>
      </c>
      <c r="H251">
        <v>33793.089864240144</v>
      </c>
      <c r="I251">
        <v>1154.9077128000008</v>
      </c>
      <c r="J251">
        <v>3.3046463112917798E-2</v>
      </c>
    </row>
    <row r="252" spans="1:10" x14ac:dyDescent="0.25">
      <c r="A252" t="s">
        <v>1</v>
      </c>
      <c r="B252" t="s">
        <v>348</v>
      </c>
      <c r="C252" t="s">
        <v>350</v>
      </c>
      <c r="D252">
        <v>1</v>
      </c>
      <c r="E252" t="s">
        <v>96</v>
      </c>
      <c r="F252">
        <v>2032</v>
      </c>
      <c r="G252" t="s">
        <v>2</v>
      </c>
      <c r="H252">
        <v>34372.988150880163</v>
      </c>
      <c r="I252">
        <v>1158.0718435200008</v>
      </c>
      <c r="J252">
        <v>3.2593225299287903E-2</v>
      </c>
    </row>
    <row r="253" spans="1:10" x14ac:dyDescent="0.25">
      <c r="A253" t="s">
        <v>1</v>
      </c>
      <c r="B253" t="s">
        <v>348</v>
      </c>
      <c r="C253" t="s">
        <v>350</v>
      </c>
      <c r="D253">
        <v>1</v>
      </c>
      <c r="E253" t="s">
        <v>96</v>
      </c>
      <c r="F253">
        <v>2033</v>
      </c>
      <c r="G253" t="s">
        <v>2</v>
      </c>
      <c r="H253">
        <v>33649.669939200139</v>
      </c>
      <c r="I253">
        <v>1154.9077128000008</v>
      </c>
      <c r="J253">
        <v>3.3182638339920502E-2</v>
      </c>
    </row>
    <row r="254" spans="1:10" x14ac:dyDescent="0.25">
      <c r="A254" t="s">
        <v>1</v>
      </c>
      <c r="B254" t="s">
        <v>348</v>
      </c>
      <c r="C254" t="s">
        <v>350</v>
      </c>
      <c r="D254">
        <v>1</v>
      </c>
      <c r="E254" t="s">
        <v>96</v>
      </c>
      <c r="F254">
        <v>2034</v>
      </c>
      <c r="G254" t="s">
        <v>2</v>
      </c>
      <c r="H254">
        <v>33458.551143840137</v>
      </c>
      <c r="I254">
        <v>1154.9077128000008</v>
      </c>
      <c r="J254">
        <v>3.33658568357275E-2</v>
      </c>
    </row>
    <row r="255" spans="1:10" x14ac:dyDescent="0.25">
      <c r="A255" t="s">
        <v>1</v>
      </c>
      <c r="B255" t="s">
        <v>348</v>
      </c>
      <c r="C255" t="s">
        <v>350</v>
      </c>
      <c r="D255">
        <v>1</v>
      </c>
      <c r="E255" t="s">
        <v>96</v>
      </c>
      <c r="F255">
        <v>2035</v>
      </c>
      <c r="G255" t="s">
        <v>2</v>
      </c>
      <c r="H255">
        <v>34269.288080160157</v>
      </c>
      <c r="I255">
        <v>1154.9077128000008</v>
      </c>
      <c r="J255">
        <v>3.2602228136665697E-2</v>
      </c>
    </row>
    <row r="256" spans="1:10" x14ac:dyDescent="0.25">
      <c r="A256" t="s">
        <v>1</v>
      </c>
      <c r="B256" t="s">
        <v>348</v>
      </c>
      <c r="C256" t="s">
        <v>350</v>
      </c>
      <c r="D256">
        <v>1</v>
      </c>
      <c r="E256" t="s">
        <v>96</v>
      </c>
      <c r="F256">
        <v>2036</v>
      </c>
      <c r="G256" t="s">
        <v>2</v>
      </c>
      <c r="H256">
        <v>33260.793110880135</v>
      </c>
      <c r="I256">
        <v>1158.0718435200008</v>
      </c>
      <c r="J256">
        <v>3.3646427476741902E-2</v>
      </c>
    </row>
    <row r="257" spans="1:10" x14ac:dyDescent="0.25">
      <c r="A257" t="s">
        <v>1</v>
      </c>
      <c r="B257" t="s">
        <v>348</v>
      </c>
      <c r="C257" t="s">
        <v>350</v>
      </c>
      <c r="D257">
        <v>1</v>
      </c>
      <c r="E257" t="s">
        <v>96</v>
      </c>
      <c r="F257">
        <v>2037</v>
      </c>
      <c r="G257" t="s">
        <v>2</v>
      </c>
      <c r="H257">
        <v>32934.633988560126</v>
      </c>
      <c r="I257">
        <v>1154.9077128000008</v>
      </c>
      <c r="J257">
        <v>3.3878651784688602E-2</v>
      </c>
    </row>
    <row r="258" spans="1:10" x14ac:dyDescent="0.25">
      <c r="A258" t="s">
        <v>1</v>
      </c>
      <c r="B258" t="s">
        <v>348</v>
      </c>
      <c r="C258" t="s">
        <v>350</v>
      </c>
      <c r="D258">
        <v>1</v>
      </c>
      <c r="E258" t="s">
        <v>96</v>
      </c>
      <c r="F258">
        <v>2038</v>
      </c>
      <c r="G258" t="s">
        <v>2</v>
      </c>
      <c r="H258">
        <v>32278.796219760108</v>
      </c>
      <c r="I258">
        <v>1154.9077128000008</v>
      </c>
      <c r="J258">
        <v>3.4543217680266303E-2</v>
      </c>
    </row>
    <row r="259" spans="1:10" x14ac:dyDescent="0.25">
      <c r="A259" t="s">
        <v>1</v>
      </c>
      <c r="B259" t="s">
        <v>348</v>
      </c>
      <c r="C259" t="s">
        <v>350</v>
      </c>
      <c r="D259">
        <v>1</v>
      </c>
      <c r="E259" t="s">
        <v>96</v>
      </c>
      <c r="F259">
        <v>2039</v>
      </c>
      <c r="G259" t="s">
        <v>2</v>
      </c>
      <c r="H259">
        <v>34269.288080160157</v>
      </c>
      <c r="I259">
        <v>1154.9077128000008</v>
      </c>
      <c r="J259">
        <v>3.2602228136665697E-2</v>
      </c>
    </row>
    <row r="260" spans="1:10" x14ac:dyDescent="0.25">
      <c r="A260" t="s">
        <v>1</v>
      </c>
      <c r="B260" t="s">
        <v>348</v>
      </c>
      <c r="C260" t="s">
        <v>350</v>
      </c>
      <c r="D260">
        <v>1</v>
      </c>
      <c r="E260" t="s">
        <v>96</v>
      </c>
      <c r="F260">
        <v>2040</v>
      </c>
      <c r="G260" t="s">
        <v>2</v>
      </c>
      <c r="H260">
        <v>34372.988150880163</v>
      </c>
      <c r="I260">
        <v>1158.0718435200008</v>
      </c>
      <c r="J260">
        <v>3.2593225299287903E-2</v>
      </c>
    </row>
    <row r="261" spans="1:10" x14ac:dyDescent="0.25">
      <c r="A261" t="s">
        <v>1</v>
      </c>
      <c r="B261" t="s">
        <v>348</v>
      </c>
      <c r="C261" t="s">
        <v>350</v>
      </c>
      <c r="D261">
        <v>1</v>
      </c>
      <c r="E261" t="s">
        <v>96</v>
      </c>
      <c r="F261">
        <v>2041</v>
      </c>
      <c r="G261" t="s">
        <v>2</v>
      </c>
      <c r="H261">
        <v>34269.288080160157</v>
      </c>
      <c r="I261">
        <v>1154.9077128000008</v>
      </c>
      <c r="J261">
        <v>3.2602228136665697E-2</v>
      </c>
    </row>
    <row r="262" spans="1:10" x14ac:dyDescent="0.25">
      <c r="A262" t="s">
        <v>1</v>
      </c>
      <c r="B262" t="s">
        <v>348</v>
      </c>
      <c r="C262" t="s">
        <v>350</v>
      </c>
      <c r="D262">
        <v>1</v>
      </c>
      <c r="E262" t="s">
        <v>96</v>
      </c>
      <c r="F262">
        <v>2042</v>
      </c>
      <c r="G262" t="s">
        <v>2</v>
      </c>
      <c r="H262">
        <v>31813.292228160095</v>
      </c>
      <c r="I262">
        <v>1154.9077128000008</v>
      </c>
      <c r="J262">
        <v>3.50309605883313E-2</v>
      </c>
    </row>
    <row r="263" spans="1:10" x14ac:dyDescent="0.25">
      <c r="A263" t="s">
        <v>1</v>
      </c>
      <c r="B263" t="s">
        <v>348</v>
      </c>
      <c r="C263" t="s">
        <v>350</v>
      </c>
      <c r="D263">
        <v>1</v>
      </c>
      <c r="E263" t="s">
        <v>96</v>
      </c>
      <c r="F263">
        <v>2043</v>
      </c>
      <c r="G263" t="s">
        <v>2</v>
      </c>
      <c r="H263">
        <v>31736.07746808009</v>
      </c>
      <c r="I263">
        <v>1154.9077128000008</v>
      </c>
      <c r="J263">
        <v>3.5113199147083003E-2</v>
      </c>
    </row>
    <row r="264" spans="1:10" x14ac:dyDescent="0.25">
      <c r="A264" t="s">
        <v>1</v>
      </c>
      <c r="B264" t="s">
        <v>348</v>
      </c>
      <c r="C264" t="s">
        <v>350</v>
      </c>
      <c r="D264">
        <v>1</v>
      </c>
      <c r="E264" t="s">
        <v>96</v>
      </c>
      <c r="F264">
        <v>2044</v>
      </c>
      <c r="G264" t="s">
        <v>2</v>
      </c>
      <c r="H264">
        <v>34372.988150880163</v>
      </c>
      <c r="I264">
        <v>1158.0718435200008</v>
      </c>
      <c r="J264">
        <v>3.2593225299287903E-2</v>
      </c>
    </row>
    <row r="265" spans="1:10" x14ac:dyDescent="0.25">
      <c r="A265" t="s">
        <v>1</v>
      </c>
      <c r="B265" t="s">
        <v>348</v>
      </c>
      <c r="C265" t="s">
        <v>350</v>
      </c>
      <c r="D265">
        <v>1</v>
      </c>
      <c r="E265" t="s">
        <v>96</v>
      </c>
      <c r="F265">
        <v>2045</v>
      </c>
      <c r="G265" t="s">
        <v>2</v>
      </c>
      <c r="H265">
        <v>34269.288080160157</v>
      </c>
      <c r="I265">
        <v>1154.9077128000008</v>
      </c>
      <c r="J265">
        <v>3.2602228136665697E-2</v>
      </c>
    </row>
    <row r="266" spans="1:10" x14ac:dyDescent="0.25">
      <c r="A266" t="s">
        <v>1</v>
      </c>
      <c r="B266" t="s">
        <v>348</v>
      </c>
      <c r="C266" t="s">
        <v>350</v>
      </c>
      <c r="D266">
        <v>1</v>
      </c>
      <c r="E266" t="s">
        <v>96</v>
      </c>
      <c r="F266">
        <v>2046</v>
      </c>
      <c r="G266" t="s">
        <v>2</v>
      </c>
      <c r="H266">
        <v>31654.424844720088</v>
      </c>
      <c r="I266">
        <v>1154.9077128000008</v>
      </c>
      <c r="J266">
        <v>3.52005854058524E-2</v>
      </c>
    </row>
    <row r="267" spans="1:10" x14ac:dyDescent="0.25">
      <c r="A267" t="s">
        <v>1</v>
      </c>
      <c r="B267" t="s">
        <v>348</v>
      </c>
      <c r="C267" t="s">
        <v>350</v>
      </c>
      <c r="D267">
        <v>1</v>
      </c>
      <c r="E267" t="s">
        <v>96</v>
      </c>
      <c r="F267">
        <v>2047</v>
      </c>
      <c r="G267" t="s">
        <v>2</v>
      </c>
      <c r="H267">
        <v>34269.288080160157</v>
      </c>
      <c r="I267">
        <v>1154.9077128000008</v>
      </c>
      <c r="J267">
        <v>3.2602228136665697E-2</v>
      </c>
    </row>
    <row r="268" spans="1:10" x14ac:dyDescent="0.25">
      <c r="A268" t="s">
        <v>1</v>
      </c>
      <c r="B268" t="s">
        <v>348</v>
      </c>
      <c r="C268" t="s">
        <v>350</v>
      </c>
      <c r="D268">
        <v>1</v>
      </c>
      <c r="E268" t="s">
        <v>96</v>
      </c>
      <c r="F268">
        <v>2048</v>
      </c>
      <c r="G268" t="s">
        <v>2</v>
      </c>
      <c r="H268">
        <v>34372.988150880163</v>
      </c>
      <c r="I268">
        <v>1158.0718435200008</v>
      </c>
      <c r="J268">
        <v>3.2593225299287903E-2</v>
      </c>
    </row>
    <row r="269" spans="1:10" x14ac:dyDescent="0.25">
      <c r="A269" t="s">
        <v>1</v>
      </c>
      <c r="B269" t="s">
        <v>348</v>
      </c>
      <c r="C269" t="s">
        <v>350</v>
      </c>
      <c r="D269">
        <v>1</v>
      </c>
      <c r="E269" t="s">
        <v>96</v>
      </c>
      <c r="F269">
        <v>2049</v>
      </c>
      <c r="G269" t="s">
        <v>2</v>
      </c>
      <c r="H269">
        <v>34269.288080160157</v>
      </c>
      <c r="I269">
        <v>1154.9077128000008</v>
      </c>
      <c r="J269">
        <v>3.2602228136665697E-2</v>
      </c>
    </row>
    <row r="270" spans="1:10" x14ac:dyDescent="0.25">
      <c r="A270" t="s">
        <v>1</v>
      </c>
      <c r="B270" t="s">
        <v>348</v>
      </c>
      <c r="C270" t="s">
        <v>350</v>
      </c>
      <c r="D270">
        <v>1</v>
      </c>
      <c r="E270" t="s">
        <v>96</v>
      </c>
      <c r="F270">
        <v>2050</v>
      </c>
      <c r="G270" t="s">
        <v>2</v>
      </c>
      <c r="H270">
        <v>34269.288080160157</v>
      </c>
      <c r="I270">
        <v>1154.9077128000008</v>
      </c>
      <c r="J270">
        <v>3.2602228136665697E-2</v>
      </c>
    </row>
    <row r="271" spans="1:10" x14ac:dyDescent="0.25">
      <c r="A271" t="s">
        <v>1</v>
      </c>
      <c r="B271" t="s">
        <v>348</v>
      </c>
      <c r="C271" t="s">
        <v>350</v>
      </c>
      <c r="D271">
        <v>1</v>
      </c>
      <c r="E271" t="s">
        <v>96</v>
      </c>
      <c r="F271">
        <v>2051</v>
      </c>
      <c r="G271" t="s">
        <v>2</v>
      </c>
      <c r="H271">
        <v>34269.288080160157</v>
      </c>
      <c r="I271">
        <v>1154.9077128000008</v>
      </c>
      <c r="J271">
        <v>3.2602228136665697E-2</v>
      </c>
    </row>
    <row r="272" spans="1:10" x14ac:dyDescent="0.25">
      <c r="A272" t="s">
        <v>1</v>
      </c>
      <c r="B272" t="s">
        <v>348</v>
      </c>
      <c r="C272" t="s">
        <v>350</v>
      </c>
      <c r="D272">
        <v>1</v>
      </c>
      <c r="E272" t="s">
        <v>97</v>
      </c>
      <c r="F272">
        <v>2022</v>
      </c>
      <c r="G272" t="s">
        <v>2</v>
      </c>
      <c r="H272">
        <v>26355.444418799998</v>
      </c>
      <c r="I272">
        <v>866.97181728000066</v>
      </c>
      <c r="J272">
        <v>3.1847717328300003E-2</v>
      </c>
    </row>
    <row r="273" spans="1:10" x14ac:dyDescent="0.25">
      <c r="A273" t="s">
        <v>1</v>
      </c>
      <c r="B273" t="s">
        <v>348</v>
      </c>
      <c r="C273" t="s">
        <v>350</v>
      </c>
      <c r="D273">
        <v>1</v>
      </c>
      <c r="E273" t="s">
        <v>97</v>
      </c>
      <c r="F273">
        <v>2023</v>
      </c>
      <c r="G273" t="s">
        <v>2</v>
      </c>
      <c r="H273">
        <v>34269.288080160157</v>
      </c>
      <c r="I273">
        <v>1154.9077128000008</v>
      </c>
      <c r="J273">
        <v>3.2602228136665697E-2</v>
      </c>
    </row>
    <row r="274" spans="1:10" x14ac:dyDescent="0.25">
      <c r="A274" t="s">
        <v>1</v>
      </c>
      <c r="B274" t="s">
        <v>348</v>
      </c>
      <c r="C274" t="s">
        <v>350</v>
      </c>
      <c r="D274">
        <v>1</v>
      </c>
      <c r="E274" t="s">
        <v>97</v>
      </c>
      <c r="F274">
        <v>2024</v>
      </c>
      <c r="G274" t="s">
        <v>2</v>
      </c>
      <c r="H274">
        <v>33589.397989680139</v>
      </c>
      <c r="I274">
        <v>1158.0718435200008</v>
      </c>
      <c r="J274">
        <v>3.3328235093926101E-2</v>
      </c>
    </row>
    <row r="275" spans="1:10" x14ac:dyDescent="0.25">
      <c r="A275" t="s">
        <v>1</v>
      </c>
      <c r="B275" t="s">
        <v>348</v>
      </c>
      <c r="C275" t="s">
        <v>350</v>
      </c>
      <c r="D275">
        <v>1</v>
      </c>
      <c r="E275" t="s">
        <v>97</v>
      </c>
      <c r="F275">
        <v>2025</v>
      </c>
      <c r="G275" t="s">
        <v>2</v>
      </c>
      <c r="H275">
        <v>34269.288080160157</v>
      </c>
      <c r="I275">
        <v>1154.9077128000008</v>
      </c>
      <c r="J275">
        <v>3.2602228136665697E-2</v>
      </c>
    </row>
    <row r="276" spans="1:10" x14ac:dyDescent="0.25">
      <c r="A276" t="s">
        <v>1</v>
      </c>
      <c r="B276" t="s">
        <v>348</v>
      </c>
      <c r="C276" t="s">
        <v>350</v>
      </c>
      <c r="D276">
        <v>1</v>
      </c>
      <c r="E276" t="s">
        <v>97</v>
      </c>
      <c r="F276">
        <v>2026</v>
      </c>
      <c r="G276" t="s">
        <v>2</v>
      </c>
      <c r="H276">
        <v>34269.288080160157</v>
      </c>
      <c r="I276">
        <v>1154.9077128000008</v>
      </c>
      <c r="J276">
        <v>3.2602228136665697E-2</v>
      </c>
    </row>
    <row r="277" spans="1:10" x14ac:dyDescent="0.25">
      <c r="A277" t="s">
        <v>1</v>
      </c>
      <c r="B277" t="s">
        <v>348</v>
      </c>
      <c r="C277" t="s">
        <v>350</v>
      </c>
      <c r="D277">
        <v>1</v>
      </c>
      <c r="E277" t="s">
        <v>97</v>
      </c>
      <c r="F277">
        <v>2027</v>
      </c>
      <c r="G277" t="s">
        <v>2</v>
      </c>
      <c r="H277">
        <v>34269.288080160157</v>
      </c>
      <c r="I277">
        <v>1154.9077128000008</v>
      </c>
      <c r="J277">
        <v>3.2602228136665697E-2</v>
      </c>
    </row>
    <row r="278" spans="1:10" x14ac:dyDescent="0.25">
      <c r="A278" t="s">
        <v>1</v>
      </c>
      <c r="B278" t="s">
        <v>348</v>
      </c>
      <c r="C278" t="s">
        <v>350</v>
      </c>
      <c r="D278">
        <v>1</v>
      </c>
      <c r="E278" t="s">
        <v>97</v>
      </c>
      <c r="F278">
        <v>2028</v>
      </c>
      <c r="G278" t="s">
        <v>2</v>
      </c>
      <c r="H278">
        <v>34372.988150880163</v>
      </c>
      <c r="I278">
        <v>1158.0718435200008</v>
      </c>
      <c r="J278">
        <v>3.2593225299287903E-2</v>
      </c>
    </row>
    <row r="279" spans="1:10" x14ac:dyDescent="0.25">
      <c r="A279" t="s">
        <v>1</v>
      </c>
      <c r="B279" t="s">
        <v>348</v>
      </c>
      <c r="C279" t="s">
        <v>350</v>
      </c>
      <c r="D279">
        <v>1</v>
      </c>
      <c r="E279" t="s">
        <v>97</v>
      </c>
      <c r="F279">
        <v>2029</v>
      </c>
      <c r="G279" t="s">
        <v>2</v>
      </c>
      <c r="H279">
        <v>33189.555128880129</v>
      </c>
      <c r="I279">
        <v>1154.9077128000008</v>
      </c>
      <c r="J279">
        <v>3.3627188118324998E-2</v>
      </c>
    </row>
    <row r="280" spans="1:10" x14ac:dyDescent="0.25">
      <c r="A280" t="s">
        <v>1</v>
      </c>
      <c r="B280" t="s">
        <v>348</v>
      </c>
      <c r="C280" t="s">
        <v>350</v>
      </c>
      <c r="D280">
        <v>1</v>
      </c>
      <c r="E280" t="s">
        <v>97</v>
      </c>
      <c r="F280">
        <v>2030</v>
      </c>
      <c r="G280" t="s">
        <v>2</v>
      </c>
      <c r="H280">
        <v>33095.727021840125</v>
      </c>
      <c r="I280">
        <v>1154.9077128000008</v>
      </c>
      <c r="J280">
        <v>3.37193083207874E-2</v>
      </c>
    </row>
    <row r="281" spans="1:10" x14ac:dyDescent="0.25">
      <c r="A281" t="s">
        <v>1</v>
      </c>
      <c r="B281" t="s">
        <v>348</v>
      </c>
      <c r="C281" t="s">
        <v>350</v>
      </c>
      <c r="D281">
        <v>1</v>
      </c>
      <c r="E281" t="s">
        <v>97</v>
      </c>
      <c r="F281">
        <v>2031</v>
      </c>
      <c r="G281" t="s">
        <v>2</v>
      </c>
      <c r="H281">
        <v>33702.449364960143</v>
      </c>
      <c r="I281">
        <v>1154.9077128000008</v>
      </c>
      <c r="J281">
        <v>3.3132394697154399E-2</v>
      </c>
    </row>
    <row r="282" spans="1:10" x14ac:dyDescent="0.25">
      <c r="A282" t="s">
        <v>1</v>
      </c>
      <c r="B282" t="s">
        <v>348</v>
      </c>
      <c r="C282" t="s">
        <v>350</v>
      </c>
      <c r="D282">
        <v>1</v>
      </c>
      <c r="E282" t="s">
        <v>97</v>
      </c>
      <c r="F282">
        <v>2032</v>
      </c>
      <c r="G282" t="s">
        <v>2</v>
      </c>
      <c r="H282">
        <v>34372.988150880163</v>
      </c>
      <c r="I282">
        <v>1158.0718435200008</v>
      </c>
      <c r="J282">
        <v>3.2593225299287903E-2</v>
      </c>
    </row>
    <row r="283" spans="1:10" x14ac:dyDescent="0.25">
      <c r="A283" t="s">
        <v>1</v>
      </c>
      <c r="B283" t="s">
        <v>348</v>
      </c>
      <c r="C283" t="s">
        <v>350</v>
      </c>
      <c r="D283">
        <v>1</v>
      </c>
      <c r="E283" t="s">
        <v>97</v>
      </c>
      <c r="F283">
        <v>2033</v>
      </c>
      <c r="G283" t="s">
        <v>2</v>
      </c>
      <c r="H283">
        <v>33623.28382368014</v>
      </c>
      <c r="I283">
        <v>1154.9077128000008</v>
      </c>
      <c r="J283">
        <v>3.3207813913744597E-2</v>
      </c>
    </row>
    <row r="284" spans="1:10" x14ac:dyDescent="0.25">
      <c r="A284" t="s">
        <v>1</v>
      </c>
      <c r="B284" t="s">
        <v>348</v>
      </c>
      <c r="C284" t="s">
        <v>350</v>
      </c>
      <c r="D284">
        <v>1</v>
      </c>
      <c r="E284" t="s">
        <v>97</v>
      </c>
      <c r="F284">
        <v>2034</v>
      </c>
      <c r="G284" t="s">
        <v>2</v>
      </c>
      <c r="H284">
        <v>33469.298900400136</v>
      </c>
      <c r="I284">
        <v>1154.9077128000008</v>
      </c>
      <c r="J284">
        <v>3.3355499685578403E-2</v>
      </c>
    </row>
    <row r="285" spans="1:10" x14ac:dyDescent="0.25">
      <c r="A285" t="s">
        <v>1</v>
      </c>
      <c r="B285" t="s">
        <v>348</v>
      </c>
      <c r="C285" t="s">
        <v>350</v>
      </c>
      <c r="D285">
        <v>1</v>
      </c>
      <c r="E285" t="s">
        <v>97</v>
      </c>
      <c r="F285">
        <v>2035</v>
      </c>
      <c r="G285" t="s">
        <v>2</v>
      </c>
      <c r="H285">
        <v>34269.288080160157</v>
      </c>
      <c r="I285">
        <v>1154.9077128000008</v>
      </c>
      <c r="J285">
        <v>3.2602228136665697E-2</v>
      </c>
    </row>
    <row r="286" spans="1:10" x14ac:dyDescent="0.25">
      <c r="A286" t="s">
        <v>1</v>
      </c>
      <c r="B286" t="s">
        <v>348</v>
      </c>
      <c r="C286" t="s">
        <v>350</v>
      </c>
      <c r="D286">
        <v>1</v>
      </c>
      <c r="E286" t="s">
        <v>97</v>
      </c>
      <c r="F286">
        <v>2036</v>
      </c>
      <c r="G286" t="s">
        <v>2</v>
      </c>
      <c r="H286">
        <v>33367.196617440131</v>
      </c>
      <c r="I286">
        <v>1158.0718435200008</v>
      </c>
      <c r="J286">
        <v>3.3542732472290601E-2</v>
      </c>
    </row>
    <row r="287" spans="1:10" x14ac:dyDescent="0.25">
      <c r="A287" t="s">
        <v>1</v>
      </c>
      <c r="B287" t="s">
        <v>348</v>
      </c>
      <c r="C287" t="s">
        <v>350</v>
      </c>
      <c r="D287">
        <v>1</v>
      </c>
      <c r="E287" t="s">
        <v>97</v>
      </c>
      <c r="F287">
        <v>2037</v>
      </c>
      <c r="G287" t="s">
        <v>2</v>
      </c>
      <c r="H287">
        <v>33052.778205120128</v>
      </c>
      <c r="I287">
        <v>1154.9077128000008</v>
      </c>
      <c r="J287">
        <v>3.3761643964200103E-2</v>
      </c>
    </row>
    <row r="288" spans="1:10" x14ac:dyDescent="0.25">
      <c r="A288" t="s">
        <v>1</v>
      </c>
      <c r="B288" t="s">
        <v>348</v>
      </c>
      <c r="C288" t="s">
        <v>350</v>
      </c>
      <c r="D288">
        <v>1</v>
      </c>
      <c r="E288" t="s">
        <v>97</v>
      </c>
      <c r="F288">
        <v>2038</v>
      </c>
      <c r="G288" t="s">
        <v>2</v>
      </c>
      <c r="H288">
        <v>32306.487140400106</v>
      </c>
      <c r="I288">
        <v>1154.9077128000008</v>
      </c>
      <c r="J288">
        <v>3.4514631498978002E-2</v>
      </c>
    </row>
    <row r="289" spans="1:10" x14ac:dyDescent="0.25">
      <c r="A289" t="s">
        <v>1</v>
      </c>
      <c r="B289" t="s">
        <v>348</v>
      </c>
      <c r="C289" t="s">
        <v>350</v>
      </c>
      <c r="D289">
        <v>1</v>
      </c>
      <c r="E289" t="s">
        <v>97</v>
      </c>
      <c r="F289">
        <v>2039</v>
      </c>
      <c r="G289" t="s">
        <v>2</v>
      </c>
      <c r="H289">
        <v>34269.288080160157</v>
      </c>
      <c r="I289">
        <v>1154.9077128000008</v>
      </c>
      <c r="J289">
        <v>3.2602228136665697E-2</v>
      </c>
    </row>
    <row r="290" spans="1:10" x14ac:dyDescent="0.25">
      <c r="A290" t="s">
        <v>1</v>
      </c>
      <c r="B290" t="s">
        <v>348</v>
      </c>
      <c r="C290" t="s">
        <v>350</v>
      </c>
      <c r="D290">
        <v>1</v>
      </c>
      <c r="E290" t="s">
        <v>97</v>
      </c>
      <c r="F290">
        <v>2040</v>
      </c>
      <c r="G290" t="s">
        <v>2</v>
      </c>
      <c r="H290">
        <v>34372.988150880163</v>
      </c>
      <c r="I290">
        <v>1158.0718435200008</v>
      </c>
      <c r="J290">
        <v>3.2593225299287903E-2</v>
      </c>
    </row>
    <row r="291" spans="1:10" x14ac:dyDescent="0.25">
      <c r="A291" t="s">
        <v>1</v>
      </c>
      <c r="B291" t="s">
        <v>348</v>
      </c>
      <c r="C291" t="s">
        <v>350</v>
      </c>
      <c r="D291">
        <v>1</v>
      </c>
      <c r="E291" t="s">
        <v>97</v>
      </c>
      <c r="F291">
        <v>2041</v>
      </c>
      <c r="G291" t="s">
        <v>2</v>
      </c>
      <c r="H291">
        <v>34269.288080160157</v>
      </c>
      <c r="I291">
        <v>1154.9077128000008</v>
      </c>
      <c r="J291">
        <v>3.2602228136665697E-2</v>
      </c>
    </row>
    <row r="292" spans="1:10" x14ac:dyDescent="0.25">
      <c r="A292" t="s">
        <v>1</v>
      </c>
      <c r="B292" t="s">
        <v>348</v>
      </c>
      <c r="C292" t="s">
        <v>350</v>
      </c>
      <c r="D292">
        <v>1</v>
      </c>
      <c r="E292" t="s">
        <v>97</v>
      </c>
      <c r="F292">
        <v>2042</v>
      </c>
      <c r="G292" t="s">
        <v>2</v>
      </c>
      <c r="H292">
        <v>31898.133556800094</v>
      </c>
      <c r="I292">
        <v>1154.9077128000008</v>
      </c>
      <c r="J292">
        <v>3.4941042289569998E-2</v>
      </c>
    </row>
    <row r="293" spans="1:10" x14ac:dyDescent="0.25">
      <c r="A293" t="s">
        <v>1</v>
      </c>
      <c r="B293" t="s">
        <v>348</v>
      </c>
      <c r="C293" t="s">
        <v>350</v>
      </c>
      <c r="D293">
        <v>1</v>
      </c>
      <c r="E293" t="s">
        <v>97</v>
      </c>
      <c r="F293">
        <v>2043</v>
      </c>
      <c r="G293" t="s">
        <v>2</v>
      </c>
      <c r="H293">
        <v>31833.132235680096</v>
      </c>
      <c r="I293">
        <v>1154.9077128000008</v>
      </c>
      <c r="J293">
        <v>3.5009891906391102E-2</v>
      </c>
    </row>
    <row r="294" spans="1:10" x14ac:dyDescent="0.25">
      <c r="A294" t="s">
        <v>1</v>
      </c>
      <c r="B294" t="s">
        <v>348</v>
      </c>
      <c r="C294" t="s">
        <v>350</v>
      </c>
      <c r="D294">
        <v>1</v>
      </c>
      <c r="E294" t="s">
        <v>97</v>
      </c>
      <c r="F294">
        <v>2044</v>
      </c>
      <c r="G294" t="s">
        <v>2</v>
      </c>
      <c r="H294">
        <v>34372.988150880163</v>
      </c>
      <c r="I294">
        <v>1158.0718435200008</v>
      </c>
      <c r="J294">
        <v>3.2593225299287903E-2</v>
      </c>
    </row>
    <row r="295" spans="1:10" x14ac:dyDescent="0.25">
      <c r="A295" t="s">
        <v>1</v>
      </c>
      <c r="B295" t="s">
        <v>348</v>
      </c>
      <c r="C295" t="s">
        <v>350</v>
      </c>
      <c r="D295">
        <v>1</v>
      </c>
      <c r="E295" t="s">
        <v>97</v>
      </c>
      <c r="F295">
        <v>2045</v>
      </c>
      <c r="G295" t="s">
        <v>2</v>
      </c>
      <c r="H295">
        <v>34269.288080160157</v>
      </c>
      <c r="I295">
        <v>1154.9077128000008</v>
      </c>
      <c r="J295">
        <v>3.2602228136665697E-2</v>
      </c>
    </row>
    <row r="296" spans="1:10" x14ac:dyDescent="0.25">
      <c r="A296" t="s">
        <v>1</v>
      </c>
      <c r="B296" t="s">
        <v>348</v>
      </c>
      <c r="C296" t="s">
        <v>350</v>
      </c>
      <c r="D296">
        <v>1</v>
      </c>
      <c r="E296" t="s">
        <v>97</v>
      </c>
      <c r="F296">
        <v>2046</v>
      </c>
      <c r="G296" t="s">
        <v>2</v>
      </c>
      <c r="H296">
        <v>31691.467039920091</v>
      </c>
      <c r="I296">
        <v>1154.9077128000008</v>
      </c>
      <c r="J296">
        <v>3.5160888271371801E-2</v>
      </c>
    </row>
    <row r="297" spans="1:10" x14ac:dyDescent="0.25">
      <c r="A297" t="s">
        <v>1</v>
      </c>
      <c r="B297" t="s">
        <v>348</v>
      </c>
      <c r="C297" t="s">
        <v>350</v>
      </c>
      <c r="D297">
        <v>1</v>
      </c>
      <c r="E297" t="s">
        <v>97</v>
      </c>
      <c r="F297">
        <v>2047</v>
      </c>
      <c r="G297" t="s">
        <v>2</v>
      </c>
      <c r="H297">
        <v>34269.288080160157</v>
      </c>
      <c r="I297">
        <v>1154.9077128000008</v>
      </c>
      <c r="J297">
        <v>3.2602228136665697E-2</v>
      </c>
    </row>
    <row r="298" spans="1:10" x14ac:dyDescent="0.25">
      <c r="A298" t="s">
        <v>1</v>
      </c>
      <c r="B298" t="s">
        <v>348</v>
      </c>
      <c r="C298" t="s">
        <v>350</v>
      </c>
      <c r="D298">
        <v>1</v>
      </c>
      <c r="E298" t="s">
        <v>97</v>
      </c>
      <c r="F298">
        <v>2048</v>
      </c>
      <c r="G298" t="s">
        <v>2</v>
      </c>
      <c r="H298">
        <v>34372.988150880163</v>
      </c>
      <c r="I298">
        <v>1158.0718435200008</v>
      </c>
      <c r="J298">
        <v>3.2593225299287903E-2</v>
      </c>
    </row>
    <row r="299" spans="1:10" x14ac:dyDescent="0.25">
      <c r="A299" t="s">
        <v>1</v>
      </c>
      <c r="B299" t="s">
        <v>348</v>
      </c>
      <c r="C299" t="s">
        <v>350</v>
      </c>
      <c r="D299">
        <v>1</v>
      </c>
      <c r="E299" t="s">
        <v>97</v>
      </c>
      <c r="F299">
        <v>2049</v>
      </c>
      <c r="G299" t="s">
        <v>2</v>
      </c>
      <c r="H299">
        <v>34269.288080160157</v>
      </c>
      <c r="I299">
        <v>1154.9077128000008</v>
      </c>
      <c r="J299">
        <v>3.2602228136665697E-2</v>
      </c>
    </row>
    <row r="300" spans="1:10" x14ac:dyDescent="0.25">
      <c r="A300" t="s">
        <v>1</v>
      </c>
      <c r="B300" t="s">
        <v>348</v>
      </c>
      <c r="C300" t="s">
        <v>350</v>
      </c>
      <c r="D300">
        <v>1</v>
      </c>
      <c r="E300" t="s">
        <v>97</v>
      </c>
      <c r="F300">
        <v>2050</v>
      </c>
      <c r="G300" t="s">
        <v>2</v>
      </c>
      <c r="H300">
        <v>34269.288080160157</v>
      </c>
      <c r="I300">
        <v>1154.9077128000008</v>
      </c>
      <c r="J300">
        <v>3.2602228136665697E-2</v>
      </c>
    </row>
    <row r="301" spans="1:10" x14ac:dyDescent="0.25">
      <c r="A301" t="s">
        <v>1</v>
      </c>
      <c r="B301" t="s">
        <v>348</v>
      </c>
      <c r="C301" t="s">
        <v>350</v>
      </c>
      <c r="D301">
        <v>1</v>
      </c>
      <c r="E301" t="s">
        <v>97</v>
      </c>
      <c r="F301">
        <v>2051</v>
      </c>
      <c r="G301" t="s">
        <v>2</v>
      </c>
      <c r="H301">
        <v>34269.288080160157</v>
      </c>
      <c r="I301">
        <v>1154.9077128000008</v>
      </c>
      <c r="J301">
        <v>3.2602228136665697E-2</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945F0-A6AD-4CA1-8457-FA61F389A49F}">
  <sheetPr>
    <tabColor rgb="FFFFFF00"/>
  </sheetPr>
  <dimension ref="B1:CW78"/>
  <sheetViews>
    <sheetView topLeftCell="A4" workbookViewId="0">
      <selection activeCell="F40" sqref="F40"/>
    </sheetView>
  </sheetViews>
  <sheetFormatPr defaultRowHeight="15" x14ac:dyDescent="0.25"/>
  <cols>
    <col min="1" max="1" width="2.7109375" customWidth="1"/>
    <col min="2" max="2" width="20.28515625" customWidth="1"/>
    <col min="3" max="12" width="17.7109375" customWidth="1"/>
    <col min="13" max="13" width="3.5703125" customWidth="1"/>
    <col min="14" max="14" width="17.7109375" customWidth="1"/>
    <col min="15" max="15" width="18.7109375" customWidth="1"/>
    <col min="16" max="24" width="10.5703125" bestFit="1" customWidth="1"/>
    <col min="37" max="57" width="10.7109375" customWidth="1"/>
    <col min="58" max="58" width="2.7109375" customWidth="1"/>
    <col min="59" max="68" width="10.7109375" customWidth="1"/>
    <col min="69" max="69" width="2.7109375" customWidth="1"/>
    <col min="70" max="79" width="10.7109375" customWidth="1"/>
    <col min="80" max="80" width="2.7109375" customWidth="1"/>
    <col min="81" max="90" width="10.7109375" customWidth="1"/>
    <col min="91" max="91" width="2.7109375" customWidth="1"/>
    <col min="92" max="101" width="10.7109375" customWidth="1"/>
  </cols>
  <sheetData>
    <row r="1" spans="2:101" ht="15.75" thickBot="1" x14ac:dyDescent="0.3"/>
    <row r="2" spans="2:101" x14ac:dyDescent="0.25">
      <c r="B2" s="75" t="s">
        <v>347</v>
      </c>
      <c r="C2" s="73" t="s">
        <v>343</v>
      </c>
      <c r="D2" s="73" t="s">
        <v>341</v>
      </c>
      <c r="E2" s="73" t="s">
        <v>344</v>
      </c>
      <c r="F2" s="73" t="s">
        <v>345</v>
      </c>
      <c r="G2" s="73" t="s">
        <v>340</v>
      </c>
      <c r="H2" s="74" t="s">
        <v>346</v>
      </c>
    </row>
    <row r="3" spans="2:101" x14ac:dyDescent="0.25">
      <c r="B3" s="53" t="s">
        <v>351</v>
      </c>
      <c r="C3" s="6">
        <v>0</v>
      </c>
      <c r="D3" s="6">
        <v>5.5999999999999999E-3</v>
      </c>
      <c r="E3" s="6">
        <v>2.8E-3</v>
      </c>
      <c r="F3" s="6">
        <v>0</v>
      </c>
      <c r="G3" s="6">
        <v>9.4999999999999998E-3</v>
      </c>
      <c r="H3" s="54">
        <v>5.5E-2</v>
      </c>
    </row>
    <row r="4" spans="2:101" ht="15.75" thickBot="1" x14ac:dyDescent="0.3">
      <c r="B4" s="59" t="s">
        <v>342</v>
      </c>
      <c r="C4" s="64">
        <v>1.6</v>
      </c>
      <c r="D4" s="64">
        <v>1.1100000000000001</v>
      </c>
      <c r="E4" s="64">
        <v>0.47560000000000002</v>
      </c>
      <c r="F4" s="64">
        <v>0</v>
      </c>
      <c r="G4" s="64">
        <v>0.86</v>
      </c>
      <c r="H4" s="57">
        <v>2.6</v>
      </c>
    </row>
    <row r="5" spans="2:101" ht="15.75" thickBot="1" x14ac:dyDescent="0.3"/>
    <row r="6" spans="2:101" x14ac:dyDescent="0.25">
      <c r="B6" s="72" t="s">
        <v>339</v>
      </c>
      <c r="C6" s="65"/>
      <c r="D6" s="65"/>
      <c r="E6" s="65"/>
      <c r="F6" s="65"/>
      <c r="G6" s="65"/>
      <c r="H6" s="66"/>
    </row>
    <row r="7" spans="2:101" x14ac:dyDescent="0.25">
      <c r="B7" s="53" t="s">
        <v>329</v>
      </c>
      <c r="C7" s="6">
        <v>1</v>
      </c>
      <c r="D7" s="6">
        <v>1</v>
      </c>
      <c r="E7" s="6">
        <v>1</v>
      </c>
      <c r="F7" s="6">
        <v>1</v>
      </c>
      <c r="G7" s="6">
        <v>1</v>
      </c>
      <c r="H7" s="54"/>
    </row>
    <row r="8" spans="2:101" x14ac:dyDescent="0.25">
      <c r="B8" s="53" t="s">
        <v>330</v>
      </c>
      <c r="C8" s="6"/>
      <c r="D8" s="6"/>
      <c r="E8" s="6"/>
      <c r="F8" s="6"/>
      <c r="G8" s="6">
        <v>1</v>
      </c>
      <c r="H8" s="54"/>
    </row>
    <row r="9" spans="2:101" x14ac:dyDescent="0.25">
      <c r="B9" s="53" t="s">
        <v>331</v>
      </c>
      <c r="C9" s="6"/>
      <c r="D9" s="6"/>
      <c r="E9" s="6"/>
      <c r="F9" s="6"/>
      <c r="G9" s="6">
        <v>1</v>
      </c>
      <c r="H9" s="54"/>
    </row>
    <row r="10" spans="2:101" ht="15.75" thickBot="1" x14ac:dyDescent="0.3">
      <c r="B10" s="59" t="s">
        <v>332</v>
      </c>
      <c r="C10" s="64"/>
      <c r="D10" s="64"/>
      <c r="E10" s="64"/>
      <c r="F10" s="64"/>
      <c r="G10" s="64">
        <v>1</v>
      </c>
      <c r="H10" s="57">
        <v>1</v>
      </c>
    </row>
    <row r="13" spans="2:101" x14ac:dyDescent="0.25">
      <c r="AK13" s="67" t="s">
        <v>356</v>
      </c>
    </row>
    <row r="14" spans="2:101" x14ac:dyDescent="0.25">
      <c r="C14" t="s">
        <v>358</v>
      </c>
      <c r="O14" t="s">
        <v>357</v>
      </c>
      <c r="Z14" t="s">
        <v>359</v>
      </c>
      <c r="AK14" s="62" t="s">
        <v>353</v>
      </c>
      <c r="AV14" s="62" t="s">
        <v>354</v>
      </c>
      <c r="BG14" s="62" t="s">
        <v>330</v>
      </c>
      <c r="BR14" s="62" t="s">
        <v>331</v>
      </c>
      <c r="CC14" s="62" t="s">
        <v>332</v>
      </c>
      <c r="CN14" t="s">
        <v>355</v>
      </c>
    </row>
    <row r="15" spans="2:101" x14ac:dyDescent="0.25">
      <c r="C15" t="s">
        <v>61</v>
      </c>
      <c r="D15" t="s">
        <v>62</v>
      </c>
      <c r="E15" t="s">
        <v>63</v>
      </c>
      <c r="F15" t="s">
        <v>64</v>
      </c>
      <c r="G15" t="s">
        <v>65</v>
      </c>
      <c r="H15" t="s">
        <v>66</v>
      </c>
      <c r="I15" t="s">
        <v>67</v>
      </c>
      <c r="J15" t="s">
        <v>95</v>
      </c>
      <c r="K15" t="s">
        <v>96</v>
      </c>
      <c r="L15" t="s">
        <v>97</v>
      </c>
      <c r="O15" t="s">
        <v>61</v>
      </c>
      <c r="P15" t="s">
        <v>62</v>
      </c>
      <c r="Q15" t="s">
        <v>63</v>
      </c>
      <c r="R15" t="s">
        <v>64</v>
      </c>
      <c r="S15" t="s">
        <v>65</v>
      </c>
      <c r="T15" t="s">
        <v>66</v>
      </c>
      <c r="U15" t="s">
        <v>67</v>
      </c>
      <c r="V15" t="s">
        <v>95</v>
      </c>
      <c r="W15" t="s">
        <v>96</v>
      </c>
      <c r="X15" t="s">
        <v>97</v>
      </c>
      <c r="Z15" t="s">
        <v>61</v>
      </c>
      <c r="AA15" t="s">
        <v>62</v>
      </c>
      <c r="AB15" t="s">
        <v>63</v>
      </c>
      <c r="AC15" t="s">
        <v>64</v>
      </c>
      <c r="AD15" t="s">
        <v>65</v>
      </c>
      <c r="AE15" t="s">
        <v>66</v>
      </c>
      <c r="AF15" t="s">
        <v>67</v>
      </c>
      <c r="AG15" t="s">
        <v>95</v>
      </c>
      <c r="AH15" t="s">
        <v>96</v>
      </c>
      <c r="AI15" t="s">
        <v>97</v>
      </c>
      <c r="AK15" t="s">
        <v>61</v>
      </c>
      <c r="AL15" t="s">
        <v>62</v>
      </c>
      <c r="AM15" t="s">
        <v>63</v>
      </c>
      <c r="AN15" t="s">
        <v>64</v>
      </c>
      <c r="AO15" t="s">
        <v>65</v>
      </c>
      <c r="AP15" t="s">
        <v>66</v>
      </c>
      <c r="AQ15" t="s">
        <v>67</v>
      </c>
      <c r="AR15" t="s">
        <v>95</v>
      </c>
      <c r="AS15" t="s">
        <v>96</v>
      </c>
      <c r="AT15" t="s">
        <v>97</v>
      </c>
      <c r="AV15" t="s">
        <v>61</v>
      </c>
      <c r="AW15" t="s">
        <v>62</v>
      </c>
      <c r="AX15" t="s">
        <v>63</v>
      </c>
      <c r="AY15" t="s">
        <v>64</v>
      </c>
      <c r="AZ15" t="s">
        <v>65</v>
      </c>
      <c r="BA15" t="s">
        <v>66</v>
      </c>
      <c r="BB15" t="s">
        <v>67</v>
      </c>
      <c r="BC15" t="s">
        <v>95</v>
      </c>
      <c r="BD15" t="s">
        <v>96</v>
      </c>
      <c r="BE15" t="s">
        <v>97</v>
      </c>
      <c r="BG15" t="s">
        <v>61</v>
      </c>
      <c r="BH15" t="s">
        <v>62</v>
      </c>
      <c r="BI15" t="s">
        <v>63</v>
      </c>
      <c r="BJ15" t="s">
        <v>64</v>
      </c>
      <c r="BK15" t="s">
        <v>65</v>
      </c>
      <c r="BL15" t="s">
        <v>66</v>
      </c>
      <c r="BM15" t="s">
        <v>67</v>
      </c>
      <c r="BN15" t="s">
        <v>95</v>
      </c>
      <c r="BO15" t="s">
        <v>96</v>
      </c>
      <c r="BP15" t="s">
        <v>97</v>
      </c>
      <c r="BR15" t="s">
        <v>61</v>
      </c>
      <c r="BS15" t="s">
        <v>62</v>
      </c>
      <c r="BT15" t="s">
        <v>63</v>
      </c>
      <c r="BU15" t="s">
        <v>64</v>
      </c>
      <c r="BV15" t="s">
        <v>65</v>
      </c>
      <c r="BW15" t="s">
        <v>66</v>
      </c>
      <c r="BX15" t="s">
        <v>67</v>
      </c>
      <c r="BY15" t="s">
        <v>95</v>
      </c>
      <c r="BZ15" t="s">
        <v>96</v>
      </c>
      <c r="CA15" t="s">
        <v>97</v>
      </c>
      <c r="CC15" t="s">
        <v>61</v>
      </c>
      <c r="CD15" t="s">
        <v>62</v>
      </c>
      <c r="CE15" t="s">
        <v>63</v>
      </c>
      <c r="CF15" t="s">
        <v>64</v>
      </c>
      <c r="CG15" t="s">
        <v>65</v>
      </c>
      <c r="CH15" t="s">
        <v>66</v>
      </c>
      <c r="CI15" t="s">
        <v>67</v>
      </c>
      <c r="CJ15" t="s">
        <v>95</v>
      </c>
      <c r="CK15" t="s">
        <v>96</v>
      </c>
      <c r="CL15" t="s">
        <v>97</v>
      </c>
      <c r="CN15" t="s">
        <v>61</v>
      </c>
      <c r="CO15" t="s">
        <v>62</v>
      </c>
      <c r="CP15" t="s">
        <v>63</v>
      </c>
      <c r="CQ15" t="s">
        <v>64</v>
      </c>
      <c r="CR15" t="s">
        <v>65</v>
      </c>
      <c r="CS15" t="s">
        <v>66</v>
      </c>
      <c r="CT15" t="s">
        <v>67</v>
      </c>
      <c r="CU15" t="s">
        <v>95</v>
      </c>
      <c r="CV15" t="s">
        <v>96</v>
      </c>
      <c r="CW15" t="s">
        <v>97</v>
      </c>
    </row>
    <row r="16" spans="2:101" x14ac:dyDescent="0.25">
      <c r="B16">
        <v>2022</v>
      </c>
      <c r="C16" s="69">
        <f>'Gas Supply Commodity Costs'!I2/'Conventional Supply Quantities'!I2</f>
        <v>4.3510765814968124</v>
      </c>
      <c r="D16" s="69">
        <f>'Gas Supply Commodity Costs'!J2/'Conventional Supply Quantities'!J2</f>
        <v>4.3488392025646077</v>
      </c>
      <c r="E16" s="69">
        <f>'Gas Supply Commodity Costs'!K2/'Conventional Supply Quantities'!K2</f>
        <v>4.3483604359255015</v>
      </c>
      <c r="F16" s="69">
        <f>'Gas Supply Commodity Costs'!L2/'Conventional Supply Quantities'!L2</f>
        <v>4.3488392025742098</v>
      </c>
      <c r="G16" s="69">
        <f>'Gas Supply Commodity Costs'!M2/'Conventional Supply Quantities'!M2</f>
        <v>4.3488392025828126</v>
      </c>
      <c r="H16" s="69">
        <f>'Gas Supply Commodity Costs'!N2/'Conventional Supply Quantities'!N2</f>
        <v>4.352000505458145</v>
      </c>
      <c r="I16" s="69">
        <f>'Gas Supply Commodity Costs'!O2/'Conventional Supply Quantities'!O2</f>
        <v>4.3520005054581263</v>
      </c>
      <c r="J16" s="69">
        <f>'Gas Supply Commodity Costs'!P2/'Conventional Supply Quantities'!P2</f>
        <v>4.3488392025952827</v>
      </c>
      <c r="K16" s="69">
        <f>'Gas Supply Commodity Costs'!Q2/'Conventional Supply Quantities'!Q2</f>
        <v>4.3488392025799456</v>
      </c>
      <c r="L16" s="69">
        <f>'Gas Supply Commodity Costs'!R2/'Conventional Supply Quantities'!R2</f>
        <v>4.3488392025952827</v>
      </c>
      <c r="N16">
        <v>2022</v>
      </c>
      <c r="O16" s="69">
        <f ca="1">AK16*($D$3+$C$3+$F$3+$G$3)+AV16*($C$3+$E$3+$F$3+$G$3)+BG16*($G$3)+BR16*($G$3)+CC16*($H$3+$G$3)</f>
        <v>3.1907144771985294E-2</v>
      </c>
      <c r="P16" s="69">
        <f t="shared" ref="P16:X31" ca="1" si="0">AL16*($D$3+$C$3+$F$3+$G$3)+AW16*($C$3+$E$3+$F$3+$G$3)+BH16*($G$3)+BS16*($G$3)+CD16*($H$3+$G$3)</f>
        <v>3.1899091733834137E-2</v>
      </c>
      <c r="Q16" s="69">
        <f t="shared" ca="1" si="0"/>
        <v>3.1897986561464323E-2</v>
      </c>
      <c r="R16" s="69">
        <f t="shared" ca="1" si="0"/>
        <v>3.1899091733834137E-2</v>
      </c>
      <c r="S16" s="69">
        <f t="shared" ca="1" si="0"/>
        <v>3.1899091733804882E-2</v>
      </c>
      <c r="T16" s="69">
        <f t="shared" ca="1" si="0"/>
        <v>3.191016897010731E-2</v>
      </c>
      <c r="U16" s="69">
        <f t="shared" ca="1" si="0"/>
        <v>3.1910168885460492E-2</v>
      </c>
      <c r="V16" s="69">
        <f t="shared" ca="1" si="0"/>
        <v>3.1899091733804882E-2</v>
      </c>
      <c r="W16" s="69">
        <f t="shared" ca="1" si="0"/>
        <v>3.1899091733898384E-2</v>
      </c>
      <c r="X16" s="69">
        <f t="shared" ca="1" si="0"/>
        <v>3.1899091733869123E-2</v>
      </c>
      <c r="Z16" s="71">
        <f ca="1">(AK16*($D$4+$C$4+$F$4+$G$4)+AV16*($C$4+$E$4+$F$4+$G$4)+BG16*($G$4)+BR16*($G$4)+CC16*($H$4+$G$4))/100</f>
        <v>2.7212791882978107E-2</v>
      </c>
      <c r="AA16" s="71">
        <f t="shared" ref="AA16:AI31" ca="1" si="1">(AL16*($D$4+$C$4+$F$4+$G$4)+AW16*($C$4+$E$4+$F$4+$G$4)+BH16*($G$4)+BS16*($G$4)+CD16*($H$4+$G$4))/100</f>
        <v>2.7218199115232013E-2</v>
      </c>
      <c r="AB16" s="71">
        <f t="shared" ca="1" si="1"/>
        <v>2.7219496372737892E-2</v>
      </c>
      <c r="AC16" s="71">
        <f t="shared" ca="1" si="1"/>
        <v>2.7218199115232013E-2</v>
      </c>
      <c r="AD16" s="71">
        <f t="shared" ca="1" si="1"/>
        <v>2.7218199115264251E-2</v>
      </c>
      <c r="AE16" s="71">
        <f t="shared" ca="1" si="1"/>
        <v>2.7210324203563126E-2</v>
      </c>
      <c r="AF16" s="71">
        <f t="shared" ca="1" si="1"/>
        <v>2.7210324190011535E-2</v>
      </c>
      <c r="AG16" s="71">
        <f t="shared" ca="1" si="1"/>
        <v>2.7218199115264251E-2</v>
      </c>
      <c r="AH16" s="71">
        <f t="shared" ca="1" si="1"/>
        <v>2.7218199115285419E-2</v>
      </c>
      <c r="AI16" s="71">
        <f t="shared" ca="1" si="1"/>
        <v>2.7218199115317646E-2</v>
      </c>
      <c r="AK16" cm="1">
        <f t="array" aca="1" ref="AK16" ca="1">INDIRECT("'Basin Weights'!L"&amp;MATCH(AK$15,'Basin Weights'!$E:$E,0)+($N16-2022))*(1-INDIRECT("'Star Road Flow'!J"&amp;MATCH(AK$15,'Star Road Flow'!$E:$E,0)+($N16-2022)))</f>
        <v>0.31963716070903359</v>
      </c>
      <c r="AL16" cm="1">
        <f t="array" aca="1" ref="AL16" ca="1">INDIRECT("'Basin Weights'!L"&amp;MATCH(AL$15,'Basin Weights'!$E:$E,0)+($N16-2022))*(1-INDIRECT("'Star Road Flow'!J"&amp;MATCH(AL$15,'Star Road Flow'!$E:$E,0)+($N16-2022)))</f>
        <v>0.3200043748419083</v>
      </c>
      <c r="AM16" cm="1">
        <f t="array" aca="1" ref="AM16" ca="1">INDIRECT("'Basin Weights'!L"&amp;MATCH(AM$15,'Basin Weights'!$E:$E,0)+($N16-2022))*(1-INDIRECT("'Star Road Flow'!J"&amp;MATCH(AM$15,'Star Road Flow'!$E:$E,0)+($N16-2022)))</f>
        <v>0.32007689617907437</v>
      </c>
      <c r="AN16" cm="1">
        <f t="array" aca="1" ref="AN16" ca="1">INDIRECT("'Basin Weights'!L"&amp;MATCH(AN$15,'Basin Weights'!$E:$E,0)+($N16-2022))*(1-INDIRECT("'Star Road Flow'!J"&amp;MATCH(AN$15,'Star Road Flow'!$E:$E,0)+($N16-2022)))</f>
        <v>0.3200043748419083</v>
      </c>
      <c r="AO16" cm="1">
        <f t="array" aca="1" ref="AO16" ca="1">INDIRECT("'Basin Weights'!L"&amp;MATCH(AO$15,'Basin Weights'!$E:$E,0)+($N16-2022))*(1-INDIRECT("'Star Road Flow'!J"&amp;MATCH(AO$15,'Star Road Flow'!$E:$E,0)+($N16-2022)))</f>
        <v>0.32000437484374394</v>
      </c>
      <c r="AP16" cm="1">
        <f t="array" aca="1" ref="AP16" ca="1">INDIRECT("'Basin Weights'!L"&amp;MATCH(AP$15,'Basin Weights'!$E:$E,0)+($N16-2022))*(1-INDIRECT("'Star Road Flow'!J"&amp;MATCH(AP$15,'Star Road Flow'!$E:$E,0)+($N16-2022)))</f>
        <v>0.31948184003832453</v>
      </c>
      <c r="AQ16" cm="1">
        <f t="array" aca="1" ref="AQ16" ca="1">INDIRECT("'Basin Weights'!L"&amp;MATCH(AQ$15,'Basin Weights'!$E:$E,0)+($N16-2022))*(1-INDIRECT("'Star Road Flow'!J"&amp;MATCH(AQ$15,'Star Road Flow'!$E:$E,0)+($N16-2022)))</f>
        <v>0.31948184109297545</v>
      </c>
      <c r="AR16" cm="1">
        <f t="array" aca="1" ref="AR16" ca="1">INDIRECT("'Basin Weights'!L"&amp;MATCH(AR$15,'Basin Weights'!$E:$E,0)+($N16-2022))*(1-INDIRECT("'Star Road Flow'!J"&amp;MATCH(AR$15,'Star Road Flow'!$E:$E,0)+($N16-2022)))</f>
        <v>0.32000437484374394</v>
      </c>
      <c r="AS16" cm="1">
        <f t="array" aca="1" ref="AS16" ca="1">INDIRECT("'Basin Weights'!L"&amp;MATCH(AS$15,'Basin Weights'!$E:$E,0)+($N16-2022))*(1-INDIRECT("'Star Road Flow'!J"&amp;MATCH(AS$15,'Star Road Flow'!$E:$E,0)+($N16-2022)))</f>
        <v>0.32000437484282612</v>
      </c>
      <c r="AT16" cm="1">
        <f t="array" aca="1" ref="AT16" ca="1">INDIRECT("'Basin Weights'!L"&amp;MATCH(AT$15,'Basin Weights'!$E:$E,0)+($N16-2022))*(1-INDIRECT("'Star Road Flow'!J"&amp;MATCH(AT$15,'Star Road Flow'!$E:$E,0)+($N16-2022)))</f>
        <v>0.32000437484466171</v>
      </c>
      <c r="AV16" cm="1">
        <f t="array" aca="1" ref="AV16" ca="1">INDIRECT("'Basin Weights'!L"&amp;MATCH(AV$15,'Basin Weights'!$E:$E,0)+($N16-2022))*INDIRECT("'Star Road Flow'!J"&amp;MATCH(AV$15,'Star Road Flow'!$E:$E,0)+($N16-2022))</f>
        <v>1.0514579290966398E-2</v>
      </c>
      <c r="AW16" cm="1">
        <f t="array" aca="1" ref="AW16" ca="1">INDIRECT("'Basin Weights'!L"&amp;MATCH(AW$15,'Basin Weights'!$E:$E,0)+($N16-2022))*INDIRECT("'Star Road Flow'!J"&amp;MATCH(AW$15,'Star Road Flow'!$E:$E,0)+($N16-2022))</f>
        <v>1.0526658931857683E-2</v>
      </c>
      <c r="AX16" cm="1">
        <f t="array" aca="1" ref="AX16" ca="1">INDIRECT("'Basin Weights'!L"&amp;MATCH(AX$15,'Basin Weights'!$E:$E,0)+($N16-2022))*INDIRECT("'Star Road Flow'!J"&amp;MATCH(AX$15,'Star Road Flow'!$E:$E,0)+($N16-2022))</f>
        <v>1.0529044547310615E-2</v>
      </c>
      <c r="AY16" cm="1">
        <f t="array" aca="1" ref="AY16" ca="1">INDIRECT("'Basin Weights'!L"&amp;MATCH(AY$15,'Basin Weights'!$E:$E,0)+($N16-2022))*INDIRECT("'Star Road Flow'!J"&amp;MATCH(AY$15,'Star Road Flow'!$E:$E,0)+($N16-2022))</f>
        <v>1.0526658931857683E-2</v>
      </c>
      <c r="AZ16" cm="1">
        <f t="array" aca="1" ref="AZ16" ca="1">INDIRECT("'Basin Weights'!L"&amp;MATCH(AZ$15,'Basin Weights'!$E:$E,0)+($N16-2022))*INDIRECT("'Star Road Flow'!J"&amp;MATCH(AZ$15,'Star Road Flow'!$E:$E,0)+($N16-2022))</f>
        <v>1.0526658931918065E-2</v>
      </c>
      <c r="BA16" cm="1">
        <f t="array" aca="1" ref="BA16" ca="1">INDIRECT("'Basin Weights'!L"&amp;MATCH(BA$15,'Basin Weights'!$E:$E,0)+($N16-2022))*INDIRECT("'Star Road Flow'!J"&amp;MATCH(BA$15,'Star Road Flow'!$E:$E,0)+($N16-2022))</f>
        <v>1.0509469961675417E-2</v>
      </c>
      <c r="BB16" cm="1">
        <f t="array" aca="1" ref="BB16" ca="1">INDIRECT("'Basin Weights'!L"&amp;MATCH(BB$15,'Basin Weights'!$E:$E,0)+($N16-2022))*INDIRECT("'Star Road Flow'!J"&amp;MATCH(BB$15,'Star Road Flow'!$E:$E,0)+($N16-2022))</f>
        <v>1.0509469996368537E-2</v>
      </c>
      <c r="BC16" cm="1">
        <f t="array" aca="1" ref="BC16" ca="1">INDIRECT("'Basin Weights'!L"&amp;MATCH(BC$15,'Basin Weights'!$E:$E,0)+($N16-2022))*INDIRECT("'Star Road Flow'!J"&amp;MATCH(BC$15,'Star Road Flow'!$E:$E,0)+($N16-2022))</f>
        <v>1.0526658931918065E-2</v>
      </c>
      <c r="BD16" cm="1">
        <f t="array" aca="1" ref="BD16" ca="1">INDIRECT("'Basin Weights'!L"&amp;MATCH(BD$15,'Basin Weights'!$E:$E,0)+($N16-2022))*INDIRECT("'Star Road Flow'!J"&amp;MATCH(BD$15,'Star Road Flow'!$E:$E,0)+($N16-2022))</f>
        <v>1.0526658931887872E-2</v>
      </c>
      <c r="BE16" cm="1">
        <f t="array" aca="1" ref="BE16" ca="1">INDIRECT("'Basin Weights'!L"&amp;MATCH(BE$15,'Basin Weights'!$E:$E,0)+($N16-2022))*INDIRECT("'Star Road Flow'!J"&amp;MATCH(BE$15,'Star Road Flow'!$E:$E,0)+($N16-2022))</f>
        <v>1.0526658931948254E-2</v>
      </c>
      <c r="BG16" cm="1">
        <f t="array" aca="1" ref="BG16" ca="1">INDIRECT("'Basin Weights'!M"&amp;MATCH(BG$15,'Basin Weights'!$E:$E,0)+($N16-2022))</f>
        <v>0.21982256999999999</v>
      </c>
      <c r="BH16" cm="1">
        <f t="array" aca="1" ref="BH16" ca="1">INDIRECT("'Basin Weights'!M"&amp;MATCH(BH$15,'Basin Weights'!$E:$E,0)+($N16-2022))</f>
        <v>0.219657790959641</v>
      </c>
      <c r="BI16" cm="1">
        <f t="array" aca="1" ref="BI16" ca="1">INDIRECT("'Basin Weights'!M"&amp;MATCH(BI$15,'Basin Weights'!$E:$E,0)+($N16-2022))</f>
        <v>0.21961585126202901</v>
      </c>
      <c r="BJ16" cm="1">
        <f t="array" aca="1" ref="BJ16" ca="1">INDIRECT("'Basin Weights'!M"&amp;MATCH(BJ$15,'Basin Weights'!$E:$E,0)+($N16-2022))</f>
        <v>0.219657790959641</v>
      </c>
      <c r="BK16" cm="1">
        <f t="array" aca="1" ref="BK16" ca="1">INDIRECT("'Basin Weights'!M"&amp;MATCH(BK$15,'Basin Weights'!$E:$E,0)+($N16-2022))</f>
        <v>0.219657790958034</v>
      </c>
      <c r="BL16" cm="1">
        <f t="array" aca="1" ref="BL16" ca="1">INDIRECT("'Basin Weights'!M"&amp;MATCH(BL$15,'Basin Weights'!$E:$E,0)+($N16-2022))</f>
        <v>0.21989251000000001</v>
      </c>
      <c r="BM16" cm="1">
        <f t="array" aca="1" ref="BM16" ca="1">INDIRECT("'Basin Weights'!M"&amp;MATCH(BM$15,'Basin Weights'!$E:$E,0)+($N16-2022))</f>
        <v>0.21989250752105599</v>
      </c>
      <c r="BN16" cm="1">
        <f t="array" aca="1" ref="BN16" ca="1">INDIRECT("'Basin Weights'!M"&amp;MATCH(BN$15,'Basin Weights'!$E:$E,0)+($N16-2022))</f>
        <v>0.219657790958034</v>
      </c>
      <c r="BO16" cm="1">
        <f t="array" aca="1" ref="BO16" ca="1">INDIRECT("'Basin Weights'!M"&amp;MATCH(BO$15,'Basin Weights'!$E:$E,0)+($N16-2022))</f>
        <v>0.21965779095740401</v>
      </c>
      <c r="BP16" cm="1">
        <f t="array" aca="1" ref="BP16" ca="1">INDIRECT("'Basin Weights'!M"&amp;MATCH(BP$15,'Basin Weights'!$E:$E,0)+($N16-2022))</f>
        <v>0.21965779095579599</v>
      </c>
      <c r="BR16" cm="1">
        <f t="array" aca="1" ref="BR16" ca="1">INDIRECT("'Basin Weights'!N"&amp;MATCH(BR$15,'Basin Weights'!$E:$E,0)+($N16-2022))</f>
        <v>7.5703220000000002E-2</v>
      </c>
      <c r="BS16" cm="1">
        <f t="array" aca="1" ref="BS16" ca="1">INDIRECT("'Basin Weights'!N"&amp;MATCH(BS$15,'Basin Weights'!$E:$E,0)+($N16-2022))</f>
        <v>7.5673128180951399E-2</v>
      </c>
      <c r="BT16" cm="1">
        <f t="array" aca="1" ref="BT16" ca="1">INDIRECT("'Basin Weights'!N"&amp;MATCH(BT$15,'Basin Weights'!$E:$E,0)+($N16-2022))</f>
        <v>7.5667760409240198E-2</v>
      </c>
      <c r="BU16" cm="1">
        <f t="array" aca="1" ref="BU16" ca="1">INDIRECT("'Basin Weights'!N"&amp;MATCH(BU$15,'Basin Weights'!$E:$E,0)+($N16-2022))</f>
        <v>7.5673128180951399E-2</v>
      </c>
      <c r="BV16" cm="1">
        <f t="array" aca="1" ref="BV16" ca="1">INDIRECT("'Basin Weights'!N"&amp;MATCH(BV$15,'Basin Weights'!$E:$E,0)+($N16-2022))</f>
        <v>7.5673128181385399E-2</v>
      </c>
      <c r="BW16" cm="1">
        <f t="array" aca="1" ref="BW16" ca="1">INDIRECT("'Basin Weights'!N"&amp;MATCH(BW$15,'Basin Weights'!$E:$E,0)+($N16-2022))</f>
        <v>7.5722650000000002E-2</v>
      </c>
      <c r="BX16" cm="1">
        <f t="array" aca="1" ref="BX16" ca="1">INDIRECT("'Basin Weights'!N"&amp;MATCH(BX$15,'Basin Weights'!$E:$E,0)+($N16-2022))</f>
        <v>7.5722653037782695E-2</v>
      </c>
      <c r="BY16" cm="1">
        <f t="array" aca="1" ref="BY16" ca="1">INDIRECT("'Basin Weights'!N"&amp;MATCH(BY$15,'Basin Weights'!$E:$E,0)+($N16-2022))</f>
        <v>7.5673128181385399E-2</v>
      </c>
      <c r="BZ16" cm="1">
        <f t="array" aca="1" ref="BZ16" ca="1">INDIRECT("'Basin Weights'!N"&amp;MATCH(BZ$15,'Basin Weights'!$E:$E,0)+($N16-2022))</f>
        <v>7.5673128181168406E-2</v>
      </c>
      <c r="CA16" cm="1">
        <f t="array" aca="1" ref="CA16" ca="1">INDIRECT("'Basin Weights'!N"&amp;MATCH(CA$15,'Basin Weights'!$E:$E,0)+($N16-2022))</f>
        <v>7.5673128181602295E-2</v>
      </c>
      <c r="CC16" cm="1">
        <f t="array" aca="1" ref="CC16" ca="1">INDIRECT("'Basin Weights'!O"&amp;MATCH(CC$15,'Basin Weights'!$E:$E,0)+($N16-2022))</f>
        <v>0.37432247000000002</v>
      </c>
      <c r="CD16" cm="1">
        <f t="array" aca="1" ref="CD16" ca="1">INDIRECT("'Basin Weights'!O"&amp;MATCH(CD$15,'Basin Weights'!$E:$E,0)+($N16-2022))</f>
        <v>0.37413804708564102</v>
      </c>
      <c r="CE16" cm="1">
        <f t="array" aca="1" ref="CE16" ca="1">INDIRECT("'Basin Weights'!O"&amp;MATCH(CE$15,'Basin Weights'!$E:$E,0)+($N16-2022))</f>
        <v>0.37411044760234602</v>
      </c>
      <c r="CF16" cm="1">
        <f t="array" aca="1" ref="CF16" ca="1">INDIRECT("'Basin Weights'!O"&amp;MATCH(CF$15,'Basin Weights'!$E:$E,0)+($N16-2022))</f>
        <v>0.37413804708564102</v>
      </c>
      <c r="CG16" cm="1">
        <f t="array" aca="1" ref="CG16" ca="1">INDIRECT("'Basin Weights'!O"&amp;MATCH(CG$15,'Basin Weights'!$E:$E,0)+($N16-2022))</f>
        <v>0.37413804708491899</v>
      </c>
      <c r="CH16" cm="1">
        <f t="array" aca="1" ref="CH16" ca="1">INDIRECT("'Basin Weights'!O"&amp;MATCH(CH$15,'Basin Weights'!$E:$E,0)+($N16-2022))</f>
        <v>0.37439352999999997</v>
      </c>
      <c r="CI16" cm="1">
        <f t="array" aca="1" ref="CI16" ca="1">INDIRECT("'Basin Weights'!O"&amp;MATCH(CI$15,'Basin Weights'!$E:$E,0)+($N16-2022))</f>
        <v>0.37439352835181799</v>
      </c>
      <c r="CJ16" cm="1">
        <f t="array" aca="1" ref="CJ16" ca="1">INDIRECT("'Basin Weights'!O"&amp;MATCH(CJ$15,'Basin Weights'!$E:$E,0)+($N16-2022))</f>
        <v>0.37413804708491899</v>
      </c>
      <c r="CK16" cm="1">
        <f t="array" aca="1" ref="CK16" ca="1">INDIRECT("'Basin Weights'!O"&amp;MATCH(CK$15,'Basin Weights'!$E:$E,0)+($N16-2022))</f>
        <v>0.374138047086714</v>
      </c>
      <c r="CL16" cm="1">
        <f t="array" aca="1" ref="CL16" ca="1">INDIRECT("'Basin Weights'!O"&amp;MATCH(CL$15,'Basin Weights'!$E:$E,0)+($N16-2022))</f>
        <v>0.37413804708599202</v>
      </c>
      <c r="CN16">
        <f ca="1">CC16+BR16+BG16+AV16+AK16</f>
        <v>1</v>
      </c>
      <c r="CO16">
        <f t="shared" ref="CO16:CW31" ca="1" si="2">CD16+BS16+BH16+AW16+AL16</f>
        <v>0.99999999999999933</v>
      </c>
      <c r="CP16">
        <f t="shared" ca="1" si="2"/>
        <v>1.0000000000000002</v>
      </c>
      <c r="CQ16">
        <f t="shared" ca="1" si="2"/>
        <v>0.99999999999999933</v>
      </c>
      <c r="CR16">
        <f t="shared" ca="1" si="2"/>
        <v>1.0000000000000004</v>
      </c>
      <c r="CS16">
        <f t="shared" ca="1" si="2"/>
        <v>1</v>
      </c>
      <c r="CT16">
        <f t="shared" ca="1" si="2"/>
        <v>1.0000000000000007</v>
      </c>
      <c r="CU16">
        <f t="shared" ca="1" si="2"/>
        <v>1.0000000000000004</v>
      </c>
      <c r="CV16">
        <f t="shared" ca="1" si="2"/>
        <v>1.0000000000000004</v>
      </c>
      <c r="CW16">
        <f t="shared" ca="1" si="2"/>
        <v>1.0000000000000002</v>
      </c>
    </row>
    <row r="17" spans="2:101" x14ac:dyDescent="0.25">
      <c r="B17">
        <v>2023</v>
      </c>
      <c r="C17" s="69">
        <f>'Gas Supply Commodity Costs'!I3/'Conventional Supply Quantities'!I3</f>
        <v>3.9733208932626285</v>
      </c>
      <c r="D17" s="69">
        <f>'Gas Supply Commodity Costs'!J3/'Conventional Supply Quantities'!J3</f>
        <v>3.9669374504246253</v>
      </c>
      <c r="E17" s="69">
        <f>'Gas Supply Commodity Costs'!K3/'Conventional Supply Quantities'!K3</f>
        <v>3.9612801942547509</v>
      </c>
      <c r="F17" s="69">
        <f>'Gas Supply Commodity Costs'!L3/'Conventional Supply Quantities'!L3</f>
        <v>3.9661468818882115</v>
      </c>
      <c r="G17" s="69">
        <f>'Gas Supply Commodity Costs'!M3/'Conventional Supply Quantities'!M3</f>
        <v>3.9669374504415553</v>
      </c>
      <c r="H17" s="69">
        <f>'Gas Supply Commodity Costs'!N3/'Conventional Supply Quantities'!N3</f>
        <v>3.9720807368828486</v>
      </c>
      <c r="I17" s="69">
        <f>'Gas Supply Commodity Costs'!O3/'Conventional Supply Quantities'!O3</f>
        <v>3.9669058180460994</v>
      </c>
      <c r="J17" s="69">
        <f>'Gas Supply Commodity Costs'!P3/'Conventional Supply Quantities'!P3</f>
        <v>3.966937450433091</v>
      </c>
      <c r="K17" s="69">
        <f>'Gas Supply Commodity Costs'!Q3/'Conventional Supply Quantities'!Q3</f>
        <v>3.9669374504611192</v>
      </c>
      <c r="L17" s="69">
        <f>'Gas Supply Commodity Costs'!R3/'Conventional Supply Quantities'!R3</f>
        <v>3.9669382543684439</v>
      </c>
      <c r="N17">
        <v>2023</v>
      </c>
      <c r="O17" s="69">
        <f t="shared" ref="O17:O45" ca="1" si="3">AK17*($D$3+$C$3+$F$3+$G$3)+AV17*($C$3+$E$3+$F$3+$G$3)+BG17*($G$3)+BR17*($G$3)+CC17*($H$3+$G$3)</f>
        <v>3.3152703443099785E-2</v>
      </c>
      <c r="P17" s="69">
        <f t="shared" ca="1" si="0"/>
        <v>3.3332725241032035E-2</v>
      </c>
      <c r="Q17" s="69">
        <f t="shared" ca="1" si="0"/>
        <v>3.3465715897139925E-2</v>
      </c>
      <c r="R17" s="69">
        <f t="shared" ca="1" si="0"/>
        <v>3.3359880576986439E-2</v>
      </c>
      <c r="S17" s="69">
        <f t="shared" ca="1" si="0"/>
        <v>3.3332725240897552E-2</v>
      </c>
      <c r="T17" s="69">
        <f t="shared" ca="1" si="0"/>
        <v>3.319812775222955E-2</v>
      </c>
      <c r="U17" s="69">
        <f t="shared" ca="1" si="0"/>
        <v>3.3753649941036502E-2</v>
      </c>
      <c r="V17" s="69">
        <f t="shared" ca="1" si="0"/>
        <v>3.333272524109928E-2</v>
      </c>
      <c r="W17" s="69">
        <f t="shared" ca="1" si="0"/>
        <v>3.333272524096479E-2</v>
      </c>
      <c r="X17" s="69">
        <f t="shared" ca="1" si="0"/>
        <v>3.3332777033931595E-2</v>
      </c>
      <c r="Z17" s="71">
        <f t="shared" ref="Z17:Z45" ca="1" si="4">(AK17*($D$4+$C$4+$F$4+$G$4)+AV17*($C$4+$E$4+$F$4+$G$4)+BG17*($G$4)+BR17*($G$4)+CC17*($H$4+$G$4))/100</f>
        <v>2.9983609227914654E-2</v>
      </c>
      <c r="AA17" s="71">
        <f t="shared" ca="1" si="1"/>
        <v>3.014636091505488E-2</v>
      </c>
      <c r="AB17" s="71">
        <f t="shared" ca="1" si="1"/>
        <v>3.0266593269762544E-2</v>
      </c>
      <c r="AC17" s="71">
        <f t="shared" ca="1" si="1"/>
        <v>3.017091113595181E-2</v>
      </c>
      <c r="AD17" s="71">
        <f t="shared" ca="1" si="1"/>
        <v>3.0146360914933296E-2</v>
      </c>
      <c r="AE17" s="71">
        <f t="shared" ca="1" si="1"/>
        <v>3.0024675828540088E-2</v>
      </c>
      <c r="AF17" s="71">
        <f t="shared" ca="1" si="1"/>
        <v>3.0526904701492823E-2</v>
      </c>
      <c r="AG17" s="71">
        <f t="shared" ca="1" si="1"/>
        <v>3.0146360915115668E-2</v>
      </c>
      <c r="AH17" s="71">
        <f t="shared" ca="1" si="1"/>
        <v>3.0146360914994084E-2</v>
      </c>
      <c r="AI17" s="71">
        <f t="shared" ca="1" si="1"/>
        <v>3.0146407739263831E-2</v>
      </c>
      <c r="AK17" cm="1">
        <f t="array" aca="1" ref="AK17" ca="1">INDIRECT("'Basin Weights'!L"&amp;MATCH(AK$15,'Basin Weights'!$E:$E,0)+($N17-2022))*(1-INDIRECT("'Star Road Flow'!J"&amp;MATCH(AK$15,'Star Road Flow'!$E:$E,0)+($N17-2022)))</f>
        <v>0.40634407682135187</v>
      </c>
      <c r="AL17" cm="1">
        <f t="array" aca="1" ref="AL17" ca="1">INDIRECT("'Basin Weights'!L"&amp;MATCH(AL$15,'Basin Weights'!$E:$E,0)+($N17-2022))*(1-INDIRECT("'Star Road Flow'!J"&amp;MATCH(AL$15,'Star Road Flow'!$E:$E,0)+($N17-2022)))</f>
        <v>0.4094367827202906</v>
      </c>
      <c r="AM17" cm="1">
        <f t="array" aca="1" ref="AM17" ca="1">INDIRECT("'Basin Weights'!L"&amp;MATCH(AM$15,'Basin Weights'!$E:$E,0)+($N17-2022))*(1-INDIRECT("'Star Road Flow'!J"&amp;MATCH(AM$15,'Star Road Flow'!$E:$E,0)+($N17-2022)))</f>
        <v>0.41172150953260306</v>
      </c>
      <c r="AN17" cm="1">
        <f t="array" aca="1" ref="AN17" ca="1">INDIRECT("'Basin Weights'!L"&amp;MATCH(AN$15,'Basin Weights'!$E:$E,0)+($N17-2022))*(1-INDIRECT("'Star Road Flow'!J"&amp;MATCH(AN$15,'Star Road Flow'!$E:$E,0)+($N17-2022)))</f>
        <v>0.40990330063942965</v>
      </c>
      <c r="AO17" cm="1">
        <f t="array" aca="1" ref="AO17" ca="1">INDIRECT("'Basin Weights'!L"&amp;MATCH(AO$15,'Basin Weights'!$E:$E,0)+($N17-2022))*(1-INDIRECT("'Star Road Flow'!J"&amp;MATCH(AO$15,'Star Road Flow'!$E:$E,0)+($N17-2022)))</f>
        <v>0.4094367827179804</v>
      </c>
      <c r="AP17" cm="1">
        <f t="array" aca="1" ref="AP17" ca="1">INDIRECT("'Basin Weights'!L"&amp;MATCH(AP$15,'Basin Weights'!$E:$E,0)+($N17-2022))*(1-INDIRECT("'Star Road Flow'!J"&amp;MATCH(AP$15,'Star Road Flow'!$E:$E,0)+($N17-2022)))</f>
        <v>0.40712444758198091</v>
      </c>
      <c r="AQ17" cm="1">
        <f t="array" aca="1" ref="AQ17" ca="1">INDIRECT("'Basin Weights'!L"&amp;MATCH(AQ$15,'Basin Weights'!$E:$E,0)+($N17-2022))*(1-INDIRECT("'Star Road Flow'!J"&amp;MATCH(AQ$15,'Star Road Flow'!$E:$E,0)+($N17-2022)))</f>
        <v>0.41666810239499669</v>
      </c>
      <c r="AR17" cm="1">
        <f t="array" aca="1" ref="AR17" ca="1">INDIRECT("'Basin Weights'!L"&amp;MATCH(AR$15,'Basin Weights'!$E:$E,0)+($N17-2022))*(1-INDIRECT("'Star Road Flow'!J"&amp;MATCH(AR$15,'Star Road Flow'!$E:$E,0)+($N17-2022)))</f>
        <v>0.40943678272144568</v>
      </c>
      <c r="AS17" cm="1">
        <f t="array" aca="1" ref="AS17" ca="1">INDIRECT("'Basin Weights'!L"&amp;MATCH(AS$15,'Basin Weights'!$E:$E,0)+($N17-2022))*(1-INDIRECT("'Star Road Flow'!J"&amp;MATCH(AS$15,'Star Road Flow'!$E:$E,0)+($N17-2022)))</f>
        <v>0.40943678271913547</v>
      </c>
      <c r="AT17" cm="1">
        <f t="array" aca="1" ref="AT17" ca="1">INDIRECT("'Basin Weights'!L"&amp;MATCH(AT$15,'Basin Weights'!$E:$E,0)+($N17-2022))*(1-INDIRECT("'Star Road Flow'!J"&amp;MATCH(AT$15,'Star Road Flow'!$E:$E,0)+($N17-2022)))</f>
        <v>0.40943767250179669</v>
      </c>
      <c r="AV17" cm="1">
        <f t="array" aca="1" ref="AV17" ca="1">INDIRECT("'Basin Weights'!L"&amp;MATCH(AV$15,'Basin Weights'!$E:$E,0)+($N17-2022))*INDIRECT("'Star Road Flow'!J"&amp;MATCH(AV$15,'Star Road Flow'!$E:$E,0)+($N17-2022))</f>
        <v>1.3694183178648102E-2</v>
      </c>
      <c r="AW17" cm="1">
        <f t="array" aca="1" ref="AW17" ca="1">INDIRECT("'Basin Weights'!L"&amp;MATCH(AW$15,'Basin Weights'!$E:$E,0)+($N17-2022))*INDIRECT("'Star Road Flow'!J"&amp;MATCH(AW$15,'Star Road Flow'!$E:$E,0)+($N17-2022))</f>
        <v>1.3798410318930429E-2</v>
      </c>
      <c r="AX17" cm="1">
        <f t="array" aca="1" ref="AX17" ca="1">INDIRECT("'Basin Weights'!L"&amp;MATCH(AX$15,'Basin Weights'!$E:$E,0)+($N17-2022))*INDIRECT("'Star Road Flow'!J"&amp;MATCH(AX$15,'Star Road Flow'!$E:$E,0)+($N17-2022))</f>
        <v>1.3875407792907959E-2</v>
      </c>
      <c r="AY17" cm="1">
        <f t="array" aca="1" ref="AY17" ca="1">INDIRECT("'Basin Weights'!L"&amp;MATCH(AY$15,'Basin Weights'!$E:$E,0)+($N17-2022))*INDIRECT("'Star Road Flow'!J"&amp;MATCH(AY$15,'Star Road Flow'!$E:$E,0)+($N17-2022))</f>
        <v>1.3814132418021393E-2</v>
      </c>
      <c r="AZ17" cm="1">
        <f t="array" aca="1" ref="AZ17" ca="1">INDIRECT("'Basin Weights'!L"&amp;MATCH(AZ$15,'Basin Weights'!$E:$E,0)+($N17-2022))*INDIRECT("'Star Road Flow'!J"&amp;MATCH(AZ$15,'Star Road Flow'!$E:$E,0)+($N17-2022))</f>
        <v>1.3798410318852573E-2</v>
      </c>
      <c r="BA17" cm="1">
        <f t="array" aca="1" ref="BA17" ca="1">INDIRECT("'Basin Weights'!L"&amp;MATCH(BA$15,'Basin Weights'!$E:$E,0)+($N17-2022))*INDIRECT("'Star Road Flow'!J"&amp;MATCH(BA$15,'Star Road Flow'!$E:$E,0)+($N17-2022))</f>
        <v>1.3720482418019106E-2</v>
      </c>
      <c r="BB17" cm="1">
        <f t="array" aca="1" ref="BB17" ca="1">INDIRECT("'Basin Weights'!L"&amp;MATCH(BB$15,'Basin Weights'!$E:$E,0)+($N17-2022))*INDIRECT("'Star Road Flow'!J"&amp;MATCH(BB$15,'Star Road Flow'!$E:$E,0)+($N17-2022))</f>
        <v>1.4042112693094294E-2</v>
      </c>
      <c r="BC17" cm="1">
        <f t="array" aca="1" ref="BC17" ca="1">INDIRECT("'Basin Weights'!L"&amp;MATCH(BC$15,'Basin Weights'!$E:$E,0)+($N17-2022))*INDIRECT("'Star Road Flow'!J"&amp;MATCH(BC$15,'Star Road Flow'!$E:$E,0)+($N17-2022))</f>
        <v>1.3798410318969357E-2</v>
      </c>
      <c r="BD17" cm="1">
        <f t="array" aca="1" ref="BD17" ca="1">INDIRECT("'Basin Weights'!L"&amp;MATCH(BD$15,'Basin Weights'!$E:$E,0)+($N17-2022))*INDIRECT("'Star Road Flow'!J"&amp;MATCH(BD$15,'Star Road Flow'!$E:$E,0)+($N17-2022))</f>
        <v>1.3798410318891501E-2</v>
      </c>
      <c r="BE17" cm="1">
        <f t="array" aca="1" ref="BE17" ca="1">INDIRECT("'Basin Weights'!L"&amp;MATCH(BE$15,'Basin Weights'!$E:$E,0)+($N17-2022))*INDIRECT("'Star Road Flow'!J"&amp;MATCH(BE$15,'Star Road Flow'!$E:$E,0)+($N17-2022))</f>
        <v>1.3798440305416337E-2</v>
      </c>
      <c r="BG17" cm="1">
        <f t="array" aca="1" ref="BG17" ca="1">INDIRECT("'Basin Weights'!M"&amp;MATCH(BG$15,'Basin Weights'!$E:$E,0)+($N17-2022))</f>
        <v>0.15152193999999999</v>
      </c>
      <c r="BH17" cm="1">
        <f t="array" aca="1" ref="BH17" ca="1">INDIRECT("'Basin Weights'!M"&amp;MATCH(BH$15,'Basin Weights'!$E:$E,0)+($N17-2022))</f>
        <v>0.14571497703199601</v>
      </c>
      <c r="BI17" cm="1">
        <f t="array" aca="1" ref="BI17" ca="1">INDIRECT("'Basin Weights'!M"&amp;MATCH(BI$15,'Basin Weights'!$E:$E,0)+($N17-2022))</f>
        <v>0.14137840376933</v>
      </c>
      <c r="BJ17" cm="1">
        <f t="array" aca="1" ref="BJ17" ca="1">INDIRECT("'Basin Weights'!M"&amp;MATCH(BJ$15,'Basin Weights'!$E:$E,0)+($N17-2022))</f>
        <v>0.14511146193167199</v>
      </c>
      <c r="BK17" cm="1">
        <f t="array" aca="1" ref="BK17" ca="1">INDIRECT("'Basin Weights'!M"&amp;MATCH(BK$15,'Basin Weights'!$E:$E,0)+($N17-2022))</f>
        <v>0.14571497703681699</v>
      </c>
      <c r="BL17" cm="1">
        <f t="array" aca="1" ref="BL17" ca="1">INDIRECT("'Basin Weights'!M"&amp;MATCH(BL$15,'Basin Weights'!$E:$E,0)+($N17-2022))</f>
        <v>0.14988470000000001</v>
      </c>
      <c r="BM17" cm="1">
        <f t="array" aca="1" ref="BM17" ca="1">INDIRECT("'Basin Weights'!M"&amp;MATCH(BM$15,'Basin Weights'!$E:$E,0)+($N17-2022))</f>
        <v>0.13348740301200901</v>
      </c>
      <c r="BN17" cm="1">
        <f t="array" aca="1" ref="BN17" ca="1">INDIRECT("'Basin Weights'!M"&amp;MATCH(BN$15,'Basin Weights'!$E:$E,0)+($N17-2022))</f>
        <v>0.145714977029586</v>
      </c>
      <c r="BO17" cm="1">
        <f t="array" aca="1" ref="BO17" ca="1">INDIRECT("'Basin Weights'!M"&amp;MATCH(BO$15,'Basin Weights'!$E:$E,0)+($N17-2022))</f>
        <v>0.145714977034406</v>
      </c>
      <c r="BP17" cm="1">
        <f t="array" aca="1" ref="BP17" ca="1">INDIRECT("'Basin Weights'!M"&amp;MATCH(BP$15,'Basin Weights'!$E:$E,0)+($N17-2022))</f>
        <v>0.14571312051336699</v>
      </c>
      <c r="BR17" cm="1">
        <f t="array" aca="1" ref="BR17" ca="1">INDIRECT("'Basin Weights'!N"&amp;MATCH(BR$15,'Basin Weights'!$E:$E,0)+($N17-2022))</f>
        <v>4.046102E-2</v>
      </c>
      <c r="BS17" cm="1">
        <f t="array" aca="1" ref="BS17" ca="1">INDIRECT("'Basin Weights'!N"&amp;MATCH(BS$15,'Basin Weights'!$E:$E,0)+($N17-2022))</f>
        <v>4.0118126130503098E-2</v>
      </c>
      <c r="BT17" cm="1">
        <f t="array" aca="1" ref="BT17" ca="1">INDIRECT("'Basin Weights'!N"&amp;MATCH(BT$15,'Basin Weights'!$E:$E,0)+($N17-2022))</f>
        <v>3.9911509779027701E-2</v>
      </c>
      <c r="BU17" cm="1">
        <f t="array" aca="1" ref="BU17" ca="1">INDIRECT("'Basin Weights'!N"&amp;MATCH(BU$15,'Basin Weights'!$E:$E,0)+($N17-2022))</f>
        <v>3.9793968235692402E-2</v>
      </c>
      <c r="BV17" cm="1">
        <f t="array" aca="1" ref="BV17" ca="1">INDIRECT("'Basin Weights'!N"&amp;MATCH(BV$15,'Basin Weights'!$E:$E,0)+($N17-2022))</f>
        <v>4.0118126130276703E-2</v>
      </c>
      <c r="BW17" cm="1">
        <f t="array" aca="1" ref="BW17" ca="1">INDIRECT("'Basin Weights'!N"&amp;MATCH(BW$15,'Basin Weights'!$E:$E,0)+($N17-2022))</f>
        <v>4.0546499999999999E-2</v>
      </c>
      <c r="BX17" cm="1">
        <f t="array" aca="1" ref="BX17" ca="1">INDIRECT("'Basin Weights'!N"&amp;MATCH(BX$15,'Basin Weights'!$E:$E,0)+($N17-2022))</f>
        <v>3.7966188225647499E-2</v>
      </c>
      <c r="BY17" cm="1">
        <f t="array" aca="1" ref="BY17" ca="1">INDIRECT("'Basin Weights'!N"&amp;MATCH(BY$15,'Basin Weights'!$E:$E,0)+($N17-2022))</f>
        <v>4.01181261306163E-2</v>
      </c>
      <c r="BZ17" cm="1">
        <f t="array" aca="1" ref="BZ17" ca="1">INDIRECT("'Basin Weights'!N"&amp;MATCH(BZ$15,'Basin Weights'!$E:$E,0)+($N17-2022))</f>
        <v>4.0118126130389897E-2</v>
      </c>
      <c r="CA17" cm="1">
        <f t="array" aca="1" ref="CA17" ca="1">INDIRECT("'Basin Weights'!N"&amp;MATCH(CA$15,'Basin Weights'!$E:$E,0)+($N17-2022))</f>
        <v>4.0118213314576899E-2</v>
      </c>
      <c r="CC17" cm="1">
        <f t="array" aca="1" ref="CC17" ca="1">INDIRECT("'Basin Weights'!O"&amp;MATCH(CC$15,'Basin Weights'!$E:$E,0)+($N17-2022))</f>
        <v>0.38797878000000002</v>
      </c>
      <c r="CD17" cm="1">
        <f t="array" aca="1" ref="CD17" ca="1">INDIRECT("'Basin Weights'!O"&amp;MATCH(CD$15,'Basin Weights'!$E:$E,0)+($N17-2022))</f>
        <v>0.39093170379828002</v>
      </c>
      <c r="CE17" cm="1">
        <f t="array" aca="1" ref="CE17" ca="1">INDIRECT("'Basin Weights'!O"&amp;MATCH(CE$15,'Basin Weights'!$E:$E,0)+($N17-2022))</f>
        <v>0.39311316912613098</v>
      </c>
      <c r="CF17" cm="1">
        <f t="array" aca="1" ref="CF17" ca="1">INDIRECT("'Basin Weights'!O"&amp;MATCH(CF$15,'Basin Weights'!$E:$E,0)+($N17-2022))</f>
        <v>0.39137713677518499</v>
      </c>
      <c r="CG17" cm="1">
        <f t="array" aca="1" ref="CG17" ca="1">INDIRECT("'Basin Weights'!O"&amp;MATCH(CG$15,'Basin Weights'!$E:$E,0)+($N17-2022))</f>
        <v>0.390931703796074</v>
      </c>
      <c r="CH17" cm="1">
        <f t="array" aca="1" ref="CH17" ca="1">INDIRECT("'Basin Weights'!O"&amp;MATCH(CH$15,'Basin Weights'!$E:$E,0)+($N17-2022))</f>
        <v>0.38872388000000002</v>
      </c>
      <c r="CI17" cm="1">
        <f t="array" aca="1" ref="CI17" ca="1">INDIRECT("'Basin Weights'!O"&amp;MATCH(CI$15,'Basin Weights'!$E:$E,0)+($N17-2022))</f>
        <v>0.39783619367425199</v>
      </c>
      <c r="CJ17" cm="1">
        <f t="array" aca="1" ref="CJ17" ca="1">INDIRECT("'Basin Weights'!O"&amp;MATCH(CJ$15,'Basin Weights'!$E:$E,0)+($N17-2022))</f>
        <v>0.39093170379938302</v>
      </c>
      <c r="CK17" cm="1">
        <f t="array" aca="1" ref="CK17" ca="1">INDIRECT("'Basin Weights'!O"&amp;MATCH(CK$15,'Basin Weights'!$E:$E,0)+($N17-2022))</f>
        <v>0.39093170379717701</v>
      </c>
      <c r="CL17" cm="1">
        <f t="array" aca="1" ref="CL17" ca="1">INDIRECT("'Basin Weights'!O"&amp;MATCH(CL$15,'Basin Weights'!$E:$E,0)+($N17-2022))</f>
        <v>0.39093255336484301</v>
      </c>
      <c r="CN17">
        <f t="shared" ref="CN17:CN45" ca="1" si="5">CC17+BR17+BG17+AV17+AK17</f>
        <v>1</v>
      </c>
      <c r="CO17">
        <f t="shared" ca="1" si="2"/>
        <v>1.0000000000000002</v>
      </c>
      <c r="CP17">
        <f t="shared" ca="1" si="2"/>
        <v>0.99999999999999978</v>
      </c>
      <c r="CQ17">
        <f t="shared" ca="1" si="2"/>
        <v>1.0000000000000004</v>
      </c>
      <c r="CR17">
        <f t="shared" ca="1" si="2"/>
        <v>1.0000000000000007</v>
      </c>
      <c r="CS17">
        <f t="shared" ca="1" si="2"/>
        <v>1.0000000100000002</v>
      </c>
      <c r="CT17">
        <f t="shared" ca="1" si="2"/>
        <v>0.99999999999999956</v>
      </c>
      <c r="CU17">
        <f t="shared" ca="1" si="2"/>
        <v>1.0000000000000004</v>
      </c>
      <c r="CV17">
        <f t="shared" ca="1" si="2"/>
        <v>0.99999999999999978</v>
      </c>
      <c r="CW17">
        <f t="shared" ca="1" si="2"/>
        <v>1</v>
      </c>
    </row>
    <row r="18" spans="2:101" x14ac:dyDescent="0.25">
      <c r="B18">
        <v>2024</v>
      </c>
      <c r="C18" s="69">
        <f>'Gas Supply Commodity Costs'!I4/'Conventional Supply Quantities'!I4</f>
        <v>3.2449607238240734</v>
      </c>
      <c r="D18" s="69">
        <f>'Gas Supply Commodity Costs'!J4/'Conventional Supply Quantities'!J4</f>
        <v>3.2424488463096717</v>
      </c>
      <c r="E18" s="69">
        <f>'Gas Supply Commodity Costs'!K4/'Conventional Supply Quantities'!K4</f>
        <v>3.2381687128049683</v>
      </c>
      <c r="F18" s="69">
        <f>'Gas Supply Commodity Costs'!L4/'Conventional Supply Quantities'!L4</f>
        <v>3.2397476276861643</v>
      </c>
      <c r="G18" s="69">
        <f>'Gas Supply Commodity Costs'!M4/'Conventional Supply Quantities'!M4</f>
        <v>3.2424402790407223</v>
      </c>
      <c r="H18" s="69">
        <f>'Gas Supply Commodity Costs'!N4/'Conventional Supply Quantities'!N4</f>
        <v>3.2435443724609243</v>
      </c>
      <c r="I18" s="69">
        <f>'Gas Supply Commodity Costs'!O4/'Conventional Supply Quantities'!O4</f>
        <v>3.2305917157346946</v>
      </c>
      <c r="J18" s="69">
        <f>'Gas Supply Commodity Costs'!P4/'Conventional Supply Quantities'!P4</f>
        <v>3.2424488463008436</v>
      </c>
      <c r="K18" s="69">
        <f>'Gas Supply Commodity Costs'!Q4/'Conventional Supply Quantities'!Q4</f>
        <v>3.2424488462744505</v>
      </c>
      <c r="L18" s="69">
        <f>'Gas Supply Commodity Costs'!R4/'Conventional Supply Quantities'!R4</f>
        <v>3.2424580325017374</v>
      </c>
      <c r="N18">
        <v>2024</v>
      </c>
      <c r="O18" s="69">
        <f t="shared" ca="1" si="3"/>
        <v>3.0120104082922875E-2</v>
      </c>
      <c r="P18" s="69">
        <f t="shared" ca="1" si="0"/>
        <v>3.0367254546502971E-2</v>
      </c>
      <c r="Q18" s="69">
        <f t="shared" ca="1" si="0"/>
        <v>3.0565605107898679E-2</v>
      </c>
      <c r="R18" s="69">
        <f t="shared" ca="1" si="0"/>
        <v>3.0447907443751362E-2</v>
      </c>
      <c r="S18" s="69">
        <f t="shared" ca="1" si="0"/>
        <v>3.0373987766884464E-2</v>
      </c>
      <c r="T18" s="69">
        <f t="shared" ca="1" si="0"/>
        <v>3.0277339686212899E-2</v>
      </c>
      <c r="U18" s="69">
        <f t="shared" ca="1" si="0"/>
        <v>3.1105067968757085E-2</v>
      </c>
      <c r="V18" s="69">
        <f t="shared" ca="1" si="0"/>
        <v>3.036725454656438E-2</v>
      </c>
      <c r="W18" s="69">
        <f t="shared" ca="1" si="0"/>
        <v>3.0367254546458104E-2</v>
      </c>
      <c r="X18" s="69">
        <f t="shared" ca="1" si="0"/>
        <v>3.0362002610616817E-2</v>
      </c>
      <c r="Z18" s="71">
        <f t="shared" ca="1" si="4"/>
        <v>2.8731917497476687E-2</v>
      </c>
      <c r="AA18" s="71">
        <f t="shared" ca="1" si="1"/>
        <v>2.8978431387360625E-2</v>
      </c>
      <c r="AB18" s="71">
        <f t="shared" ca="1" si="1"/>
        <v>2.9156769419730867E-2</v>
      </c>
      <c r="AC18" s="71">
        <f t="shared" ca="1" si="1"/>
        <v>2.9042417750196517E-2</v>
      </c>
      <c r="AD18" s="71">
        <f t="shared" ca="1" si="1"/>
        <v>2.8985006879563239E-2</v>
      </c>
      <c r="AE18" s="71">
        <f t="shared" ca="1" si="1"/>
        <v>2.8877192301145226E-2</v>
      </c>
      <c r="AF18" s="71">
        <f t="shared" ca="1" si="1"/>
        <v>2.9679946297751059E-2</v>
      </c>
      <c r="AG18" s="71">
        <f t="shared" ca="1" si="1"/>
        <v>2.8978431387420595E-2</v>
      </c>
      <c r="AH18" s="71">
        <f t="shared" ca="1" si="1"/>
        <v>2.8978431387380453E-2</v>
      </c>
      <c r="AI18" s="71">
        <f t="shared" ca="1" si="1"/>
        <v>2.8973323838839962E-2</v>
      </c>
      <c r="AK18" cm="1">
        <f t="array" aca="1" ref="AK18" ca="1">INDIRECT("'Basin Weights'!L"&amp;MATCH(AK$15,'Basin Weights'!$E:$E,0)+($N18-2022))*(1-INDIRECT("'Star Road Flow'!J"&amp;MATCH(AK$15,'Star Road Flow'!$E:$E,0)+($N18-2022)))</f>
        <v>0.41333417568674174</v>
      </c>
      <c r="AL18" cm="1">
        <f t="array" aca="1" ref="AL18" ca="1">INDIRECT("'Basin Weights'!L"&amp;MATCH(AL$15,'Basin Weights'!$E:$E,0)+($N18-2022))*(1-INDIRECT("'Star Road Flow'!J"&amp;MATCH(AL$15,'Star Road Flow'!$E:$E,0)+($N18-2022)))</f>
        <v>0.41850236004986258</v>
      </c>
      <c r="AM18" cm="1">
        <f t="array" aca="1" ref="AM18" ca="1">INDIRECT("'Basin Weights'!L"&amp;MATCH(AM$15,'Basin Weights'!$E:$E,0)+($N18-2022))*(1-INDIRECT("'Star Road Flow'!J"&amp;MATCH(AM$15,'Star Road Flow'!$E:$E,0)+($N18-2022)))</f>
        <v>0.42184978559836372</v>
      </c>
      <c r="AN18" cm="1">
        <f t="array" aca="1" ref="AN18" ca="1">INDIRECT("'Basin Weights'!L"&amp;MATCH(AN$15,'Basin Weights'!$E:$E,0)+($N18-2022))*(1-INDIRECT("'Star Road Flow'!J"&amp;MATCH(AN$15,'Star Road Flow'!$E:$E,0)+($N18-2022)))</f>
        <v>0.41951347125762323</v>
      </c>
      <c r="AO18" cm="1">
        <f t="array" aca="1" ref="AO18" ca="1">INDIRECT("'Basin Weights'!L"&amp;MATCH(AO$15,'Basin Weights'!$E:$E,0)+($N18-2022))*(1-INDIRECT("'Star Road Flow'!J"&amp;MATCH(AO$15,'Star Road Flow'!$E:$E,0)+($N18-2022)))</f>
        <v>0.41863739787259668</v>
      </c>
      <c r="AP18" cm="1">
        <f t="array" aca="1" ref="AP18" ca="1">INDIRECT("'Basin Weights'!L"&amp;MATCH(AP$15,'Basin Weights'!$E:$E,0)+($N18-2022))*(1-INDIRECT("'Star Road Flow'!J"&amp;MATCH(AP$15,'Star Road Flow'!$E:$E,0)+($N18-2022)))</f>
        <v>0.41614792150460728</v>
      </c>
      <c r="AQ18" cm="1">
        <f t="array" aca="1" ref="AQ18" ca="1">INDIRECT("'Basin Weights'!L"&amp;MATCH(AQ$15,'Basin Weights'!$E:$E,0)+($N18-2022))*(1-INDIRECT("'Star Road Flow'!J"&amp;MATCH(AQ$15,'Star Road Flow'!$E:$E,0)+($N18-2022)))</f>
        <v>0.43251922038847712</v>
      </c>
      <c r="AR18" cm="1">
        <f t="array" aca="1" ref="AR18" ca="1">INDIRECT("'Basin Weights'!L"&amp;MATCH(AR$15,'Basin Weights'!$E:$E,0)+($N18-2022))*(1-INDIRECT("'Star Road Flow'!J"&amp;MATCH(AR$15,'Star Road Flow'!$E:$E,0)+($N18-2022)))</f>
        <v>0.41850236005109415</v>
      </c>
      <c r="AS18" cm="1">
        <f t="array" aca="1" ref="AS18" ca="1">INDIRECT("'Basin Weights'!L"&amp;MATCH(AS$15,'Basin Weights'!$E:$E,0)+($N18-2022))*(1-INDIRECT("'Star Road Flow'!J"&amp;MATCH(AS$15,'Star Road Flow'!$E:$E,0)+($N18-2022)))</f>
        <v>0.41850236005157559</v>
      </c>
      <c r="AT18" cm="1">
        <f t="array" aca="1" ref="AT18" ca="1">INDIRECT("'Basin Weights'!L"&amp;MATCH(AT$15,'Basin Weights'!$E:$E,0)+($N18-2022))*(1-INDIRECT("'Star Road Flow'!J"&amp;MATCH(AT$15,'Star Road Flow'!$E:$E,0)+($N18-2022)))</f>
        <v>0.4183979065794583</v>
      </c>
      <c r="AV18" cm="1">
        <f t="array" aca="1" ref="AV18" ca="1">INDIRECT("'Basin Weights'!L"&amp;MATCH(AV$15,'Basin Weights'!$E:$E,0)+($N18-2022))*INDIRECT("'Star Road Flow'!J"&amp;MATCH(AV$15,'Star Road Flow'!$E:$E,0)+($N18-2022))</f>
        <v>1.4258894313258257E-2</v>
      </c>
      <c r="AW18" cm="1">
        <f t="array" aca="1" ref="AW18" ca="1">INDIRECT("'Basin Weights'!L"&amp;MATCH(AW$15,'Basin Weights'!$E:$E,0)+($N18-2022))*INDIRECT("'Star Road Flow'!J"&amp;MATCH(AW$15,'Star Road Flow'!$E:$E,0)+($N18-2022))</f>
        <v>1.4428866618665423E-2</v>
      </c>
      <c r="AX18" cm="1">
        <f t="array" aca="1" ref="AX18" ca="1">INDIRECT("'Basin Weights'!L"&amp;MATCH(AX$15,'Basin Weights'!$E:$E,0)+($N18-2022))*INDIRECT("'Star Road Flow'!J"&amp;MATCH(AX$15,'Star Road Flow'!$E:$E,0)+($N18-2022))</f>
        <v>1.4568768716286257E-2</v>
      </c>
      <c r="AY18" cm="1">
        <f t="array" aca="1" ref="AY18" ca="1">INDIRECT("'Basin Weights'!L"&amp;MATCH(AY$15,'Basin Weights'!$E:$E,0)+($N18-2022))*INDIRECT("'Star Road Flow'!J"&amp;MATCH(AY$15,'Star Road Flow'!$E:$E,0)+($N18-2022))</f>
        <v>1.4487280103384794E-2</v>
      </c>
      <c r="AZ18" cm="1">
        <f t="array" aca="1" ref="AZ18" ca="1">INDIRECT("'Basin Weights'!L"&amp;MATCH(AZ$15,'Basin Weights'!$E:$E,0)+($N18-2022))*INDIRECT("'Star Road Flow'!J"&amp;MATCH(AZ$15,'Star Road Flow'!$E:$E,0)+($N18-2022))</f>
        <v>1.4433522369549298E-2</v>
      </c>
      <c r="BA18" cm="1">
        <f t="array" aca="1" ref="BA18" ca="1">INDIRECT("'Basin Weights'!L"&amp;MATCH(BA$15,'Basin Weights'!$E:$E,0)+($N18-2022))*INDIRECT("'Star Road Flow'!J"&amp;MATCH(BA$15,'Star Road Flow'!$E:$E,0)+($N18-2022))</f>
        <v>1.436909849539267E-2</v>
      </c>
      <c r="BB18" cm="1">
        <f t="array" aca="1" ref="BB18" ca="1">INDIRECT("'Basin Weights'!L"&amp;MATCH(BB$15,'Basin Weights'!$E:$E,0)+($N18-2022))*INDIRECT("'Star Road Flow'!J"&amp;MATCH(BB$15,'Star Road Flow'!$E:$E,0)+($N18-2022))</f>
        <v>1.4942438750875895E-2</v>
      </c>
      <c r="BC18" cm="1">
        <f t="array" aca="1" ref="BC18" ca="1">INDIRECT("'Basin Weights'!L"&amp;MATCH(BC$15,'Basin Weights'!$E:$E,0)+($N18-2022))*INDIRECT("'Star Road Flow'!J"&amp;MATCH(BC$15,'Star Road Flow'!$E:$E,0)+($N18-2022))</f>
        <v>1.4428866618707884E-2</v>
      </c>
      <c r="BD18" cm="1">
        <f t="array" aca="1" ref="BD18" ca="1">INDIRECT("'Basin Weights'!L"&amp;MATCH(BD$15,'Basin Weights'!$E:$E,0)+($N18-2022))*INDIRECT("'Star Road Flow'!J"&amp;MATCH(BD$15,'Star Road Flow'!$E:$E,0)+($N18-2022))</f>
        <v>1.4428866618621389E-2</v>
      </c>
      <c r="BE18" cm="1">
        <f t="array" aca="1" ref="BE18" ca="1">INDIRECT("'Basin Weights'!L"&amp;MATCH(BE$15,'Basin Weights'!$E:$E,0)+($N18-2022))*INDIRECT("'Star Road Flow'!J"&amp;MATCH(BE$15,'Star Road Flow'!$E:$E,0)+($N18-2022))</f>
        <v>1.4425231293107669E-2</v>
      </c>
      <c r="BG18" cm="1">
        <f t="array" aca="1" ref="BG18" ca="1">INDIRECT("'Basin Weights'!M"&amp;MATCH(BG$15,'Basin Weights'!$E:$E,0)+($N18-2022))</f>
        <v>0.18912622000000001</v>
      </c>
      <c r="BH18" cm="1">
        <f t="array" aca="1" ref="BH18" ca="1">INDIRECT("'Basin Weights'!M"&amp;MATCH(BH$15,'Basin Weights'!$E:$E,0)+($N18-2022))</f>
        <v>0.179358036598982</v>
      </c>
      <c r="BI18" cm="1">
        <f t="array" aca="1" ref="BI18" ca="1">INDIRECT("'Basin Weights'!M"&amp;MATCH(BI$15,'Basin Weights'!$E:$E,0)+($N18-2022))</f>
        <v>0.17218671016241299</v>
      </c>
      <c r="BJ18" cm="1">
        <f t="array" aca="1" ref="BJ18" ca="1">INDIRECT("'Basin Weights'!M"&amp;MATCH(BJ$15,'Basin Weights'!$E:$E,0)+($N18-2022))</f>
        <v>0.176801168802346</v>
      </c>
      <c r="BK18" cm="1">
        <f t="array" aca="1" ref="BK18" ca="1">INDIRECT("'Basin Weights'!M"&amp;MATCH(BK$15,'Basin Weights'!$E:$E,0)+($N18-2022))</f>
        <v>0.179093240711168</v>
      </c>
      <c r="BL18" cm="1">
        <f t="array" aca="1" ref="BL18" ca="1">INDIRECT("'Basin Weights'!M"&amp;MATCH(BL$15,'Basin Weights'!$E:$E,0)+($N18-2022))</f>
        <v>0.18327389999999999</v>
      </c>
      <c r="BM18" cm="1">
        <f t="array" aca="1" ref="BM18" ca="1">INDIRECT("'Basin Weights'!M"&amp;MATCH(BM$15,'Basin Weights'!$E:$E,0)+($N18-2022))</f>
        <v>0.15213475786108299</v>
      </c>
      <c r="BN18" cm="1">
        <f t="array" aca="1" ref="BN18" ca="1">INDIRECT("'Basin Weights'!M"&amp;MATCH(BN$15,'Basin Weights'!$E:$E,0)+($N18-2022))</f>
        <v>0.17935803659656699</v>
      </c>
      <c r="BO18" cm="1">
        <f t="array" aca="1" ref="BO18" ca="1">INDIRECT("'Basin Weights'!M"&amp;MATCH(BO$15,'Basin Weights'!$E:$E,0)+($N18-2022))</f>
        <v>0.17935803659845401</v>
      </c>
      <c r="BP18" cm="1">
        <f t="array" aca="1" ref="BP18" ca="1">INDIRECT("'Basin Weights'!M"&amp;MATCH(BP$15,'Basin Weights'!$E:$E,0)+($N18-2022))</f>
        <v>0.17956385783527001</v>
      </c>
      <c r="BR18" cm="1">
        <f t="array" aca="1" ref="BR18" ca="1">INDIRECT("'Basin Weights'!N"&amp;MATCH(BR$15,'Basin Weights'!$E:$E,0)+($N18-2022))</f>
        <v>5.1180580000000003E-2</v>
      </c>
      <c r="BS18" cm="1">
        <f t="array" aca="1" ref="BS18" ca="1">INDIRECT("'Basin Weights'!N"&amp;MATCH(BS$15,'Basin Weights'!$E:$E,0)+($N18-2022))</f>
        <v>5.1651818483553401E-2</v>
      </c>
      <c r="BT18" cm="1">
        <f t="array" aca="1" ref="BT18" ca="1">INDIRECT("'Basin Weights'!N"&amp;MATCH(BT$15,'Basin Weights'!$E:$E,0)+($N18-2022))</f>
        <v>5.2077394502169097E-2</v>
      </c>
      <c r="BU18" cm="1">
        <f t="array" aca="1" ref="BU18" ca="1">INDIRECT("'Basin Weights'!N"&amp;MATCH(BU$15,'Basin Weights'!$E:$E,0)+($N18-2022))</f>
        <v>5.1778668556296897E-2</v>
      </c>
      <c r="BV18" cm="1">
        <f t="array" aca="1" ref="BV18" ca="1">INDIRECT("'Basin Weights'!N"&amp;MATCH(BV$15,'Basin Weights'!$E:$E,0)+($N18-2022))</f>
        <v>5.1668484934627702E-2</v>
      </c>
      <c r="BW18" cm="1">
        <f t="array" aca="1" ref="BW18" ca="1">INDIRECT("'Basin Weights'!N"&amp;MATCH(BW$15,'Basin Weights'!$E:$E,0)+($N18-2022))</f>
        <v>5.1542209999999998E-2</v>
      </c>
      <c r="BX18" cm="1">
        <f t="array" aca="1" ref="BX18" ca="1">INDIRECT("'Basin Weights'!N"&amp;MATCH(BX$15,'Basin Weights'!$E:$E,0)+($N18-2022))</f>
        <v>5.2383191979943303E-2</v>
      </c>
      <c r="BY18" cm="1">
        <f t="array" aca="1" ref="BY18" ca="1">INDIRECT("'Basin Weights'!N"&amp;MATCH(BY$15,'Basin Weights'!$E:$E,0)+($N18-2022))</f>
        <v>5.1651818483705397E-2</v>
      </c>
      <c r="BZ18" cm="1">
        <f t="array" aca="1" ref="BZ18" ca="1">INDIRECT("'Basin Weights'!N"&amp;MATCH(BZ$15,'Basin Weights'!$E:$E,0)+($N18-2022))</f>
        <v>5.1651818483401397E-2</v>
      </c>
      <c r="CA18" cm="1">
        <f t="array" aca="1" ref="CA18" ca="1">INDIRECT("'Basin Weights'!N"&amp;MATCH(CA$15,'Basin Weights'!$E:$E,0)+($N18-2022))</f>
        <v>5.1638755453051098E-2</v>
      </c>
      <c r="CC18" cm="1">
        <f t="array" aca="1" ref="CC18" ca="1">INDIRECT("'Basin Weights'!O"&amp;MATCH(CC$15,'Basin Weights'!$E:$E,0)+($N18-2022))</f>
        <v>0.33210013999999999</v>
      </c>
      <c r="CD18" cm="1">
        <f t="array" aca="1" ref="CD18" ca="1">INDIRECT("'Basin Weights'!O"&amp;MATCH(CD$15,'Basin Weights'!$E:$E,0)+($N18-2022))</f>
        <v>0.33605891824893602</v>
      </c>
      <c r="CE18" cm="1">
        <f t="array" aca="1" ref="CE18" ca="1">INDIRECT("'Basin Weights'!O"&amp;MATCH(CE$15,'Basin Weights'!$E:$E,0)+($N18-2022))</f>
        <v>0.33931734102076799</v>
      </c>
      <c r="CF18" cm="1">
        <f t="array" aca="1" ref="CF18" ca="1">INDIRECT("'Basin Weights'!O"&amp;MATCH(CF$15,'Basin Weights'!$E:$E,0)+($N18-2022))</f>
        <v>0.33741941128034902</v>
      </c>
      <c r="CG18" cm="1">
        <f t="array" aca="1" ref="CG18" ca="1">INDIRECT("'Basin Weights'!O"&amp;MATCH(CG$15,'Basin Weights'!$E:$E,0)+($N18-2022))</f>
        <v>0.336167354112058</v>
      </c>
      <c r="CH18" cm="1">
        <f t="array" aca="1" ref="CH18" ca="1">INDIRECT("'Basin Weights'!O"&amp;MATCH(CH$15,'Basin Weights'!$E:$E,0)+($N18-2022))</f>
        <v>0.33466687000000001</v>
      </c>
      <c r="CI18" cm="1">
        <f t="array" aca="1" ref="CI18" ca="1">INDIRECT("'Basin Weights'!O"&amp;MATCH(CI$15,'Basin Weights'!$E:$E,0)+($N18-2022))</f>
        <v>0.34802039101962101</v>
      </c>
      <c r="CJ18" cm="1">
        <f t="array" aca="1" ref="CJ18" ca="1">INDIRECT("'Basin Weights'!O"&amp;MATCH(CJ$15,'Basin Weights'!$E:$E,0)+($N18-2022))</f>
        <v>0.33605891824992501</v>
      </c>
      <c r="CK18" cm="1">
        <f t="array" aca="1" ref="CK18" ca="1">INDIRECT("'Basin Weights'!O"&amp;MATCH(CK$15,'Basin Weights'!$E:$E,0)+($N18-2022))</f>
        <v>0.33605891824794798</v>
      </c>
      <c r="CL18" cm="1">
        <f t="array" aca="1" ref="CL18" ca="1">INDIRECT("'Basin Weights'!O"&amp;MATCH(CL$15,'Basin Weights'!$E:$E,0)+($N18-2022))</f>
        <v>0.33597424883911198</v>
      </c>
      <c r="CN18">
        <f t="shared" ca="1" si="5"/>
        <v>1.0000000099999999</v>
      </c>
      <c r="CO18">
        <f t="shared" ca="1" si="2"/>
        <v>0.99999999999999933</v>
      </c>
      <c r="CP18">
        <f t="shared" ca="1" si="2"/>
        <v>1</v>
      </c>
      <c r="CQ18">
        <f t="shared" ca="1" si="2"/>
        <v>1</v>
      </c>
      <c r="CR18">
        <f t="shared" ca="1" si="2"/>
        <v>0.99999999999999967</v>
      </c>
      <c r="CS18">
        <f t="shared" ca="1" si="2"/>
        <v>1</v>
      </c>
      <c r="CT18">
        <f t="shared" ca="1" si="2"/>
        <v>1.0000000000000002</v>
      </c>
      <c r="CU18">
        <f t="shared" ca="1" si="2"/>
        <v>0.99999999999999956</v>
      </c>
      <c r="CV18">
        <f t="shared" ca="1" si="2"/>
        <v>1.0000000000000004</v>
      </c>
      <c r="CW18">
        <f t="shared" ca="1" si="2"/>
        <v>0.99999999999999911</v>
      </c>
    </row>
    <row r="19" spans="2:101" x14ac:dyDescent="0.25">
      <c r="B19">
        <v>2025</v>
      </c>
      <c r="C19" s="69">
        <f>'Gas Supply Commodity Costs'!I5/'Conventional Supply Quantities'!I5</f>
        <v>3.2671222225479415</v>
      </c>
      <c r="D19" s="69">
        <f>'Gas Supply Commodity Costs'!J5/'Conventional Supply Quantities'!J5</f>
        <v>3.2634103584525596</v>
      </c>
      <c r="E19" s="69">
        <f>'Gas Supply Commodity Costs'!K5/'Conventional Supply Quantities'!K5</f>
        <v>3.2593265968199137</v>
      </c>
      <c r="F19" s="69">
        <f>'Gas Supply Commodity Costs'!L5/'Conventional Supply Quantities'!L5</f>
        <v>3.2572180874392713</v>
      </c>
      <c r="G19" s="69">
        <f>'Gas Supply Commodity Costs'!M5/'Conventional Supply Quantities'!M5</f>
        <v>3.262367976560931</v>
      </c>
      <c r="H19" s="69">
        <f>'Gas Supply Commodity Costs'!N5/'Conventional Supply Quantities'!N5</f>
        <v>3.2655678167669175</v>
      </c>
      <c r="I19" s="69">
        <f>'Gas Supply Commodity Costs'!O5/'Conventional Supply Quantities'!O5</f>
        <v>3.2335718585329629</v>
      </c>
      <c r="J19" s="69">
        <f>'Gas Supply Commodity Costs'!P5/'Conventional Supply Quantities'!P5</f>
        <v>3.2641223214504067</v>
      </c>
      <c r="K19" s="69">
        <f>'Gas Supply Commodity Costs'!Q5/'Conventional Supply Quantities'!Q5</f>
        <v>3.2641223214553596</v>
      </c>
      <c r="L19" s="69">
        <f>'Gas Supply Commodity Costs'!R5/'Conventional Supply Quantities'!R5</f>
        <v>3.2638830640817349</v>
      </c>
      <c r="N19">
        <v>2025</v>
      </c>
      <c r="O19" s="69">
        <f t="shared" ca="1" si="3"/>
        <v>2.8126642470834379E-2</v>
      </c>
      <c r="P19" s="69">
        <f t="shared" ca="1" si="0"/>
        <v>2.8729579794979483E-2</v>
      </c>
      <c r="Q19" s="69">
        <f t="shared" ca="1" si="0"/>
        <v>2.907029650276655E-2</v>
      </c>
      <c r="R19" s="69">
        <f t="shared" ca="1" si="0"/>
        <v>2.9093906900958096E-2</v>
      </c>
      <c r="S19" s="69">
        <f t="shared" ca="1" si="0"/>
        <v>2.8957871838143363E-2</v>
      </c>
      <c r="T19" s="69">
        <f t="shared" ca="1" si="0"/>
        <v>2.8926243279810748E-2</v>
      </c>
      <c r="U19" s="69">
        <f t="shared" ca="1" si="0"/>
        <v>3.0272255091788654E-2</v>
      </c>
      <c r="V19" s="69">
        <f t="shared" ca="1" si="0"/>
        <v>2.8563427425198244E-2</v>
      </c>
      <c r="W19" s="69">
        <f t="shared" ca="1" si="0"/>
        <v>2.8563427425198247E-2</v>
      </c>
      <c r="X19" s="69">
        <f t="shared" ca="1" si="0"/>
        <v>2.858368865887705E-2</v>
      </c>
      <c r="Z19" s="71">
        <f t="shared" ca="1" si="4"/>
        <v>2.7560469461959045E-2</v>
      </c>
      <c r="AA19" s="71">
        <f t="shared" ca="1" si="1"/>
        <v>2.817421257344634E-2</v>
      </c>
      <c r="AB19" s="71">
        <f t="shared" ca="1" si="1"/>
        <v>2.852103561048901E-2</v>
      </c>
      <c r="AC19" s="71">
        <f t="shared" ca="1" si="1"/>
        <v>2.8545069154543131E-2</v>
      </c>
      <c r="AD19" s="71">
        <f t="shared" ca="1" si="1"/>
        <v>2.840659606956843E-2</v>
      </c>
      <c r="AE19" s="71">
        <f t="shared" ca="1" si="1"/>
        <v>2.8374400780885489E-2</v>
      </c>
      <c r="AF19" s="71">
        <f t="shared" ca="1" si="1"/>
        <v>2.9744535716931305E-2</v>
      </c>
      <c r="AG19" s="71">
        <f t="shared" ca="1" si="1"/>
        <v>2.800508241873911E-2</v>
      </c>
      <c r="AH19" s="71">
        <f t="shared" ca="1" si="1"/>
        <v>2.8005082418739113E-2</v>
      </c>
      <c r="AI19" s="71">
        <f t="shared" ca="1" si="1"/>
        <v>2.8025706774510679E-2</v>
      </c>
      <c r="AK19" cm="1">
        <f t="array" aca="1" ref="AK19" ca="1">INDIRECT("'Basin Weights'!L"&amp;MATCH(AK$15,'Basin Weights'!$E:$E,0)+($N19-2022))*(1-INDIRECT("'Star Road Flow'!J"&amp;MATCH(AK$15,'Star Road Flow'!$E:$E,0)+($N19-2022)))</f>
        <v>0.40446481958370789</v>
      </c>
      <c r="AL19" cm="1">
        <f t="array" aca="1" ref="AL19" ca="1">INDIRECT("'Basin Weights'!L"&amp;MATCH(AL$15,'Basin Weights'!$E:$E,0)+($N19-2022))*(1-INDIRECT("'Star Road Flow'!J"&amp;MATCH(AL$15,'Star Road Flow'!$E:$E,0)+($N19-2022)))</f>
        <v>0.41755718918322954</v>
      </c>
      <c r="AM19" cm="1">
        <f t="array" aca="1" ref="AM19" ca="1">INDIRECT("'Basin Weights'!L"&amp;MATCH(AM$15,'Basin Weights'!$E:$E,0)+($N19-2022))*(1-INDIRECT("'Star Road Flow'!J"&amp;MATCH(AM$15,'Star Road Flow'!$E:$E,0)+($N19-2022)))</f>
        <v>0.42495561974324059</v>
      </c>
      <c r="AN19" cm="1">
        <f t="array" aca="1" ref="AN19" ca="1">INDIRECT("'Basin Weights'!L"&amp;MATCH(AN$15,'Basin Weights'!$E:$E,0)+($N19-2022))*(1-INDIRECT("'Star Road Flow'!J"&amp;MATCH(AN$15,'Star Road Flow'!$E:$E,0)+($N19-2022)))</f>
        <v>0.4254683034112906</v>
      </c>
      <c r="AO19" cm="1">
        <f t="array" aca="1" ref="AO19" ca="1">INDIRECT("'Basin Weights'!L"&amp;MATCH(AO$15,'Basin Weights'!$E:$E,0)+($N19-2022))*(1-INDIRECT("'Star Road Flow'!J"&amp;MATCH(AO$15,'Star Road Flow'!$E:$E,0)+($N19-2022)))</f>
        <v>0.42251439495021614</v>
      </c>
      <c r="AP19" cm="1">
        <f t="array" aca="1" ref="AP19" ca="1">INDIRECT("'Basin Weights'!L"&amp;MATCH(AP$15,'Basin Weights'!$E:$E,0)+($N19-2022))*(1-INDIRECT("'Star Road Flow'!J"&amp;MATCH(AP$15,'Star Road Flow'!$E:$E,0)+($N19-2022)))</f>
        <v>0.42182760707526695</v>
      </c>
      <c r="AQ19" cm="1">
        <f t="array" aca="1" ref="AQ19" ca="1">INDIRECT("'Basin Weights'!L"&amp;MATCH(AQ$15,'Basin Weights'!$E:$E,0)+($N19-2022))*(1-INDIRECT("'Star Road Flow'!J"&amp;MATCH(AQ$15,'Star Road Flow'!$E:$E,0)+($N19-2022)))</f>
        <v>0.45105532942476623</v>
      </c>
      <c r="AR19" cm="1">
        <f t="array" aca="1" ref="AR19" ca="1">INDIRECT("'Basin Weights'!L"&amp;MATCH(AR$15,'Basin Weights'!$E:$E,0)+($N19-2022))*(1-INDIRECT("'Star Road Flow'!J"&amp;MATCH(AR$15,'Star Road Flow'!$E:$E,0)+($N19-2022)))</f>
        <v>0.41394930397504104</v>
      </c>
      <c r="AS19" cm="1">
        <f t="array" aca="1" ref="AS19" ca="1">INDIRECT("'Basin Weights'!L"&amp;MATCH(AS$15,'Basin Weights'!$E:$E,0)+($N19-2022))*(1-INDIRECT("'Star Road Flow'!J"&amp;MATCH(AS$15,'Star Road Flow'!$E:$E,0)+($N19-2022)))</f>
        <v>0.41394930397504104</v>
      </c>
      <c r="AT19" cm="1">
        <f t="array" aca="1" ref="AT19" ca="1">INDIRECT("'Basin Weights'!L"&amp;MATCH(AT$15,'Basin Weights'!$E:$E,0)+($N19-2022))*(1-INDIRECT("'Star Road Flow'!J"&amp;MATCH(AT$15,'Star Road Flow'!$E:$E,0)+($N19-2022)))</f>
        <v>0.41438926282357091</v>
      </c>
      <c r="AV19" cm="1">
        <f t="array" aca="1" ref="AV19" ca="1">INDIRECT("'Basin Weights'!L"&amp;MATCH(AV$15,'Basin Weights'!$E:$E,0)+($N19-2022))*INDIRECT("'Star Road Flow'!J"&amp;MATCH(AV$15,'Star Road Flow'!$E:$E,0)+($N19-2022))</f>
        <v>1.3630850416292094E-2</v>
      </c>
      <c r="AW19" cm="1">
        <f t="array" aca="1" ref="AW19" ca="1">INDIRECT("'Basin Weights'!L"&amp;MATCH(AW$15,'Basin Weights'!$E:$E,0)+($N19-2022))*INDIRECT("'Star Road Flow'!J"&amp;MATCH(AW$15,'Star Road Flow'!$E:$E,0)+($N19-2022))</f>
        <v>1.4072075766347432E-2</v>
      </c>
      <c r="AX19" cm="1">
        <f t="array" aca="1" ref="AX19" ca="1">INDIRECT("'Basin Weights'!L"&amp;MATCH(AX$15,'Basin Weights'!$E:$E,0)+($N19-2022))*INDIRECT("'Star Road Flow'!J"&amp;MATCH(AX$15,'Star Road Flow'!$E:$E,0)+($N19-2022))</f>
        <v>1.4321409936826412E-2</v>
      </c>
      <c r="AY19" cm="1">
        <f t="array" aca="1" ref="AY19" ca="1">INDIRECT("'Basin Weights'!L"&amp;MATCH(AY$15,'Basin Weights'!$E:$E,0)+($N19-2022))*INDIRECT("'Star Road Flow'!J"&amp;MATCH(AY$15,'Star Road Flow'!$E:$E,0)+($N19-2022))</f>
        <v>1.4338687865713426E-2</v>
      </c>
      <c r="AZ19" cm="1">
        <f t="array" aca="1" ref="AZ19" ca="1">INDIRECT("'Basin Weights'!L"&amp;MATCH(AZ$15,'Basin Weights'!$E:$E,0)+($N19-2022))*INDIRECT("'Star Road Flow'!J"&amp;MATCH(AZ$15,'Star Road Flow'!$E:$E,0)+($N19-2022))</f>
        <v>1.4239138331546851E-2</v>
      </c>
      <c r="BA19" cm="1">
        <f t="array" aca="1" ref="BA19" ca="1">INDIRECT("'Basin Weights'!L"&amp;MATCH(BA$15,'Basin Weights'!$E:$E,0)+($N19-2022))*INDIRECT("'Star Road Flow'!J"&amp;MATCH(BA$15,'Star Road Flow'!$E:$E,0)+($N19-2022))</f>
        <v>1.4215992924733002E-2</v>
      </c>
      <c r="BB19" cm="1">
        <f t="array" aca="1" ref="BB19" ca="1">INDIRECT("'Basin Weights'!L"&amp;MATCH(BB$15,'Basin Weights'!$E:$E,0)+($N19-2022))*INDIRECT("'Star Road Flow'!J"&amp;MATCH(BB$15,'Star Road Flow'!$E:$E,0)+($N19-2022))</f>
        <v>1.5200995061049801E-2</v>
      </c>
      <c r="BC19" cm="1">
        <f t="array" aca="1" ref="BC19" ca="1">INDIRECT("'Basin Weights'!L"&amp;MATCH(BC$15,'Basin Weights'!$E:$E,0)+($N19-2022))*INDIRECT("'Star Road Flow'!J"&amp;MATCH(BC$15,'Star Road Flow'!$E:$E,0)+($N19-2022))</f>
        <v>1.3950486591687971E-2</v>
      </c>
      <c r="BD19" cm="1">
        <f t="array" aca="1" ref="BD19" ca="1">INDIRECT("'Basin Weights'!L"&amp;MATCH(BD$15,'Basin Weights'!$E:$E,0)+($N19-2022))*INDIRECT("'Star Road Flow'!J"&amp;MATCH(BD$15,'Star Road Flow'!$E:$E,0)+($N19-2022))</f>
        <v>1.3950486591687971E-2</v>
      </c>
      <c r="BE19" cm="1">
        <f t="array" aca="1" ref="BE19" ca="1">INDIRECT("'Basin Weights'!L"&amp;MATCH(BE$15,'Basin Weights'!$E:$E,0)+($N19-2022))*INDIRECT("'Star Road Flow'!J"&amp;MATCH(BE$15,'Star Road Flow'!$E:$E,0)+($N19-2022))</f>
        <v>1.3965313624753065E-2</v>
      </c>
      <c r="BG19" cm="1">
        <f t="array" aca="1" ref="BG19" ca="1">INDIRECT("'Basin Weights'!M"&amp;MATCH(BG$15,'Basin Weights'!$E:$E,0)+($N19-2022))</f>
        <v>0.26651661999999998</v>
      </c>
      <c r="BH19" cm="1">
        <f t="array" aca="1" ref="BH19" ca="1">INDIRECT("'Basin Weights'!M"&amp;MATCH(BH$15,'Basin Weights'!$E:$E,0)+($N19-2022))</f>
        <v>0.24555270239907301</v>
      </c>
      <c r="BI19" cm="1">
        <f t="array" aca="1" ref="BI19" ca="1">INDIRECT("'Basin Weights'!M"&amp;MATCH(BI$15,'Basin Weights'!$E:$E,0)+($N19-2022))</f>
        <v>0.23309272646502199</v>
      </c>
      <c r="BJ19" cm="1">
        <f t="array" aca="1" ref="BJ19" ca="1">INDIRECT("'Basin Weights'!M"&amp;MATCH(BJ$15,'Basin Weights'!$E:$E,0)+($N19-2022))</f>
        <v>0.23284178082255499</v>
      </c>
      <c r="BK19" cm="1">
        <f t="array" aca="1" ref="BK19" ca="1">INDIRECT("'Basin Weights'!M"&amp;MATCH(BK$15,'Basin Weights'!$E:$E,0)+($N19-2022))</f>
        <v>0.23769653632468199</v>
      </c>
      <c r="BL19" cm="1">
        <f t="array" aca="1" ref="BL19" ca="1">INDIRECT("'Basin Weights'!M"&amp;MATCH(BL$15,'Basin Weights'!$E:$E,0)+($N19-2022))</f>
        <v>0.23826750999999999</v>
      </c>
      <c r="BM19" cm="1">
        <f t="array" aca="1" ref="BM19" ca="1">INDIRECT("'Basin Weights'!M"&amp;MATCH(BM$15,'Basin Weights'!$E:$E,0)+($N19-2022))</f>
        <v>0.192902860105959</v>
      </c>
      <c r="BN19" cm="1">
        <f t="array" aca="1" ref="BN19" ca="1">INDIRECT("'Basin Weights'!M"&amp;MATCH(BN$15,'Basin Weights'!$E:$E,0)+($N19-2022))</f>
        <v>0.25136613562379101</v>
      </c>
      <c r="BO19" cm="1">
        <f t="array" aca="1" ref="BO19" ca="1">INDIRECT("'Basin Weights'!M"&amp;MATCH(BO$15,'Basin Weights'!$E:$E,0)+($N19-2022))</f>
        <v>0.25136613562664401</v>
      </c>
      <c r="BP19" cm="1">
        <f t="array" aca="1" ref="BP19" ca="1">INDIRECT("'Basin Weights'!M"&amp;MATCH(BP$15,'Basin Weights'!$E:$E,0)+($N19-2022))</f>
        <v>0.25065775475872998</v>
      </c>
      <c r="BR19" cm="1">
        <f t="array" aca="1" ref="BR19" ca="1">INDIRECT("'Basin Weights'!N"&amp;MATCH(BR$15,'Basin Weights'!$E:$E,0)+($N19-2022))</f>
        <v>1.8597289999999999E-2</v>
      </c>
      <c r="BS19" cm="1">
        <f t="array" aca="1" ref="BS19" ca="1">INDIRECT("'Basin Weights'!N"&amp;MATCH(BS$15,'Basin Weights'!$E:$E,0)+($N19-2022))</f>
        <v>1.6420619498483599E-2</v>
      </c>
      <c r="BT19" cm="1">
        <f t="array" aca="1" ref="BT19" ca="1">INDIRECT("'Basin Weights'!N"&amp;MATCH(BT$15,'Basin Weights'!$E:$E,0)+($N19-2022))</f>
        <v>1.5803969593432901E-2</v>
      </c>
      <c r="BU19" cm="1">
        <f t="array" aca="1" ref="BU19" ca="1">INDIRECT("'Basin Weights'!N"&amp;MATCH(BU$15,'Basin Weights'!$E:$E,0)+($N19-2022))</f>
        <v>1.51487537944243E-2</v>
      </c>
      <c r="BV19" cm="1">
        <f t="array" aca="1" ref="BV19" ca="1">INDIRECT("'Basin Weights'!N"&amp;MATCH(BV$15,'Basin Weights'!$E:$E,0)+($N19-2022))</f>
        <v>1.55149915009397E-2</v>
      </c>
      <c r="BW19" cm="1">
        <f t="array" aca="1" ref="BW19" ca="1">INDIRECT("'Basin Weights'!N"&amp;MATCH(BW$15,'Basin Weights'!$E:$E,0)+($N19-2022))</f>
        <v>1.6157910000000001E-2</v>
      </c>
      <c r="BX19" cm="1">
        <f t="array" aca="1" ref="BX19" ca="1">INDIRECT("'Basin Weights'!N"&amp;MATCH(BX$15,'Basin Weights'!$E:$E,0)+($N19-2022))</f>
        <v>9.8629524838784507E-3</v>
      </c>
      <c r="BY19" cm="1">
        <f t="array" aca="1" ref="BY19" ca="1">INDIRECT("'Basin Weights'!N"&amp;MATCH(BY$15,'Basin Weights'!$E:$E,0)+($N19-2022))</f>
        <v>1.6984074528001901E-2</v>
      </c>
      <c r="BZ19" cm="1">
        <f t="array" aca="1" ref="BZ19" ca="1">INDIRECT("'Basin Weights'!N"&amp;MATCH(BZ$15,'Basin Weights'!$E:$E,0)+($N19-2022))</f>
        <v>1.69840745251492E-2</v>
      </c>
      <c r="CA19" cm="1">
        <f t="array" aca="1" ref="CA19" ca="1">INDIRECT("'Basin Weights'!N"&amp;MATCH(CA$15,'Basin Weights'!$E:$E,0)+($N19-2022))</f>
        <v>1.6914834085386899E-2</v>
      </c>
      <c r="CC19" cm="1">
        <f t="array" aca="1" ref="CC19" ca="1">INDIRECT("'Basin Weights'!O"&amp;MATCH(CC$15,'Basin Weights'!$E:$E,0)+($N19-2022))</f>
        <v>0.29679042</v>
      </c>
      <c r="CD19" cm="1">
        <f t="array" aca="1" ref="CD19" ca="1">INDIRECT("'Basin Weights'!O"&amp;MATCH(CD$15,'Basin Weights'!$E:$E,0)+($N19-2022))</f>
        <v>0.306397413152866</v>
      </c>
      <c r="CE19" cm="1">
        <f t="array" aca="1" ref="CE19" ca="1">INDIRECT("'Basin Weights'!O"&amp;MATCH(CE$15,'Basin Weights'!$E:$E,0)+($N19-2022))</f>
        <v>0.31182627426147802</v>
      </c>
      <c r="CF19" cm="1">
        <f t="array" aca="1" ref="CF19" ca="1">INDIRECT("'Basin Weights'!O"&amp;MATCH(CF$15,'Basin Weights'!$E:$E,0)+($N19-2022))</f>
        <v>0.31220247410601598</v>
      </c>
      <c r="CG19" cm="1">
        <f t="array" aca="1" ref="CG19" ca="1">INDIRECT("'Basin Weights'!O"&amp;MATCH(CG$15,'Basin Weights'!$E:$E,0)+($N19-2022))</f>
        <v>0.31003493889261502</v>
      </c>
      <c r="CH19" cm="1">
        <f t="array" aca="1" ref="CH19" ca="1">INDIRECT("'Basin Weights'!O"&amp;MATCH(CH$15,'Basin Weights'!$E:$E,0)+($N19-2022))</f>
        <v>0.30953098000000001</v>
      </c>
      <c r="CI19" cm="1">
        <f t="array" aca="1" ref="CI19" ca="1">INDIRECT("'Basin Weights'!O"&amp;MATCH(CI$15,'Basin Weights'!$E:$E,0)+($N19-2022))</f>
        <v>0.330977862924346</v>
      </c>
      <c r="CJ19" cm="1">
        <f t="array" aca="1" ref="CJ19" ca="1">INDIRECT("'Basin Weights'!O"&amp;MATCH(CJ$15,'Basin Weights'!$E:$E,0)+($N19-2022))</f>
        <v>0.303749999281478</v>
      </c>
      <c r="CK19" cm="1">
        <f t="array" aca="1" ref="CK19" ca="1">INDIRECT("'Basin Weights'!O"&amp;MATCH(CK$15,'Basin Weights'!$E:$E,0)+($N19-2022))</f>
        <v>0.303749999281478</v>
      </c>
      <c r="CL19" cm="1">
        <f t="array" aca="1" ref="CL19" ca="1">INDIRECT("'Basin Weights'!O"&amp;MATCH(CL$15,'Basin Weights'!$E:$E,0)+($N19-2022))</f>
        <v>0.30407283470755903</v>
      </c>
      <c r="CN19">
        <f t="shared" ca="1" si="5"/>
        <v>1</v>
      </c>
      <c r="CO19">
        <f t="shared" ca="1" si="2"/>
        <v>0.99999999999999956</v>
      </c>
      <c r="CP19">
        <f t="shared" ca="1" si="2"/>
        <v>0.99999999999999989</v>
      </c>
      <c r="CQ19">
        <f t="shared" ca="1" si="2"/>
        <v>0.99999999999999933</v>
      </c>
      <c r="CR19">
        <f t="shared" ca="1" si="2"/>
        <v>0.99999999999999978</v>
      </c>
      <c r="CS19">
        <f t="shared" ca="1" si="2"/>
        <v>1</v>
      </c>
      <c r="CT19">
        <f t="shared" ca="1" si="2"/>
        <v>0.99999999999999944</v>
      </c>
      <c r="CU19">
        <f t="shared" ca="1" si="2"/>
        <v>0.99999999999999989</v>
      </c>
      <c r="CV19">
        <f t="shared" ca="1" si="2"/>
        <v>1.0000000000000002</v>
      </c>
      <c r="CW19">
        <f t="shared" ca="1" si="2"/>
        <v>0.99999999999999989</v>
      </c>
    </row>
    <row r="20" spans="2:101" x14ac:dyDescent="0.25">
      <c r="B20">
        <v>2026</v>
      </c>
      <c r="C20" s="69">
        <f>'Gas Supply Commodity Costs'!I6/'Conventional Supply Quantities'!I6</f>
        <v>3.8145358620949841</v>
      </c>
      <c r="D20" s="69">
        <f>'Gas Supply Commodity Costs'!J6/'Conventional Supply Quantities'!J6</f>
        <v>3.8191956512084064</v>
      </c>
      <c r="E20" s="69">
        <f>'Gas Supply Commodity Costs'!K6/'Conventional Supply Quantities'!K6</f>
        <v>3.8189328801098346</v>
      </c>
      <c r="F20" s="69">
        <f>'Gas Supply Commodity Costs'!L6/'Conventional Supply Quantities'!L6</f>
        <v>3.8176669409751276</v>
      </c>
      <c r="G20" s="69">
        <f>'Gas Supply Commodity Costs'!M6/'Conventional Supply Quantities'!M6</f>
        <v>3.820060758453625</v>
      </c>
      <c r="H20" s="69">
        <f>'Gas Supply Commodity Costs'!N6/'Conventional Supply Quantities'!N6</f>
        <v>3.8235904015475017</v>
      </c>
      <c r="I20" s="69">
        <f>'Gas Supply Commodity Costs'!O6/'Conventional Supply Quantities'!O6</f>
        <v>3.778203724699301</v>
      </c>
      <c r="J20" s="69">
        <f>'Gas Supply Commodity Costs'!P6/'Conventional Supply Quantities'!P6</f>
        <v>3.8163737000970817</v>
      </c>
      <c r="K20" s="69">
        <f>'Gas Supply Commodity Costs'!Q6/'Conventional Supply Quantities'!Q6</f>
        <v>3.8163737001029356</v>
      </c>
      <c r="L20" s="69">
        <f>'Gas Supply Commodity Costs'!R6/'Conventional Supply Quantities'!R6</f>
        <v>3.8166810645312124</v>
      </c>
      <c r="N20">
        <v>2026</v>
      </c>
      <c r="O20" s="69">
        <f t="shared" ca="1" si="3"/>
        <v>2.2034991593370731E-2</v>
      </c>
      <c r="P20" s="69">
        <f t="shared" ca="1" si="0"/>
        <v>2.2391877954877973E-2</v>
      </c>
      <c r="Q20" s="69">
        <f t="shared" ca="1" si="0"/>
        <v>2.2581008897955925E-2</v>
      </c>
      <c r="R20" s="69">
        <f t="shared" ca="1" si="0"/>
        <v>2.2594783179455333E-2</v>
      </c>
      <c r="S20" s="69">
        <f t="shared" ca="1" si="0"/>
        <v>2.2575258747839319E-2</v>
      </c>
      <c r="T20" s="69">
        <f t="shared" ca="1" si="0"/>
        <v>2.2592051896018719E-2</v>
      </c>
      <c r="U20" s="69">
        <f t="shared" ca="1" si="0"/>
        <v>2.3870553725368462E-2</v>
      </c>
      <c r="V20" s="69">
        <f t="shared" ca="1" si="0"/>
        <v>2.2307429352420416E-2</v>
      </c>
      <c r="W20" s="69">
        <f t="shared" ca="1" si="0"/>
        <v>2.2307429352420423E-2</v>
      </c>
      <c r="X20" s="69">
        <f t="shared" ca="1" si="0"/>
        <v>2.2313734581261721E-2</v>
      </c>
      <c r="Z20" s="71">
        <f t="shared" ca="1" si="4"/>
        <v>2.4961649042439974E-2</v>
      </c>
      <c r="AA20" s="71">
        <f t="shared" ca="1" si="1"/>
        <v>2.5427484799649607E-2</v>
      </c>
      <c r="AB20" s="71">
        <f t="shared" ca="1" si="1"/>
        <v>2.5674353260623763E-2</v>
      </c>
      <c r="AC20" s="71">
        <f t="shared" ca="1" si="1"/>
        <v>2.5692332527365868E-2</v>
      </c>
      <c r="AD20" s="71">
        <f t="shared" ca="1" si="1"/>
        <v>2.5666847716123459E-2</v>
      </c>
      <c r="AE20" s="71">
        <f t="shared" ca="1" si="1"/>
        <v>2.5688767632748126E-2</v>
      </c>
      <c r="AF20" s="71">
        <f t="shared" ca="1" si="1"/>
        <v>2.7357567766508904E-2</v>
      </c>
      <c r="AG20" s="71">
        <f t="shared" ca="1" si="1"/>
        <v>2.5317255895902599E-2</v>
      </c>
      <c r="AH20" s="71">
        <f t="shared" ca="1" si="1"/>
        <v>2.5317255895902602E-2</v>
      </c>
      <c r="AI20" s="71">
        <f t="shared" ca="1" si="1"/>
        <v>2.5325485972455965E-2</v>
      </c>
      <c r="AK20" cm="1">
        <f t="array" aca="1" ref="AK20" ca="1">INDIRECT("'Basin Weights'!L"&amp;MATCH(AK$15,'Basin Weights'!$E:$E,0)+($N20-2022))*(1-INDIRECT("'Star Road Flow'!J"&amp;MATCH(AK$15,'Star Road Flow'!$E:$E,0)+($N20-2022)))</f>
        <v>0.41565143013240446</v>
      </c>
      <c r="AL20" cm="1">
        <f t="array" aca="1" ref="AL20" ca="1">INDIRECT("'Basin Weights'!L"&amp;MATCH(AL$15,'Basin Weights'!$E:$E,0)+($N20-2022))*(1-INDIRECT("'Star Road Flow'!J"&amp;MATCH(AL$15,'Star Road Flow'!$E:$E,0)+($N20-2022)))</f>
        <v>0.42748552040128213</v>
      </c>
      <c r="AM20" cm="1">
        <f t="array" aca="1" ref="AM20" ca="1">INDIRECT("'Basin Weights'!L"&amp;MATCH(AM$15,'Basin Weights'!$E:$E,0)+($N20-2022))*(1-INDIRECT("'Star Road Flow'!J"&amp;MATCH(AM$15,'Star Road Flow'!$E:$E,0)+($N20-2022)))</f>
        <v>0.43375696820032572</v>
      </c>
      <c r="AN20" cm="1">
        <f t="array" aca="1" ref="AN20" ca="1">INDIRECT("'Basin Weights'!L"&amp;MATCH(AN$15,'Basin Weights'!$E:$E,0)+($N20-2022))*(1-INDIRECT("'Star Road Flow'!J"&amp;MATCH(AN$15,'Star Road Flow'!$E:$E,0)+($N20-2022)))</f>
        <v>0.43421371359580152</v>
      </c>
      <c r="AO20" cm="1">
        <f t="array" aca="1" ref="AO20" ca="1">INDIRECT("'Basin Weights'!L"&amp;MATCH(AO$15,'Basin Weights'!$E:$E,0)+($N20-2022))*(1-INDIRECT("'Star Road Flow'!J"&amp;MATCH(AO$15,'Star Road Flow'!$E:$E,0)+($N20-2022)))</f>
        <v>0.43356629730477536</v>
      </c>
      <c r="AP20" cm="1">
        <f t="array" aca="1" ref="AP20" ca="1">INDIRECT("'Basin Weights'!L"&amp;MATCH(AP$15,'Basin Weights'!$E:$E,0)+($N20-2022))*(1-INDIRECT("'Star Road Flow'!J"&amp;MATCH(AP$15,'Star Road Flow'!$E:$E,0)+($N20-2022)))</f>
        <v>0.43412315536382823</v>
      </c>
      <c r="AQ20" cm="1">
        <f t="array" aca="1" ref="AQ20" ca="1">INDIRECT("'Basin Weights'!L"&amp;MATCH(AQ$15,'Basin Weights'!$E:$E,0)+($N20-2022))*(1-INDIRECT("'Star Road Flow'!J"&amp;MATCH(AQ$15,'Star Road Flow'!$E:$E,0)+($N20-2022)))</f>
        <v>0.47651735916560445</v>
      </c>
      <c r="AR20" cm="1">
        <f t="array" aca="1" ref="AR20" ca="1">INDIRECT("'Basin Weights'!L"&amp;MATCH(AR$15,'Basin Weights'!$E:$E,0)+($N20-2022))*(1-INDIRECT("'Star Road Flow'!J"&amp;MATCH(AR$15,'Star Road Flow'!$E:$E,0)+($N20-2022)))</f>
        <v>0.4246852646980333</v>
      </c>
      <c r="AS20" cm="1">
        <f t="array" aca="1" ref="AS20" ca="1">INDIRECT("'Basin Weights'!L"&amp;MATCH(AS$15,'Basin Weights'!$E:$E,0)+($N20-2022))*(1-INDIRECT("'Star Road Flow'!J"&amp;MATCH(AS$15,'Star Road Flow'!$E:$E,0)+($N20-2022)))</f>
        <v>0.4246852646980333</v>
      </c>
      <c r="AT20" cm="1">
        <f t="array" aca="1" ref="AT20" ca="1">INDIRECT("'Basin Weights'!L"&amp;MATCH(AT$15,'Basin Weights'!$E:$E,0)+($N20-2022))*(1-INDIRECT("'Star Road Flow'!J"&amp;MATCH(AT$15,'Star Road Flow'!$E:$E,0)+($N20-2022)))</f>
        <v>0.42489434161001632</v>
      </c>
      <c r="AV20" cm="1">
        <f t="array" aca="1" ref="AV20" ca="1">INDIRECT("'Basin Weights'!L"&amp;MATCH(AV$15,'Basin Weights'!$E:$E,0)+($N20-2022))*INDIRECT("'Star Road Flow'!J"&amp;MATCH(AV$15,'Star Road Flow'!$E:$E,0)+($N20-2022))</f>
        <v>1.4007849867595524E-2</v>
      </c>
      <c r="AW20" cm="1">
        <f t="array" aca="1" ref="AW20" ca="1">INDIRECT("'Basin Weights'!L"&amp;MATCH(AW$15,'Basin Weights'!$E:$E,0)+($N20-2022))*INDIRECT("'Star Road Flow'!J"&amp;MATCH(AW$15,'Star Road Flow'!$E:$E,0)+($N20-2022))</f>
        <v>1.4406670003383837E-2</v>
      </c>
      <c r="AX20" cm="1">
        <f t="array" aca="1" ref="AX20" ca="1">INDIRECT("'Basin Weights'!L"&amp;MATCH(AX$15,'Basin Weights'!$E:$E,0)+($N20-2022))*INDIRECT("'Star Road Flow'!J"&amp;MATCH(AX$15,'Star Road Flow'!$E:$E,0)+($N20-2022))</f>
        <v>1.4618023779295256E-2</v>
      </c>
      <c r="AY20" cm="1">
        <f t="array" aca="1" ref="AY20" ca="1">INDIRECT("'Basin Weights'!L"&amp;MATCH(AY$15,'Basin Weights'!$E:$E,0)+($N20-2022))*INDIRECT("'Star Road Flow'!J"&amp;MATCH(AY$15,'Star Road Flow'!$E:$E,0)+($N20-2022))</f>
        <v>1.4633416535012473E-2</v>
      </c>
      <c r="AZ20" cm="1">
        <f t="array" aca="1" ref="AZ20" ca="1">INDIRECT("'Basin Weights'!L"&amp;MATCH(AZ$15,'Basin Weights'!$E:$E,0)+($N20-2022))*INDIRECT("'Star Road Flow'!J"&amp;MATCH(AZ$15,'Star Road Flow'!$E:$E,0)+($N20-2022))</f>
        <v>1.4611597988150645E-2</v>
      </c>
      <c r="BA20" cm="1">
        <f t="array" aca="1" ref="BA20" ca="1">INDIRECT("'Basin Weights'!L"&amp;MATCH(BA$15,'Basin Weights'!$E:$E,0)+($N20-2022))*INDIRECT("'Star Road Flow'!J"&amp;MATCH(BA$15,'Star Road Flow'!$E:$E,0)+($N20-2022))</f>
        <v>1.4630364636171773E-2</v>
      </c>
      <c r="BB20" cm="1">
        <f t="array" aca="1" ref="BB20" ca="1">INDIRECT("'Basin Weights'!L"&amp;MATCH(BB$15,'Basin Weights'!$E:$E,0)+($N20-2022))*INDIRECT("'Star Road Flow'!J"&amp;MATCH(BB$15,'Star Road Flow'!$E:$E,0)+($N20-2022))</f>
        <v>1.605908976270955E-2</v>
      </c>
      <c r="BC20" cm="1">
        <f t="array" aca="1" ref="BC20" ca="1">INDIRECT("'Basin Weights'!L"&amp;MATCH(BC$15,'Basin Weights'!$E:$E,0)+($N20-2022))*INDIRECT("'Star Road Flow'!J"&amp;MATCH(BC$15,'Star Road Flow'!$E:$E,0)+($N20-2022))</f>
        <v>1.4312298713792717E-2</v>
      </c>
      <c r="BD20" cm="1">
        <f t="array" aca="1" ref="BD20" ca="1">INDIRECT("'Basin Weights'!L"&amp;MATCH(BD$15,'Basin Weights'!$E:$E,0)+($N20-2022))*INDIRECT("'Star Road Flow'!J"&amp;MATCH(BD$15,'Star Road Flow'!$E:$E,0)+($N20-2022))</f>
        <v>1.4312298713792717E-2</v>
      </c>
      <c r="BE20" cm="1">
        <f t="array" aca="1" ref="BE20" ca="1">INDIRECT("'Basin Weights'!L"&amp;MATCH(BE$15,'Basin Weights'!$E:$E,0)+($N20-2022))*INDIRECT("'Star Road Flow'!J"&amp;MATCH(BE$15,'Star Road Flow'!$E:$E,0)+($N20-2022))</f>
        <v>1.4319344805256677E-2</v>
      </c>
      <c r="BG20" cm="1">
        <f t="array" aca="1" ref="BG20" ca="1">INDIRECT("'Basin Weights'!M"&amp;MATCH(BG$15,'Basin Weights'!$E:$E,0)+($N20-2022))</f>
        <v>0.31636682999999999</v>
      </c>
      <c r="BH20" cm="1">
        <f t="array" aca="1" ref="BH20" ca="1">INDIRECT("'Basin Weights'!M"&amp;MATCH(BH$15,'Basin Weights'!$E:$E,0)+($N20-2022))</f>
        <v>0.31191390765202898</v>
      </c>
      <c r="BI20" cm="1">
        <f t="array" aca="1" ref="BI20" ca="1">INDIRECT("'Basin Weights'!M"&amp;MATCH(BI$15,'Basin Weights'!$E:$E,0)+($N20-2022))</f>
        <v>0.30388999224745</v>
      </c>
      <c r="BJ20" cm="1">
        <f t="array" aca="1" ref="BJ20" ca="1">INDIRECT("'Basin Weights'!M"&amp;MATCH(BJ$15,'Basin Weights'!$E:$E,0)+($N20-2022))</f>
        <v>0.30475791880939301</v>
      </c>
      <c r="BK20" cm="1">
        <f t="array" aca="1" ref="BK20" ca="1">INDIRECT("'Basin Weights'!M"&amp;MATCH(BK$15,'Basin Weights'!$E:$E,0)+($N20-2022))</f>
        <v>0.30583856077138899</v>
      </c>
      <c r="BL20" cm="1">
        <f t="array" aca="1" ref="BL20" ca="1">INDIRECT("'Basin Weights'!M"&amp;MATCH(BL$15,'Basin Weights'!$E:$E,0)+($N20-2022))</f>
        <v>0.30667253999999999</v>
      </c>
      <c r="BM20" cm="1">
        <f t="array" aca="1" ref="BM20" ca="1">INDIRECT("'Basin Weights'!M"&amp;MATCH(BM$15,'Basin Weights'!$E:$E,0)+($N20-2022))</f>
        <v>0.254801131602238</v>
      </c>
      <c r="BN20" cm="1">
        <f t="array" aca="1" ref="BN20" ca="1">INDIRECT("'Basin Weights'!M"&amp;MATCH(BN$15,'Basin Weights'!$E:$E,0)+($N20-2022))</f>
        <v>0.31500818385595197</v>
      </c>
      <c r="BO20" cm="1">
        <f t="array" aca="1" ref="BO20" ca="1">INDIRECT("'Basin Weights'!M"&amp;MATCH(BO$15,'Basin Weights'!$E:$E,0)+($N20-2022))</f>
        <v>0.31500818385009899</v>
      </c>
      <c r="BP20" cm="1">
        <f t="array" aca="1" ref="BP20" ca="1">INDIRECT("'Basin Weights'!M"&amp;MATCH(BP$15,'Basin Weights'!$E:$E,0)+($N20-2022))</f>
        <v>0.314759510508829</v>
      </c>
      <c r="BR20" cm="1">
        <f t="array" aca="1" ref="BR20" ca="1">INDIRECT("'Basin Weights'!N"&amp;MATCH(BR$15,'Basin Weights'!$E:$E,0)+($N20-2022))</f>
        <v>6.9098939999999998E-2</v>
      </c>
      <c r="BS20" cm="1">
        <f t="array" aca="1" ref="BS20" ca="1">INDIRECT("'Basin Weights'!N"&amp;MATCH(BS$15,'Basin Weights'!$E:$E,0)+($N20-2022))</f>
        <v>5.6055349859281102E-2</v>
      </c>
      <c r="BT20" cm="1">
        <f t="array" aca="1" ref="BT20" ca="1">INDIRECT("'Basin Weights'!N"&amp;MATCH(BT$15,'Basin Weights'!$E:$E,0)+($N20-2022))</f>
        <v>5.4807026510163601E-2</v>
      </c>
      <c r="BU20" cm="1">
        <f t="array" aca="1" ref="BU20" ca="1">INDIRECT("'Basin Weights'!N"&amp;MATCH(BU$15,'Basin Weights'!$E:$E,0)+($N20-2022))</f>
        <v>5.3263808932142602E-2</v>
      </c>
      <c r="BV20" cm="1">
        <f t="array" aca="1" ref="BV20" ca="1">INDIRECT("'Basin Weights'!N"&amp;MATCH(BV$15,'Basin Weights'!$E:$E,0)+($N20-2022))</f>
        <v>5.3140361961761397E-2</v>
      </c>
      <c r="BW20" cm="1">
        <f t="array" aca="1" ref="BW20" ca="1">INDIRECT("'Basin Weights'!N"&amp;MATCH(BW$15,'Basin Weights'!$E:$E,0)+($N20-2022))</f>
        <v>5.1483069999999999E-2</v>
      </c>
      <c r="BX20" cm="1">
        <f t="array" aca="1" ref="BX20" ca="1">INDIRECT("'Basin Weights'!N"&amp;MATCH(BX$15,'Basin Weights'!$E:$E,0)+($N20-2022))</f>
        <v>4.0675309238438498E-2</v>
      </c>
      <c r="BY20" cm="1">
        <f t="array" aca="1" ref="BY20" ca="1">INDIRECT("'Basin Weights'!N"&amp;MATCH(BY$15,'Basin Weights'!$E:$E,0)+($N20-2022))</f>
        <v>5.7101208482897299E-2</v>
      </c>
      <c r="BZ20" cm="1">
        <f t="array" aca="1" ref="BZ20" ca="1">INDIRECT("'Basin Weights'!N"&amp;MATCH(BZ$15,'Basin Weights'!$E:$E,0)+($N20-2022))</f>
        <v>5.7101208488750499E-2</v>
      </c>
      <c r="CA20" cm="1">
        <f t="array" aca="1" ref="CA20" ca="1">INDIRECT("'Basin Weights'!N"&amp;MATCH(CA$15,'Basin Weights'!$E:$E,0)+($N20-2022))</f>
        <v>5.7040764843336297E-2</v>
      </c>
      <c r="CC20" cm="1">
        <f t="array" aca="1" ref="CC20" ca="1">INDIRECT("'Basin Weights'!O"&amp;MATCH(CC$15,'Basin Weights'!$E:$E,0)+($N20-2022))</f>
        <v>0.18487493999999999</v>
      </c>
      <c r="CD20" cm="1">
        <f t="array" aca="1" ref="CD20" ca="1">INDIRECT("'Basin Weights'!O"&amp;MATCH(CD$15,'Basin Weights'!$E:$E,0)+($N20-2022))</f>
        <v>0.190138552084024</v>
      </c>
      <c r="CE20" cm="1">
        <f t="array" aca="1" ref="CE20" ca="1">INDIRECT("'Basin Weights'!O"&amp;MATCH(CE$15,'Basin Weights'!$E:$E,0)+($N20-2022))</f>
        <v>0.192927989262765</v>
      </c>
      <c r="CF20" cm="1">
        <f t="array" aca="1" ref="CF20" ca="1">INDIRECT("'Basin Weights'!O"&amp;MATCH(CF$15,'Basin Weights'!$E:$E,0)+($N20-2022))</f>
        <v>0.19313114212765101</v>
      </c>
      <c r="CG20" cm="1">
        <f t="array" aca="1" ref="CG20" ca="1">INDIRECT("'Basin Weights'!O"&amp;MATCH(CG$15,'Basin Weights'!$E:$E,0)+($N20-2022))</f>
        <v>0.192843181973923</v>
      </c>
      <c r="CH20" cm="1">
        <f t="array" aca="1" ref="CH20" ca="1">INDIRECT("'Basin Weights'!O"&amp;MATCH(CH$15,'Basin Weights'!$E:$E,0)+($N20-2022))</f>
        <v>0.19309086</v>
      </c>
      <c r="CI20" cm="1">
        <f t="array" aca="1" ref="CI20" ca="1">INDIRECT("'Basin Weights'!O"&amp;MATCH(CI$15,'Basin Weights'!$E:$E,0)+($N20-2022))</f>
        <v>0.21194711023100901</v>
      </c>
      <c r="CJ20" cm="1">
        <f t="array" aca="1" ref="CJ20" ca="1">INDIRECT("'Basin Weights'!O"&amp;MATCH(CJ$15,'Basin Weights'!$E:$E,0)+($N20-2022))</f>
        <v>0.18889304424932399</v>
      </c>
      <c r="CK20" cm="1">
        <f t="array" aca="1" ref="CK20" ca="1">INDIRECT("'Basin Weights'!O"&amp;MATCH(CK$15,'Basin Weights'!$E:$E,0)+($N20-2022))</f>
        <v>0.18889304424932399</v>
      </c>
      <c r="CL20" cm="1">
        <f t="array" aca="1" ref="CL20" ca="1">INDIRECT("'Basin Weights'!O"&amp;MATCH(CL$15,'Basin Weights'!$E:$E,0)+($N20-2022))</f>
        <v>0.18898603823256199</v>
      </c>
      <c r="CN20">
        <f t="shared" ca="1" si="5"/>
        <v>0.99999998999999995</v>
      </c>
      <c r="CO20">
        <f t="shared" ca="1" si="2"/>
        <v>1</v>
      </c>
      <c r="CP20">
        <f t="shared" ca="1" si="2"/>
        <v>0.99999999999999956</v>
      </c>
      <c r="CQ20">
        <f t="shared" ca="1" si="2"/>
        <v>1.0000000000000007</v>
      </c>
      <c r="CR20">
        <f t="shared" ca="1" si="2"/>
        <v>0.99999999999999933</v>
      </c>
      <c r="CS20">
        <f t="shared" ca="1" si="2"/>
        <v>0.99999998999999984</v>
      </c>
      <c r="CT20">
        <f t="shared" ca="1" si="2"/>
        <v>0.99999999999999956</v>
      </c>
      <c r="CU20">
        <f t="shared" ca="1" si="2"/>
        <v>0.99999999999999933</v>
      </c>
      <c r="CV20">
        <f t="shared" ca="1" si="2"/>
        <v>0.99999999999999956</v>
      </c>
      <c r="CW20">
        <f t="shared" ca="1" si="2"/>
        <v>1.0000000000000002</v>
      </c>
    </row>
    <row r="21" spans="2:101" x14ac:dyDescent="0.25">
      <c r="B21">
        <v>2027</v>
      </c>
      <c r="C21" s="69">
        <f>'Gas Supply Commodity Costs'!I7/'Conventional Supply Quantities'!I7</f>
        <v>4.0621731770899618</v>
      </c>
      <c r="D21" s="69">
        <f>'Gas Supply Commodity Costs'!J7/'Conventional Supply Quantities'!J7</f>
        <v>4.061130462192736</v>
      </c>
      <c r="E21" s="69">
        <f>'Gas Supply Commodity Costs'!K7/'Conventional Supply Quantities'!K7</f>
        <v>4.061278631871331</v>
      </c>
      <c r="F21" s="69">
        <f>'Gas Supply Commodity Costs'!L7/'Conventional Supply Quantities'!L7</f>
        <v>4.0546114229482404</v>
      </c>
      <c r="G21" s="69">
        <f>'Gas Supply Commodity Costs'!M7/'Conventional Supply Quantities'!M7</f>
        <v>4.0589485395525617</v>
      </c>
      <c r="H21" s="69">
        <f>'Gas Supply Commodity Costs'!N7/'Conventional Supply Quantities'!N7</f>
        <v>4.0595138253050651</v>
      </c>
      <c r="I21" s="69">
        <f>'Gas Supply Commodity Costs'!O7/'Conventional Supply Quantities'!O7</f>
        <v>4.0077182545059333</v>
      </c>
      <c r="J21" s="69">
        <f>'Gas Supply Commodity Costs'!P7/'Conventional Supply Quantities'!P7</f>
        <v>4.0612845624727116</v>
      </c>
      <c r="K21" s="69">
        <f>'Gas Supply Commodity Costs'!Q7/'Conventional Supply Quantities'!Q7</f>
        <v>4.0612845624787379</v>
      </c>
      <c r="L21" s="69">
        <f>'Gas Supply Commodity Costs'!R7/'Conventional Supply Quantities'!R7</f>
        <v>4.061210490614755</v>
      </c>
      <c r="N21">
        <v>2027</v>
      </c>
      <c r="O21" s="69">
        <f t="shared" ca="1" si="3"/>
        <v>1.8048454689317775E-2</v>
      </c>
      <c r="P21" s="69">
        <f t="shared" ca="1" si="0"/>
        <v>1.834659220347978E-2</v>
      </c>
      <c r="Q21" s="69">
        <f t="shared" ca="1" si="0"/>
        <v>1.8460544940534767E-2</v>
      </c>
      <c r="R21" s="69">
        <f t="shared" ca="1" si="0"/>
        <v>1.8461122132516817E-2</v>
      </c>
      <c r="S21" s="69">
        <f t="shared" ca="1" si="0"/>
        <v>1.8671785156763022E-2</v>
      </c>
      <c r="T21" s="69">
        <f t="shared" ca="1" si="0"/>
        <v>1.874046458616449E-2</v>
      </c>
      <c r="U21" s="69">
        <f t="shared" ca="1" si="0"/>
        <v>1.9803154097777553E-2</v>
      </c>
      <c r="V21" s="69">
        <f t="shared" ca="1" si="0"/>
        <v>1.8320480846305706E-2</v>
      </c>
      <c r="W21" s="69">
        <f t="shared" ca="1" si="0"/>
        <v>1.8320480846331474E-2</v>
      </c>
      <c r="X21" s="69">
        <f t="shared" ca="1" si="0"/>
        <v>1.8295386678559421E-2</v>
      </c>
      <c r="Z21" s="71">
        <f t="shared" ca="1" si="4"/>
        <v>2.2963783750971408E-2</v>
      </c>
      <c r="AA21" s="71">
        <f t="shared" ca="1" si="1"/>
        <v>2.3464737390380453E-2</v>
      </c>
      <c r="AB21" s="71">
        <f t="shared" ca="1" si="1"/>
        <v>2.3656209707887187E-2</v>
      </c>
      <c r="AC21" s="71">
        <f t="shared" ca="1" si="1"/>
        <v>2.3625748783097037E-2</v>
      </c>
      <c r="AD21" s="71">
        <f t="shared" ca="1" si="1"/>
        <v>2.4011152070810296E-2</v>
      </c>
      <c r="AE21" s="71">
        <f t="shared" ca="1" si="1"/>
        <v>2.4126552451135552E-2</v>
      </c>
      <c r="AF21" s="71">
        <f t="shared" ca="1" si="1"/>
        <v>2.5570656216349682E-2</v>
      </c>
      <c r="AG21" s="71">
        <f t="shared" ca="1" si="1"/>
        <v>2.3420863042114846E-2</v>
      </c>
      <c r="AH21" s="71">
        <f t="shared" ca="1" si="1"/>
        <v>2.3420863042158169E-2</v>
      </c>
      <c r="AI21" s="71">
        <f t="shared" ca="1" si="1"/>
        <v>2.3378697855227237E-2</v>
      </c>
      <c r="AK21" cm="1">
        <f t="array" aca="1" ref="AK21" ca="1">INDIRECT("'Basin Weights'!L"&amp;MATCH(AK$15,'Basin Weights'!$E:$E,0)+($N21-2022))*(1-INDIRECT("'Star Road Flow'!J"&amp;MATCH(AK$15,'Star Road Flow'!$E:$E,0)+($N21-2022)))</f>
        <v>0.41113803582777608</v>
      </c>
      <c r="AL21" cm="1">
        <f t="array" aca="1" ref="AL21" ca="1">INDIRECT("'Basin Weights'!L"&amp;MATCH(AL$15,'Basin Weights'!$E:$E,0)+($N21-2022))*(1-INDIRECT("'Star Road Flow'!J"&amp;MATCH(AL$15,'Star Road Flow'!$E:$E,0)+($N21-2022)))</f>
        <v>0.42547694628339344</v>
      </c>
      <c r="AM21" cm="1">
        <f t="array" aca="1" ref="AM21" ca="1">INDIRECT("'Basin Weights'!L"&amp;MATCH(AM$15,'Basin Weights'!$E:$E,0)+($N21-2022))*(1-INDIRECT("'Star Road Flow'!J"&amp;MATCH(AM$15,'Star Road Flow'!$E:$E,0)+($N21-2022)))</f>
        <v>0.43095750438617458</v>
      </c>
      <c r="AN21" cm="1">
        <f t="array" aca="1" ref="AN21" ca="1">INDIRECT("'Basin Weights'!L"&amp;MATCH(AN$15,'Basin Weights'!$E:$E,0)+($N21-2022))*(1-INDIRECT("'Star Road Flow'!J"&amp;MATCH(AN$15,'Star Road Flow'!$E:$E,0)+($N21-2022)))</f>
        <v>0.42968708005811967</v>
      </c>
      <c r="AO21" cm="1">
        <f t="array" aca="1" ref="AO21" ca="1">INDIRECT("'Basin Weights'!L"&amp;MATCH(AO$15,'Basin Weights'!$E:$E,0)+($N21-2022))*(1-INDIRECT("'Star Road Flow'!J"&amp;MATCH(AO$15,'Star Road Flow'!$E:$E,0)+($N21-2022)))</f>
        <v>0.44111710483635624</v>
      </c>
      <c r="AP21" cm="1">
        <f t="array" aca="1" ref="AP21" ca="1">INDIRECT("'Basin Weights'!L"&amp;MATCH(AP$15,'Basin Weights'!$E:$E,0)+($N21-2022))*(1-INDIRECT("'Star Road Flow'!J"&amp;MATCH(AP$15,'Star Road Flow'!$E:$E,0)+($N21-2022)))</f>
        <v>0.44442023398731878</v>
      </c>
      <c r="AQ21" cm="1">
        <f t="array" aca="1" ref="AQ21" ca="1">INDIRECT("'Basin Weights'!L"&amp;MATCH(AQ$15,'Basin Weights'!$E:$E,0)+($N21-2022))*(1-INDIRECT("'Star Road Flow'!J"&amp;MATCH(AQ$15,'Star Road Flow'!$E:$E,0)+($N21-2022)))</f>
        <v>0.48142490073976946</v>
      </c>
      <c r="AR21" cm="1">
        <f t="array" aca="1" ref="AR21" ca="1">INDIRECT("'Basin Weights'!L"&amp;MATCH(AR$15,'Basin Weights'!$E:$E,0)+($N21-2022))*(1-INDIRECT("'Star Road Flow'!J"&amp;MATCH(AR$15,'Star Road Flow'!$E:$E,0)+($N21-2022)))</f>
        <v>0.42422112028189884</v>
      </c>
      <c r="AS21" cm="1">
        <f t="array" aca="1" ref="AS21" ca="1">INDIRECT("'Basin Weights'!L"&amp;MATCH(AS$15,'Basin Weights'!$E:$E,0)+($N21-2022))*(1-INDIRECT("'Star Road Flow'!J"&amp;MATCH(AS$15,'Star Road Flow'!$E:$E,0)+($N21-2022)))</f>
        <v>0.42422112028313907</v>
      </c>
      <c r="AT21" cm="1">
        <f t="array" aca="1" ref="AT21" ca="1">INDIRECT("'Basin Weights'!L"&amp;MATCH(AT$15,'Basin Weights'!$E:$E,0)+($N21-2022))*(1-INDIRECT("'Star Road Flow'!J"&amp;MATCH(AT$15,'Star Road Flow'!$E:$E,0)+($N21-2022)))</f>
        <v>0.42301421601677469</v>
      </c>
      <c r="AV21" cm="1">
        <f t="array" aca="1" ref="AV21" ca="1">INDIRECT("'Basin Weights'!L"&amp;MATCH(AV$15,'Basin Weights'!$E:$E,0)+($N21-2022))*INDIRECT("'Star Road Flow'!J"&amp;MATCH(AV$15,'Star Road Flow'!$E:$E,0)+($N21-2022))</f>
        <v>1.385574417222391E-2</v>
      </c>
      <c r="AW21" cm="1">
        <f t="array" aca="1" ref="AW21" ca="1">INDIRECT("'Basin Weights'!L"&amp;MATCH(AW$15,'Basin Weights'!$E:$E,0)+($N21-2022))*INDIRECT("'Star Road Flow'!J"&amp;MATCH(AW$15,'Star Road Flow'!$E:$E,0)+($N21-2022))</f>
        <v>1.4338979138751517E-2</v>
      </c>
      <c r="AX21" cm="1">
        <f t="array" aca="1" ref="AX21" ca="1">INDIRECT("'Basin Weights'!L"&amp;MATCH(AX$15,'Basin Weights'!$E:$E,0)+($N21-2022))*INDIRECT("'Star Road Flow'!J"&amp;MATCH(AX$15,'Star Road Flow'!$E:$E,0)+($N21-2022))</f>
        <v>1.4523679177122458E-2</v>
      </c>
      <c r="AY21" cm="1">
        <f t="array" aca="1" ref="AY21" ca="1">INDIRECT("'Basin Weights'!L"&amp;MATCH(AY$15,'Basin Weights'!$E:$E,0)+($N21-2022))*INDIRECT("'Star Road Flow'!J"&amp;MATCH(AY$15,'Star Road Flow'!$E:$E,0)+($N21-2022))</f>
        <v>1.4540741457301359E-2</v>
      </c>
      <c r="AZ21" cm="1">
        <f t="array" aca="1" ref="AZ21" ca="1">INDIRECT("'Basin Weights'!L"&amp;MATCH(AZ$15,'Basin Weights'!$E:$E,0)+($N21-2022))*INDIRECT("'Star Road Flow'!J"&amp;MATCH(AZ$15,'Star Road Flow'!$E:$E,0)+($N21-2022))</f>
        <v>1.486606740799073E-2</v>
      </c>
      <c r="BA21" cm="1">
        <f t="array" aca="1" ref="BA21" ca="1">INDIRECT("'Basin Weights'!L"&amp;MATCH(BA$15,'Basin Weights'!$E:$E,0)+($N21-2022))*INDIRECT("'Star Road Flow'!J"&amp;MATCH(BA$15,'Star Road Flow'!$E:$E,0)+($N21-2022))</f>
        <v>1.4977386012681256E-2</v>
      </c>
      <c r="BB21" cm="1">
        <f t="array" aca="1" ref="BB21" ca="1">INDIRECT("'Basin Weights'!L"&amp;MATCH(BB$15,'Basin Weights'!$E:$E,0)+($N21-2022))*INDIRECT("'Star Road Flow'!J"&amp;MATCH(BB$15,'Star Road Flow'!$E:$E,0)+($N21-2022))</f>
        <v>1.6875069099440542E-2</v>
      </c>
      <c r="BC21" cm="1">
        <f t="array" aca="1" ref="BC21" ca="1">INDIRECT("'Basin Weights'!L"&amp;MATCH(BC$15,'Basin Weights'!$E:$E,0)+($N21-2022))*INDIRECT("'Star Road Flow'!J"&amp;MATCH(BC$15,'Star Road Flow'!$E:$E,0)+($N21-2022))</f>
        <v>1.4296656604018132E-2</v>
      </c>
      <c r="BD21" cm="1">
        <f t="array" aca="1" ref="BD21" ca="1">INDIRECT("'Basin Weights'!L"&amp;MATCH(BD$15,'Basin Weights'!$E:$E,0)+($N21-2022))*INDIRECT("'Star Road Flow'!J"&amp;MATCH(BD$15,'Star Road Flow'!$E:$E,0)+($N21-2022))</f>
        <v>1.429665660405993E-2</v>
      </c>
      <c r="BE21" cm="1">
        <f t="array" aca="1" ref="BE21" ca="1">INDIRECT("'Basin Weights'!L"&amp;MATCH(BE$15,'Basin Weights'!$E:$E,0)+($N21-2022))*INDIRECT("'Star Road Flow'!J"&amp;MATCH(BE$15,'Star Road Flow'!$E:$E,0)+($N21-2022))</f>
        <v>1.4255982778488326E-2</v>
      </c>
      <c r="BG21" cm="1">
        <f t="array" aca="1" ref="BG21" ca="1">INDIRECT("'Basin Weights'!M"&amp;MATCH(BG$15,'Basin Weights'!$E:$E,0)+($N21-2022))</f>
        <v>0.33760367000000002</v>
      </c>
      <c r="BH21" cm="1">
        <f t="array" aca="1" ref="BH21" ca="1">INDIRECT("'Basin Weights'!M"&amp;MATCH(BH$15,'Basin Weights'!$E:$E,0)+($N21-2022))</f>
        <v>0.34678267373465299</v>
      </c>
      <c r="BI21" cm="1">
        <f t="array" aca="1" ref="BI21" ca="1">INDIRECT("'Basin Weights'!M"&amp;MATCH(BI$15,'Basin Weights'!$E:$E,0)+($N21-2022))</f>
        <v>0.35002620832068299</v>
      </c>
      <c r="BJ21" cm="1">
        <f t="array" aca="1" ref="BJ21" ca="1">INDIRECT("'Basin Weights'!M"&amp;MATCH(BJ$15,'Basin Weights'!$E:$E,0)+($N21-2022))</f>
        <v>0.34497397617310199</v>
      </c>
      <c r="BK21" cm="1">
        <f t="array" aca="1" ref="BK21" ca="1">INDIRECT("'Basin Weights'!M"&amp;MATCH(BK$15,'Basin Weights'!$E:$E,0)+($N21-2022))</f>
        <v>0.354582495214187</v>
      </c>
      <c r="BL21" cm="1">
        <f t="array" aca="1" ref="BL21" ca="1">INDIRECT("'Basin Weights'!M"&amp;MATCH(BL$15,'Basin Weights'!$E:$E,0)+($N21-2022))</f>
        <v>0.35700506999999998</v>
      </c>
      <c r="BM21" cm="1">
        <f t="array" aca="1" ref="BM21" ca="1">INDIRECT("'Basin Weights'!M"&amp;MATCH(BM$15,'Basin Weights'!$E:$E,0)+($N21-2022))</f>
        <v>0.34422199914622997</v>
      </c>
      <c r="BN21" cm="1">
        <f t="array" aca="1" ref="BN21" ca="1">INDIRECT("'Basin Weights'!M"&amp;MATCH(BN$15,'Basin Weights'!$E:$E,0)+($N21-2022))</f>
        <v>0.34555331483825202</v>
      </c>
      <c r="BO21" cm="1">
        <f t="array" aca="1" ref="BO21" ca="1">INDIRECT("'Basin Weights'!M"&amp;MATCH(BO$15,'Basin Weights'!$E:$E,0)+($N21-2022))</f>
        <v>0.34555331483926299</v>
      </c>
      <c r="BP21" cm="1">
        <f t="array" aca="1" ref="BP21" ca="1">INDIRECT("'Basin Weights'!M"&amp;MATCH(BP$15,'Basin Weights'!$E:$E,0)+($N21-2022))</f>
        <v>0.34483469444724002</v>
      </c>
      <c r="BR21" cm="1">
        <f t="array" aca="1" ref="BR21" ca="1">INDIRECT("'Basin Weights'!N"&amp;MATCH(BR$15,'Basin Weights'!$E:$E,0)+($N21-2022))</f>
        <v>0.1245428</v>
      </c>
      <c r="BS21" cm="1">
        <f t="array" aca="1" ref="BS21" ca="1">INDIRECT("'Basin Weights'!N"&amp;MATCH(BS$15,'Basin Weights'!$E:$E,0)+($N21-2022))</f>
        <v>9.6605543339488203E-2</v>
      </c>
      <c r="BT21" cm="1">
        <f t="array" aca="1" ref="BT21" ca="1">INDIRECT("'Basin Weights'!N"&amp;MATCH(BT$15,'Basin Weights'!$E:$E,0)+($N21-2022))</f>
        <v>8.61923060382698E-2</v>
      </c>
      <c r="BU21" cm="1">
        <f t="array" aca="1" ref="BU21" ca="1">INDIRECT("'Basin Weights'!N"&amp;MATCH(BU$15,'Basin Weights'!$E:$E,0)+($N21-2022))</f>
        <v>9.2358922164005902E-2</v>
      </c>
      <c r="BV21" cm="1">
        <f t="array" aca="1" ref="BV21" ca="1">INDIRECT("'Basin Weights'!N"&amp;MATCH(BV$15,'Basin Weights'!$E:$E,0)+($N21-2022))</f>
        <v>6.8345161978973404E-2</v>
      </c>
      <c r="BW21" cm="1">
        <f t="array" aca="1" ref="BW21" ca="1">INDIRECT("'Basin Weights'!N"&amp;MATCH(BW$15,'Basin Weights'!$E:$E,0)+($N21-2022))</f>
        <v>6.1601419999999997E-2</v>
      </c>
      <c r="BX21" cm="1">
        <f t="array" aca="1" ref="BX21" ca="1">INDIRECT("'Basin Weights'!N"&amp;MATCH(BX$15,'Basin Weights'!$E:$E,0)+($N21-2022))</f>
        <v>2.0024859011715399E-2</v>
      </c>
      <c r="BY21" cm="1">
        <f t="array" aca="1" ref="BY21" ca="1">INDIRECT("'Basin Weights'!N"&amp;MATCH(BY$15,'Basin Weights'!$E:$E,0)+($N21-2022))</f>
        <v>9.9477782198815798E-2</v>
      </c>
      <c r="BZ21" cm="1">
        <f t="array" aca="1" ref="BZ21" ca="1">INDIRECT("'Basin Weights'!N"&amp;MATCH(BZ$15,'Basin Weights'!$E:$E,0)+($N21-2022))</f>
        <v>9.9477782196183195E-2</v>
      </c>
      <c r="CA21" cm="1">
        <f t="array" aca="1" ref="CA21" ca="1">INDIRECT("'Basin Weights'!N"&amp;MATCH(CA$15,'Basin Weights'!$E:$E,0)+($N21-2022))</f>
        <v>0.10177528281048399</v>
      </c>
      <c r="CC21" cm="1">
        <f t="array" aca="1" ref="CC21" ca="1">INDIRECT("'Basin Weights'!O"&amp;MATCH(CC$15,'Basin Weights'!$E:$E,0)+($N21-2022))</f>
        <v>0.11285974</v>
      </c>
      <c r="CD21" cm="1">
        <f t="array" aca="1" ref="CD21" ca="1">INDIRECT("'Basin Weights'!O"&amp;MATCH(CD$15,'Basin Weights'!$E:$E,0)+($N21-2022))</f>
        <v>0.116795857503714</v>
      </c>
      <c r="CE21" cm="1">
        <f t="array" aca="1" ref="CE21" ca="1">INDIRECT("'Basin Weights'!O"&amp;MATCH(CE$15,'Basin Weights'!$E:$E,0)+($N21-2022))</f>
        <v>0.11830030207775</v>
      </c>
      <c r="CF21" cm="1">
        <f t="array" aca="1" ref="CF21" ca="1">INDIRECT("'Basin Weights'!O"&amp;MATCH(CF$15,'Basin Weights'!$E:$E,0)+($N21-2022))</f>
        <v>0.118439280147471</v>
      </c>
      <c r="CG21" cm="1">
        <f t="array" aca="1" ref="CG21" ca="1">INDIRECT("'Basin Weights'!O"&amp;MATCH(CG$15,'Basin Weights'!$E:$E,0)+($N21-2022))</f>
        <v>0.12108917056249199</v>
      </c>
      <c r="CH21" cm="1">
        <f t="array" aca="1" ref="CH21" ca="1">INDIRECT("'Basin Weights'!O"&amp;MATCH(CH$15,'Basin Weights'!$E:$E,0)+($N21-2022))</f>
        <v>0.1219959</v>
      </c>
      <c r="CI21" cm="1">
        <f t="array" aca="1" ref="CI21" ca="1">INDIRECT("'Basin Weights'!O"&amp;MATCH(CI$15,'Basin Weights'!$E:$E,0)+($N21-2022))</f>
        <v>0.13745317200284399</v>
      </c>
      <c r="CJ21" cm="1">
        <f t="array" aca="1" ref="CJ21" ca="1">INDIRECT("'Basin Weights'!O"&amp;MATCH(CJ$15,'Basin Weights'!$E:$E,0)+($N21-2022))</f>
        <v>0.11645112607701499</v>
      </c>
      <c r="CK21" cm="1">
        <f t="array" aca="1" ref="CK21" ca="1">INDIRECT("'Basin Weights'!O"&amp;MATCH(CK$15,'Basin Weights'!$E:$E,0)+($N21-2022))</f>
        <v>0.116451126077355</v>
      </c>
      <c r="CL21" cm="1">
        <f t="array" aca="1" ref="CL21" ca="1">INDIRECT("'Basin Weights'!O"&amp;MATCH(CL$15,'Basin Weights'!$E:$E,0)+($N21-2022))</f>
        <v>0.11611982394701301</v>
      </c>
      <c r="CN21">
        <f t="shared" ca="1" si="5"/>
        <v>0.99999998999999995</v>
      </c>
      <c r="CO21">
        <f t="shared" ca="1" si="2"/>
        <v>1.0000000000000002</v>
      </c>
      <c r="CP21">
        <f t="shared" ca="1" si="2"/>
        <v>0.99999999999999978</v>
      </c>
      <c r="CQ21">
        <f t="shared" ca="1" si="2"/>
        <v>0.99999999999999978</v>
      </c>
      <c r="CR21">
        <f t="shared" ca="1" si="2"/>
        <v>0.99999999999999933</v>
      </c>
      <c r="CS21">
        <f t="shared" ca="1" si="2"/>
        <v>1.0000000099999999</v>
      </c>
      <c r="CT21">
        <f t="shared" ca="1" si="2"/>
        <v>0.99999999999999933</v>
      </c>
      <c r="CU21">
        <f t="shared" ca="1" si="2"/>
        <v>0.99999999999999978</v>
      </c>
      <c r="CV21">
        <f t="shared" ca="1" si="2"/>
        <v>1</v>
      </c>
      <c r="CW21">
        <f t="shared" ca="1" si="2"/>
        <v>1</v>
      </c>
    </row>
    <row r="22" spans="2:101" x14ac:dyDescent="0.25">
      <c r="B22">
        <v>2028</v>
      </c>
      <c r="C22" s="69">
        <f>'Gas Supply Commodity Costs'!I8/'Conventional Supply Quantities'!I8</f>
        <v>3.9383419116183824</v>
      </c>
      <c r="D22" s="69">
        <f>'Gas Supply Commodity Costs'!J8/'Conventional Supply Quantities'!J8</f>
        <v>3.9254973601276908</v>
      </c>
      <c r="E22" s="69">
        <f>'Gas Supply Commodity Costs'!K8/'Conventional Supply Quantities'!K8</f>
        <v>3.9248321004800935</v>
      </c>
      <c r="F22" s="69">
        <f>'Gas Supply Commodity Costs'!L8/'Conventional Supply Quantities'!L8</f>
        <v>3.9014295942434534</v>
      </c>
      <c r="G22" s="69">
        <f>'Gas Supply Commodity Costs'!M8/'Conventional Supply Quantities'!M8</f>
        <v>3.9279536437765632</v>
      </c>
      <c r="H22" s="69">
        <f>'Gas Supply Commodity Costs'!N8/'Conventional Supply Quantities'!N8</f>
        <v>3.9254517834931737</v>
      </c>
      <c r="I22" s="69">
        <f>'Gas Supply Commodity Costs'!O8/'Conventional Supply Quantities'!O8</f>
        <v>3.8447708999629091</v>
      </c>
      <c r="J22" s="69">
        <f>'Gas Supply Commodity Costs'!P8/'Conventional Supply Quantities'!P8</f>
        <v>3.934067523779865</v>
      </c>
      <c r="K22" s="69">
        <f>'Gas Supply Commodity Costs'!Q8/'Conventional Supply Quantities'!Q8</f>
        <v>3.9340675237971556</v>
      </c>
      <c r="L22" s="69">
        <f>'Gas Supply Commodity Costs'!R8/'Conventional Supply Quantities'!R8</f>
        <v>3.9310633496817058</v>
      </c>
      <c r="N22">
        <v>2028</v>
      </c>
      <c r="O22" s="69">
        <f t="shared" ca="1" si="3"/>
        <v>1.7942467575651586E-2</v>
      </c>
      <c r="P22" s="69">
        <f t="shared" ca="1" si="0"/>
        <v>1.8422475442595794E-2</v>
      </c>
      <c r="Q22" s="69">
        <f t="shared" ca="1" si="0"/>
        <v>1.8553869978711352E-2</v>
      </c>
      <c r="R22" s="69">
        <f t="shared" ca="1" si="0"/>
        <v>1.8666750379955511E-2</v>
      </c>
      <c r="S22" s="69">
        <f t="shared" ca="1" si="0"/>
        <v>1.8747172380712756E-2</v>
      </c>
      <c r="T22" s="69">
        <f t="shared" ca="1" si="0"/>
        <v>1.8873898549819749E-2</v>
      </c>
      <c r="U22" s="69">
        <f t="shared" ca="1" si="0"/>
        <v>2.0229440684273049E-2</v>
      </c>
      <c r="V22" s="69">
        <f t="shared" ca="1" si="0"/>
        <v>1.8316036928773684E-2</v>
      </c>
      <c r="W22" s="69">
        <f t="shared" ca="1" si="0"/>
        <v>1.8316036928850723E-2</v>
      </c>
      <c r="X22" s="69">
        <f t="shared" ca="1" si="0"/>
        <v>1.8302153997792482E-2</v>
      </c>
      <c r="Z22" s="71">
        <f t="shared" ca="1" si="4"/>
        <v>2.2787746215016304E-2</v>
      </c>
      <c r="AA22" s="71">
        <f t="shared" ca="1" si="1"/>
        <v>2.3571436060352311E-2</v>
      </c>
      <c r="AB22" s="71">
        <f t="shared" ca="1" si="1"/>
        <v>2.3782959818787097E-2</v>
      </c>
      <c r="AC22" s="71">
        <f t="shared" ca="1" si="1"/>
        <v>2.3743854529649812E-2</v>
      </c>
      <c r="AD22" s="71">
        <f t="shared" ca="1" si="1"/>
        <v>2.4140069857660439E-2</v>
      </c>
      <c r="AE22" s="71">
        <f t="shared" ca="1" si="1"/>
        <v>2.4352133111945888E-2</v>
      </c>
      <c r="AF22" s="71">
        <f t="shared" ca="1" si="1"/>
        <v>2.6140591127641777E-2</v>
      </c>
      <c r="AG22" s="71">
        <f t="shared" ca="1" si="1"/>
        <v>2.3415537561147667E-2</v>
      </c>
      <c r="AH22" s="71">
        <f t="shared" ca="1" si="1"/>
        <v>2.3415537561277153E-2</v>
      </c>
      <c r="AI22" s="71">
        <f t="shared" ca="1" si="1"/>
        <v>2.3392207000367041E-2</v>
      </c>
      <c r="AK22" cm="1">
        <f t="array" aca="1" ref="AK22" ca="1">INDIRECT("'Basin Weights'!L"&amp;MATCH(AK$15,'Basin Weights'!$E:$E,0)+($N22-2022))*(1-INDIRECT("'Star Road Flow'!J"&amp;MATCH(AK$15,'Star Road Flow'!$E:$E,0)+($N22-2022)))</f>
        <v>0.40612526773270824</v>
      </c>
      <c r="AL22" cm="1">
        <f t="array" aca="1" ref="AL22" ca="1">INDIRECT("'Basin Weights'!L"&amp;MATCH(AL$15,'Basin Weights'!$E:$E,0)+($N22-2022))*(1-INDIRECT("'Star Road Flow'!J"&amp;MATCH(AL$15,'Star Road Flow'!$E:$E,0)+($N22-2022)))</f>
        <v>0.42826718952392961</v>
      </c>
      <c r="AM22" cm="1">
        <f t="array" aca="1" ref="AM22" ca="1">INDIRECT("'Basin Weights'!L"&amp;MATCH(AM$15,'Basin Weights'!$E:$E,0)+($N22-2022))*(1-INDIRECT("'Star Road Flow'!J"&amp;MATCH(AM$15,'Star Road Flow'!$E:$E,0)+($N22-2022)))</f>
        <v>0.43420432576891455</v>
      </c>
      <c r="AN22" cm="1">
        <f t="array" aca="1" ref="AN22" ca="1">INDIRECT("'Basin Weights'!L"&amp;MATCH(AN$15,'Basin Weights'!$E:$E,0)+($N22-2022))*(1-INDIRECT("'Star Road Flow'!J"&amp;MATCH(AN$15,'Star Road Flow'!$E:$E,0)+($N22-2022)))</f>
        <v>0.43018418823038967</v>
      </c>
      <c r="AO22" cm="1">
        <f t="array" aca="1" ref="AO22" ca="1">INDIRECT("'Basin Weights'!L"&amp;MATCH(AO$15,'Basin Weights'!$E:$E,0)+($N22-2022))*(1-INDIRECT("'Star Road Flow'!J"&amp;MATCH(AO$15,'Star Road Flow'!$E:$E,0)+($N22-2022)))</f>
        <v>0.44483563166524931</v>
      </c>
      <c r="AP22" cm="1">
        <f t="array" aca="1" ref="AP22" ca="1">INDIRECT("'Basin Weights'!L"&amp;MATCH(AP$15,'Basin Weights'!$E:$E,0)+($N22-2022))*(1-INDIRECT("'Star Road Flow'!J"&amp;MATCH(AP$15,'Star Road Flow'!$E:$E,0)+($N22-2022)))</f>
        <v>0.45089451207848152</v>
      </c>
      <c r="AQ22" cm="1">
        <f t="array" aca="1" ref="AQ22" ca="1">INDIRECT("'Basin Weights'!L"&amp;MATCH(AQ$15,'Basin Weights'!$E:$E,0)+($N22-2022))*(1-INDIRECT("'Star Road Flow'!J"&amp;MATCH(AQ$15,'Star Road Flow'!$E:$E,0)+($N22-2022)))</f>
        <v>0.49588266525636576</v>
      </c>
      <c r="AR22" cm="1">
        <f t="array" aca="1" ref="AR22" ca="1">INDIRECT("'Basin Weights'!L"&amp;MATCH(AR$15,'Basin Weights'!$E:$E,0)+($N22-2022))*(1-INDIRECT("'Star Road Flow'!J"&amp;MATCH(AR$15,'Star Road Flow'!$E:$E,0)+($N22-2022)))</f>
        <v>0.4240958419002594</v>
      </c>
      <c r="AS22" cm="1">
        <f t="array" aca="1" ref="AS22" ca="1">INDIRECT("'Basin Weights'!L"&amp;MATCH(AS$15,'Basin Weights'!$E:$E,0)+($N22-2022))*(1-INDIRECT("'Star Road Flow'!J"&amp;MATCH(AS$15,'Star Road Flow'!$E:$E,0)+($N22-2022)))</f>
        <v>0.42409584190396649</v>
      </c>
      <c r="AT22" cm="1">
        <f t="array" aca="1" ref="AT22" ca="1">INDIRECT("'Basin Weights'!L"&amp;MATCH(AT$15,'Basin Weights'!$E:$E,0)+($N22-2022))*(1-INDIRECT("'Star Road Flow'!J"&amp;MATCH(AT$15,'Star Road Flow'!$E:$E,0)+($N22-2022)))</f>
        <v>0.42342800289843896</v>
      </c>
      <c r="AV22" cm="1">
        <f t="array" aca="1" ref="AV22" ca="1">INDIRECT("'Basin Weights'!L"&amp;MATCH(AV$15,'Basin Weights'!$E:$E,0)+($N22-2022))*INDIRECT("'Star Road Flow'!J"&amp;MATCH(AV$15,'Star Road Flow'!$E:$E,0)+($N22-2022))</f>
        <v>1.3682902267291757E-2</v>
      </c>
      <c r="AW22" cm="1">
        <f t="array" aca="1" ref="AW22" ca="1">INDIRECT("'Basin Weights'!L"&amp;MATCH(AW$15,'Basin Weights'!$E:$E,0)+($N22-2022))*INDIRECT("'Star Road Flow'!J"&amp;MATCH(AW$15,'Star Road Flow'!$E:$E,0)+($N22-2022))</f>
        <v>1.4472649769974368E-2</v>
      </c>
      <c r="AX22" cm="1">
        <f t="array" aca="1" ref="AX22" ca="1">INDIRECT("'Basin Weights'!L"&amp;MATCH(AX$15,'Basin Weights'!$E:$E,0)+($N22-2022))*INDIRECT("'Star Road Flow'!J"&amp;MATCH(AX$15,'Star Road Flow'!$E:$E,0)+($N22-2022))</f>
        <v>1.4690369262319466E-2</v>
      </c>
      <c r="AY22" cm="1">
        <f t="array" aca="1" ref="AY22" ca="1">INDIRECT("'Basin Weights'!L"&amp;MATCH(AY$15,'Basin Weights'!$E:$E,0)+($N22-2022))*INDIRECT("'Star Road Flow'!J"&amp;MATCH(AY$15,'Star Road Flow'!$E:$E,0)+($N22-2022))</f>
        <v>1.4990713243928295E-2</v>
      </c>
      <c r="AZ22" cm="1">
        <f t="array" aca="1" ref="AZ22" ca="1">INDIRECT("'Basin Weights'!L"&amp;MATCH(AZ$15,'Basin Weights'!$E:$E,0)+($N22-2022))*INDIRECT("'Star Road Flow'!J"&amp;MATCH(AZ$15,'Star Road Flow'!$E:$E,0)+($N22-2022))</f>
        <v>1.4987106089371741E-2</v>
      </c>
      <c r="BA22" cm="1">
        <f t="array" aca="1" ref="BA22" ca="1">INDIRECT("'Basin Weights'!L"&amp;MATCH(BA$15,'Basin Weights'!$E:$E,0)+($N22-2022))*INDIRECT("'Star Road Flow'!J"&amp;MATCH(BA$15,'Star Road Flow'!$E:$E,0)+($N22-2022))</f>
        <v>1.5192957921518497E-2</v>
      </c>
      <c r="BB22" cm="1">
        <f t="array" aca="1" ref="BB22" ca="1">INDIRECT("'Basin Weights'!L"&amp;MATCH(BB$15,'Basin Weights'!$E:$E,0)+($N22-2022))*INDIRECT("'Star Road Flow'!J"&amp;MATCH(BB$15,'Star Road Flow'!$E:$E,0)+($N22-2022))</f>
        <v>1.7641102683351242E-2</v>
      </c>
      <c r="BC22" cm="1">
        <f t="array" aca="1" ref="BC22" ca="1">INDIRECT("'Basin Weights'!L"&amp;MATCH(BC$15,'Basin Weights'!$E:$E,0)+($N22-2022))*INDIRECT("'Star Road Flow'!J"&amp;MATCH(BC$15,'Star Road Flow'!$E:$E,0)+($N22-2022))</f>
        <v>1.4288354893754665E-2</v>
      </c>
      <c r="BD22" cm="1">
        <f t="array" aca="1" ref="BD22" ca="1">INDIRECT("'Basin Weights'!L"&amp;MATCH(BD$15,'Basin Weights'!$E:$E,0)+($N22-2022))*INDIRECT("'Star Road Flow'!J"&amp;MATCH(BD$15,'Star Road Flow'!$E:$E,0)+($N22-2022))</f>
        <v>1.4288354893879562E-2</v>
      </c>
      <c r="BE22" cm="1">
        <f t="array" aca="1" ref="BE22" ca="1">INDIRECT("'Basin Weights'!L"&amp;MATCH(BE$15,'Basin Weights'!$E:$E,0)+($N22-2022))*INDIRECT("'Star Road Flow'!J"&amp;MATCH(BE$15,'Star Road Flow'!$E:$E,0)+($N22-2022))</f>
        <v>1.4265854506514025E-2</v>
      </c>
      <c r="BG22" cm="1">
        <f t="array" aca="1" ref="BG22" ca="1">INDIRECT("'Basin Weights'!M"&amp;MATCH(BG$15,'Basin Weights'!$E:$E,0)+($N22-2022))</f>
        <v>0.38391565</v>
      </c>
      <c r="BH22" cm="1">
        <f t="array" aca="1" ref="BH22" ca="1">INDIRECT("'Basin Weights'!M"&amp;MATCH(BH$15,'Basin Weights'!$E:$E,0)+($N22-2022))</f>
        <v>0.39570647087781802</v>
      </c>
      <c r="BI22" cm="1">
        <f t="array" aca="1" ref="BI22" ca="1">INDIRECT("'Basin Weights'!M"&amp;MATCH(BI$15,'Basin Weights'!$E:$E,0)+($N22-2022))</f>
        <v>0.39669798336787998</v>
      </c>
      <c r="BJ22" cm="1">
        <f t="array" aca="1" ref="BJ22" ca="1">INDIRECT("'Basin Weights'!M"&amp;MATCH(BJ$15,'Basin Weights'!$E:$E,0)+($N22-2022))</f>
        <v>0.39597046149010701</v>
      </c>
      <c r="BK22" cm="1">
        <f t="array" aca="1" ref="BK22" ca="1">INDIRECT("'Basin Weights'!M"&amp;MATCH(BK$15,'Basin Weights'!$E:$E,0)+($N22-2022))</f>
        <v>0.38645379825113502</v>
      </c>
      <c r="BL22" cm="1">
        <f t="array" aca="1" ref="BL22" ca="1">INDIRECT("'Basin Weights'!M"&amp;MATCH(BL$15,'Basin Weights'!$E:$E,0)+($N22-2022))</f>
        <v>0.38029921999999999</v>
      </c>
      <c r="BM22" cm="1">
        <f t="array" aca="1" ref="BM22" ca="1">INDIRECT("'Basin Weights'!M"&amp;MATCH(BM$15,'Basin Weights'!$E:$E,0)+($N22-2022))</f>
        <v>0.32527631656133099</v>
      </c>
      <c r="BN22" cm="1">
        <f t="array" aca="1" ref="BN22" ca="1">INDIRECT("'Basin Weights'!M"&amp;MATCH(BN$15,'Basin Weights'!$E:$E,0)+($N22-2022))</f>
        <v>0.39510274730056399</v>
      </c>
      <c r="BO22" cm="1">
        <f t="array" aca="1" ref="BO22" ca="1">INDIRECT("'Basin Weights'!M"&amp;MATCH(BO$15,'Basin Weights'!$E:$E,0)+($N22-2022))</f>
        <v>0.39510274730693101</v>
      </c>
      <c r="BP22" cm="1">
        <f t="array" aca="1" ref="BP22" ca="1">INDIRECT("'Basin Weights'!M"&amp;MATCH(BP$15,'Basin Weights'!$E:$E,0)+($N22-2022))</f>
        <v>0.39347325393260202</v>
      </c>
      <c r="BR22" cm="1">
        <f t="array" aca="1" ref="BR22" ca="1">INDIRECT("'Basin Weights'!N"&amp;MATCH(BR$15,'Basin Weights'!$E:$E,0)+($N22-2022))</f>
        <v>8.4824289999999997E-2</v>
      </c>
      <c r="BS22" cm="1">
        <f t="array" aca="1" ref="BS22" ca="1">INDIRECT("'Basin Weights'!N"&amp;MATCH(BS$15,'Basin Weights'!$E:$E,0)+($N22-2022))</f>
        <v>4.3669039611808999E-2</v>
      </c>
      <c r="BT22" cm="1">
        <f t="array" aca="1" ref="BT22" ca="1">INDIRECT("'Basin Weights'!N"&amp;MATCH(BT$15,'Basin Weights'!$E:$E,0)+($N22-2022))</f>
        <v>3.4749272137777898E-2</v>
      </c>
      <c r="BU22" cm="1">
        <f t="array" aca="1" ref="BU22" ca="1">INDIRECT("'Basin Weights'!N"&amp;MATCH(BU$15,'Basin Weights'!$E:$E,0)+($N22-2022))</f>
        <v>3.6750183784985999E-2</v>
      </c>
      <c r="BV22" cm="1">
        <f t="array" aca="1" ref="BV22" ca="1">INDIRECT("'Basin Weights'!N"&amp;MATCH(BV$15,'Basin Weights'!$E:$E,0)+($N22-2022))</f>
        <v>3.1648392242660001E-2</v>
      </c>
      <c r="BW22" cm="1">
        <f t="array" aca="1" ref="BW22" ca="1">INDIRECT("'Basin Weights'!N"&amp;MATCH(BW$15,'Basin Weights'!$E:$E,0)+($N22-2022))</f>
        <v>2.9861510000000001E-2</v>
      </c>
      <c r="BX22" cm="1">
        <f t="array" aca="1" ref="BX22" ca="1">INDIRECT("'Basin Weights'!N"&amp;MATCH(BX$15,'Basin Weights'!$E:$E,0)+($N22-2022))</f>
        <v>1.7507139656696501E-2</v>
      </c>
      <c r="BY22" cm="1">
        <f t="array" aca="1" ref="BY22" ca="1">INDIRECT("'Basin Weights'!N"&amp;MATCH(BY$15,'Basin Weights'!$E:$E,0)+($N22-2022))</f>
        <v>5.0129550079426502E-2</v>
      </c>
      <c r="BZ22" cm="1">
        <f t="array" aca="1" ref="BZ22" ca="1">INDIRECT("'Basin Weights'!N"&amp;MATCH(BZ$15,'Basin Weights'!$E:$E,0)+($N22-2022))</f>
        <v>5.0129550068209697E-2</v>
      </c>
      <c r="CA22" cm="1">
        <f t="array" aca="1" ref="CA22" ca="1">INDIRECT("'Basin Weights'!N"&amp;MATCH(CA$15,'Basin Weights'!$E:$E,0)+($N22-2022))</f>
        <v>5.2632656136209502E-2</v>
      </c>
      <c r="CC22" cm="1">
        <f t="array" aca="1" ref="CC22" ca="1">INDIRECT("'Basin Weights'!O"&amp;MATCH(CC$15,'Basin Weights'!$E:$E,0)+($N22-2022))</f>
        <v>0.11145189</v>
      </c>
      <c r="CD22" cm="1">
        <f t="array" aca="1" ref="CD22" ca="1">INDIRECT("'Basin Weights'!O"&amp;MATCH(CD$15,'Basin Weights'!$E:$E,0)+($N22-2022))</f>
        <v>0.11788465021647</v>
      </c>
      <c r="CE22" cm="1">
        <f t="array" aca="1" ref="CE22" ca="1">INDIRECT("'Basin Weights'!O"&amp;MATCH(CE$15,'Basin Weights'!$E:$E,0)+($N22-2022))</f>
        <v>0.119658049463108</v>
      </c>
      <c r="CF22" cm="1">
        <f t="array" aca="1" ref="CF22" ca="1">INDIRECT("'Basin Weights'!O"&amp;MATCH(CF$15,'Basin Weights'!$E:$E,0)+($N22-2022))</f>
        <v>0.122104453250588</v>
      </c>
      <c r="CG22" cm="1">
        <f t="array" aca="1" ref="CG22" ca="1">INDIRECT("'Basin Weights'!O"&amp;MATCH(CG$15,'Basin Weights'!$E:$E,0)+($N22-2022))</f>
        <v>0.122075071751584</v>
      </c>
      <c r="CH22" cm="1">
        <f t="array" aca="1" ref="CH22" ca="1">INDIRECT("'Basin Weights'!O"&amp;MATCH(CH$15,'Basin Weights'!$E:$E,0)+($N22-2022))</f>
        <v>0.1237518</v>
      </c>
      <c r="CI22" cm="1">
        <f t="array" aca="1" ref="CI22" ca="1">INDIRECT("'Basin Weights'!O"&amp;MATCH(CI$15,'Basin Weights'!$E:$E,0)+($N22-2022))</f>
        <v>0.14369277584225501</v>
      </c>
      <c r="CJ22" cm="1">
        <f t="array" aca="1" ref="CJ22" ca="1">INDIRECT("'Basin Weights'!O"&amp;MATCH(CJ$15,'Basin Weights'!$E:$E,0)+($N22-2022))</f>
        <v>0.11638350582599501</v>
      </c>
      <c r="CK22" cm="1">
        <f t="array" aca="1" ref="CK22" ca="1">INDIRECT("'Basin Weights'!O"&amp;MATCH(CK$15,'Basin Weights'!$E:$E,0)+($N22-2022))</f>
        <v>0.116383505827012</v>
      </c>
      <c r="CL22" cm="1">
        <f t="array" aca="1" ref="CL22" ca="1">INDIRECT("'Basin Weights'!O"&amp;MATCH(CL$15,'Basin Weights'!$E:$E,0)+($N22-2022))</f>
        <v>0.116200232526236</v>
      </c>
      <c r="CN22">
        <f t="shared" ca="1" si="5"/>
        <v>1</v>
      </c>
      <c r="CO22">
        <f t="shared" ca="1" si="2"/>
        <v>1.0000000000000009</v>
      </c>
      <c r="CP22">
        <f t="shared" ca="1" si="2"/>
        <v>0.99999999999999989</v>
      </c>
      <c r="CQ22">
        <f t="shared" ca="1" si="2"/>
        <v>0.99999999999999911</v>
      </c>
      <c r="CR22">
        <f t="shared" ca="1" si="2"/>
        <v>1</v>
      </c>
      <c r="CS22">
        <f t="shared" ca="1" si="2"/>
        <v>1</v>
      </c>
      <c r="CT22">
        <f t="shared" ca="1" si="2"/>
        <v>0.99999999999999956</v>
      </c>
      <c r="CU22">
        <f t="shared" ca="1" si="2"/>
        <v>0.99999999999999956</v>
      </c>
      <c r="CV22">
        <f t="shared" ca="1" si="2"/>
        <v>0.99999999999999889</v>
      </c>
      <c r="CW22">
        <f t="shared" ca="1" si="2"/>
        <v>1.0000000000000004</v>
      </c>
    </row>
    <row r="23" spans="2:101" x14ac:dyDescent="0.25">
      <c r="B23">
        <v>2029</v>
      </c>
      <c r="C23" s="69">
        <f>'Gas Supply Commodity Costs'!I9/'Conventional Supply Quantities'!I9</f>
        <v>3.5958785999021954</v>
      </c>
      <c r="D23" s="69">
        <f>'Gas Supply Commodity Costs'!J9/'Conventional Supply Quantities'!J9</f>
        <v>3.5819499436111579</v>
      </c>
      <c r="E23" s="69">
        <f>'Gas Supply Commodity Costs'!K9/'Conventional Supply Quantities'!K9</f>
        <v>3.5827076737170578</v>
      </c>
      <c r="F23" s="69">
        <f>'Gas Supply Commodity Costs'!L9/'Conventional Supply Quantities'!L9</f>
        <v>3.5491561343951243</v>
      </c>
      <c r="G23" s="69">
        <f>'Gas Supply Commodity Costs'!M9/'Conventional Supply Quantities'!M9</f>
        <v>3.5794938005589549</v>
      </c>
      <c r="H23" s="69">
        <f>'Gas Supply Commodity Costs'!N9/'Conventional Supply Quantities'!N9</f>
        <v>3.5757776048767922</v>
      </c>
      <c r="I23" s="69">
        <f>'Gas Supply Commodity Costs'!O9/'Conventional Supply Quantities'!O9</f>
        <v>3.4828401063155949</v>
      </c>
      <c r="J23" s="69">
        <f>'Gas Supply Commodity Costs'!P9/'Conventional Supply Quantities'!P9</f>
        <v>3.5905909813793895</v>
      </c>
      <c r="K23" s="69">
        <f>'Gas Supply Commodity Costs'!Q9/'Conventional Supply Quantities'!Q9</f>
        <v>3.5905909813339232</v>
      </c>
      <c r="L23" s="69">
        <f>'Gas Supply Commodity Costs'!R9/'Conventional Supply Quantities'!R9</f>
        <v>3.5877800165161884</v>
      </c>
      <c r="N23">
        <v>2029</v>
      </c>
      <c r="O23" s="69">
        <f t="shared" ca="1" si="3"/>
        <v>1.7881805929482946E-2</v>
      </c>
      <c r="P23" s="69">
        <f t="shared" ca="1" si="0"/>
        <v>1.8479154220750665E-2</v>
      </c>
      <c r="Q23" s="69">
        <f t="shared" ca="1" si="0"/>
        <v>1.8617605935629587E-2</v>
      </c>
      <c r="R23" s="69">
        <f t="shared" ca="1" si="0"/>
        <v>1.8874441393213072E-2</v>
      </c>
      <c r="S23" s="69">
        <f t="shared" ca="1" si="0"/>
        <v>1.8922040008607297E-2</v>
      </c>
      <c r="T23" s="69">
        <f t="shared" ca="1" si="0"/>
        <v>1.9106583742258383E-2</v>
      </c>
      <c r="U23" s="69">
        <f t="shared" ca="1" si="0"/>
        <v>2.0891542662912932E-2</v>
      </c>
      <c r="V23" s="69">
        <f t="shared" ca="1" si="0"/>
        <v>1.8363267239004288E-2</v>
      </c>
      <c r="W23" s="69">
        <f t="shared" ca="1" si="0"/>
        <v>1.8363267238915695E-2</v>
      </c>
      <c r="X23" s="69">
        <f t="shared" ca="1" si="0"/>
        <v>1.8338468368139647E-2</v>
      </c>
      <c r="Z23" s="71">
        <f t="shared" ca="1" si="4"/>
        <v>2.2427589475154209E-2</v>
      </c>
      <c r="AA23" s="71">
        <f t="shared" ca="1" si="1"/>
        <v>2.3428895815348853E-2</v>
      </c>
      <c r="AB23" s="71">
        <f t="shared" ca="1" si="1"/>
        <v>2.3679278808887663E-2</v>
      </c>
      <c r="AC23" s="71">
        <f t="shared" ca="1" si="1"/>
        <v>2.3885726322426182E-2</v>
      </c>
      <c r="AD23" s="71">
        <f t="shared" ca="1" si="1"/>
        <v>2.4253053672631929E-2</v>
      </c>
      <c r="AE23" s="71">
        <f t="shared" ca="1" si="1"/>
        <v>2.4555493307368278E-2</v>
      </c>
      <c r="AF23" s="71">
        <f t="shared" ca="1" si="1"/>
        <v>2.7156413057162224E-2</v>
      </c>
      <c r="AG23" s="71">
        <f t="shared" ca="1" si="1"/>
        <v>2.3284380921099791E-2</v>
      </c>
      <c r="AH23" s="71">
        <f t="shared" ca="1" si="1"/>
        <v>2.3284380921005553E-2</v>
      </c>
      <c r="AI23" s="71">
        <f t="shared" ca="1" si="1"/>
        <v>2.3212125499406992E-2</v>
      </c>
      <c r="AK23" cm="1">
        <f t="array" aca="1" ref="AK23" ca="1">INDIRECT("'Basin Weights'!L"&amp;MATCH(AK$15,'Basin Weights'!$E:$E,0)+($N23-2022))*(1-INDIRECT("'Star Road Flow'!J"&amp;MATCH(AK$15,'Star Road Flow'!$E:$E,0)+($N23-2022)))</f>
        <v>0.39254214767248041</v>
      </c>
      <c r="AL23" cm="1">
        <f t="array" aca="1" ref="AL23" ca="1">INDIRECT("'Basin Weights'!L"&amp;MATCH(AL$15,'Basin Weights'!$E:$E,0)+($N23-2022))*(1-INDIRECT("'Star Road Flow'!J"&amp;MATCH(AL$15,'Star Road Flow'!$E:$E,0)+($N23-2022)))</f>
        <v>0.42117228333710605</v>
      </c>
      <c r="AM23" cm="1">
        <f t="array" aca="1" ref="AM23" ca="1">INDIRECT("'Basin Weights'!L"&amp;MATCH(AM$15,'Basin Weights'!$E:$E,0)+($N23-2022))*(1-INDIRECT("'Star Road Flow'!J"&amp;MATCH(AM$15,'Star Road Flow'!$E:$E,0)+($N23-2022)))</f>
        <v>0.42856406512359463</v>
      </c>
      <c r="AN23" cm="1">
        <f t="array" aca="1" ref="AN23" ca="1">INDIRECT("'Basin Weights'!L"&amp;MATCH(AN$15,'Basin Weights'!$E:$E,0)+($N23-2022))*(1-INDIRECT("'Star Road Flow'!J"&amp;MATCH(AN$15,'Star Road Flow'!$E:$E,0)+($N23-2022)))</f>
        <v>0.43161895669339645</v>
      </c>
      <c r="AO23" cm="1">
        <f t="array" aca="1" ref="AO23" ca="1">INDIRECT("'Basin Weights'!L"&amp;MATCH(AO$15,'Basin Weights'!$E:$E,0)+($N23-2022))*(1-INDIRECT("'Star Road Flow'!J"&amp;MATCH(AO$15,'Star Road Flow'!$E:$E,0)+($N23-2022)))</f>
        <v>0.44577655895401275</v>
      </c>
      <c r="AP23" cm="1">
        <f t="array" aca="1" ref="AP23" ca="1">INDIRECT("'Basin Weights'!L"&amp;MATCH(AP$15,'Basin Weights'!$E:$E,0)+($N23-2022))*(1-INDIRECT("'Star Road Flow'!J"&amp;MATCH(AP$15,'Star Road Flow'!$E:$E,0)+($N23-2022)))</f>
        <v>0.45433642152085069</v>
      </c>
      <c r="AQ23" cm="1">
        <f t="array" aca="1" ref="AQ23" ca="1">INDIRECT("'Basin Weights'!L"&amp;MATCH(AQ$15,'Basin Weights'!$E:$E,0)+($N23-2022))*(1-INDIRECT("'Star Road Flow'!J"&amp;MATCH(AQ$15,'Star Road Flow'!$E:$E,0)+($N23-2022)))</f>
        <v>0.52373272927542125</v>
      </c>
      <c r="AR23" cm="1">
        <f t="array" aca="1" ref="AR23" ca="1">INDIRECT("'Basin Weights'!L"&amp;MATCH(AR$15,'Basin Weights'!$E:$E,0)+($N23-2022))*(1-INDIRECT("'Star Road Flow'!J"&amp;MATCH(AR$15,'Star Road Flow'!$E:$E,0)+($N23-2022)))</f>
        <v>0.4176724167862611</v>
      </c>
      <c r="AS23" cm="1">
        <f t="array" aca="1" ref="AS23" ca="1">INDIRECT("'Basin Weights'!L"&amp;MATCH(AS$15,'Basin Weights'!$E:$E,0)+($N23-2022))*(1-INDIRECT("'Star Road Flow'!J"&amp;MATCH(AS$15,'Star Road Flow'!$E:$E,0)+($N23-2022)))</f>
        <v>0.41767241678417732</v>
      </c>
      <c r="AT23" cm="1">
        <f t="array" aca="1" ref="AT23" ca="1">INDIRECT("'Basin Weights'!L"&amp;MATCH(AT$15,'Basin Weights'!$E:$E,0)+($N23-2022))*(1-INDIRECT("'Star Road Flow'!J"&amp;MATCH(AT$15,'Star Road Flow'!$E:$E,0)+($N23-2022)))</f>
        <v>0.41521640470794241</v>
      </c>
      <c r="AV23" cm="1">
        <f t="array" aca="1" ref="AV23" ca="1">INDIRECT("'Basin Weights'!L"&amp;MATCH(AV$15,'Basin Weights'!$E:$E,0)+($N23-2022))*INDIRECT("'Star Road Flow'!J"&amp;MATCH(AV$15,'Star Road Flow'!$E:$E,0)+($N23-2022))</f>
        <v>1.371707232751956E-2</v>
      </c>
      <c r="AW23" cm="1">
        <f t="array" aca="1" ref="AW23" ca="1">INDIRECT("'Basin Weights'!L"&amp;MATCH(AW$15,'Basin Weights'!$E:$E,0)+($N23-2022))*INDIRECT("'Star Road Flow'!J"&amp;MATCH(AW$15,'Star Road Flow'!$E:$E,0)+($N23-2022))</f>
        <v>1.4686517566379936E-2</v>
      </c>
      <c r="AX23" cm="1">
        <f t="array" aca="1" ref="AX23" ca="1">INDIRECT("'Basin Weights'!L"&amp;MATCH(AX$15,'Basin Weights'!$E:$E,0)+($N23-2022))*INDIRECT("'Star Road Flow'!J"&amp;MATCH(AX$15,'Star Road Flow'!$E:$E,0)+($N23-2022))</f>
        <v>1.4901821682413373E-2</v>
      </c>
      <c r="AY23" cm="1">
        <f t="array" aca="1" ref="AY23" ca="1">INDIRECT("'Basin Weights'!L"&amp;MATCH(AY$15,'Basin Weights'!$E:$E,0)+($N23-2022))*INDIRECT("'Star Road Flow'!J"&amp;MATCH(AY$15,'Star Road Flow'!$E:$E,0)+($N23-2022))</f>
        <v>1.5433612766847536E-2</v>
      </c>
      <c r="AZ23" cm="1">
        <f t="array" aca="1" ref="AZ23" ca="1">INDIRECT("'Basin Weights'!L"&amp;MATCH(AZ$15,'Basin Weights'!$E:$E,0)+($N23-2022))*INDIRECT("'Star Road Flow'!J"&amp;MATCH(AZ$15,'Star Road Flow'!$E:$E,0)+($N23-2022))</f>
        <v>1.5363327938130257E-2</v>
      </c>
      <c r="BA23" cm="1">
        <f t="array" aca="1" ref="BA23" ca="1">INDIRECT("'Basin Weights'!L"&amp;MATCH(BA$15,'Basin Weights'!$E:$E,0)+($N23-2022))*INDIRECT("'Star Road Flow'!J"&amp;MATCH(BA$15,'Star Road Flow'!$E:$E,0)+($N23-2022))</f>
        <v>1.566636847914929E-2</v>
      </c>
      <c r="BB23" cm="1">
        <f t="array" aca="1" ref="BB23" ca="1">INDIRECT("'Basin Weights'!L"&amp;MATCH(BB$15,'Basin Weights'!$E:$E,0)+($N23-2022))*INDIRECT("'Star Road Flow'!J"&amp;MATCH(BB$15,'Star Road Flow'!$E:$E,0)+($N23-2022))</f>
        <v>1.8763881533778743E-2</v>
      </c>
      <c r="BC23" cm="1">
        <f t="array" aca="1" ref="BC23" ca="1">INDIRECT("'Basin Weights'!L"&amp;MATCH(BC$15,'Basin Weights'!$E:$E,0)+($N23-2022))*INDIRECT("'Star Road Flow'!J"&amp;MATCH(BC$15,'Star Road Flow'!$E:$E,0)+($N23-2022))</f>
        <v>1.4472921565274908E-2</v>
      </c>
      <c r="BD23" cm="1">
        <f t="array" aca="1" ref="BD23" ca="1">INDIRECT("'Basin Weights'!L"&amp;MATCH(BD$15,'Basin Weights'!$E:$E,0)+($N23-2022))*INDIRECT("'Star Road Flow'!J"&amp;MATCH(BD$15,'Star Road Flow'!$E:$E,0)+($N23-2022))</f>
        <v>1.4472921565202702E-2</v>
      </c>
      <c r="BE23" cm="1">
        <f t="array" aca="1" ref="BE23" ca="1">INDIRECT("'Basin Weights'!L"&amp;MATCH(BE$15,'Basin Weights'!$E:$E,0)+($N23-2022))*INDIRECT("'Star Road Flow'!J"&amp;MATCH(BE$15,'Star Road Flow'!$E:$E,0)+($N23-2022))</f>
        <v>1.4448419884393595E-2</v>
      </c>
      <c r="BG23" cm="1">
        <f t="array" aca="1" ref="BG23" ca="1">INDIRECT("'Basin Weights'!M"&amp;MATCH(BG$15,'Basin Weights'!$E:$E,0)+($N23-2022))</f>
        <v>0.38558513999999999</v>
      </c>
      <c r="BH23" cm="1">
        <f t="array" aca="1" ref="BH23" ca="1">INDIRECT("'Basin Weights'!M"&amp;MATCH(BH$15,'Basin Weights'!$E:$E,0)+($N23-2022))</f>
        <v>0.39967960879641401</v>
      </c>
      <c r="BI23" cm="1">
        <f t="array" aca="1" ref="BI23" ca="1">INDIRECT("'Basin Weights'!M"&amp;MATCH(BI$15,'Basin Weights'!$E:$E,0)+($N23-2022))</f>
        <v>0.39616216336996302</v>
      </c>
      <c r="BJ23" cm="1">
        <f t="array" aca="1" ref="BJ23" ca="1">INDIRECT("'Basin Weights'!M"&amp;MATCH(BJ$15,'Basin Weights'!$E:$E,0)+($N23-2022))</f>
        <v>0.39728241155015098</v>
      </c>
      <c r="BK23" cm="1">
        <f t="array" aca="1" ref="BK23" ca="1">INDIRECT("'Basin Weights'!M"&amp;MATCH(BK$15,'Basin Weights'!$E:$E,0)+($N23-2022))</f>
        <v>0.38352979930692199</v>
      </c>
      <c r="BL23" cm="1">
        <f t="array" aca="1" ref="BL23" ca="1">INDIRECT("'Basin Weights'!M"&amp;MATCH(BL$15,'Basin Weights'!$E:$E,0)+($N23-2022))</f>
        <v>0.37334195999999997</v>
      </c>
      <c r="BM23" cm="1">
        <f t="array" aca="1" ref="BM23" ca="1">INDIRECT("'Basin Weights'!M"&amp;MATCH(BM$15,'Basin Weights'!$E:$E,0)+($N23-2022))</f>
        <v>0.29097714446133199</v>
      </c>
      <c r="BN23" cm="1">
        <f t="array" aca="1" ref="BN23" ca="1">INDIRECT("'Basin Weights'!M"&amp;MATCH(BN$15,'Basin Weights'!$E:$E,0)+($N23-2022))</f>
        <v>0.39892436740403397</v>
      </c>
      <c r="BO23" cm="1">
        <f t="array" aca="1" ref="BO23" ca="1">INDIRECT("'Basin Weights'!M"&amp;MATCH(BO$15,'Basin Weights'!$E:$E,0)+($N23-2022))</f>
        <v>0.398924367402271</v>
      </c>
      <c r="BP23" cm="1">
        <f t="array" aca="1" ref="BP23" ca="1">INDIRECT("'Basin Weights'!M"&amp;MATCH(BP$15,'Basin Weights'!$E:$E,0)+($N23-2022))</f>
        <v>0.39716279945720101</v>
      </c>
      <c r="BR23" cm="1">
        <f t="array" aca="1" ref="BR23" ca="1">INDIRECT("'Basin Weights'!N"&amp;MATCH(BR$15,'Basin Weights'!$E:$E,0)+($N23-2022))</f>
        <v>9.6425419999999998E-2</v>
      </c>
      <c r="BS23" cm="1">
        <f t="array" aca="1" ref="BS23" ca="1">INDIRECT("'Basin Weights'!N"&amp;MATCH(BS$15,'Basin Weights'!$E:$E,0)+($N23-2022))</f>
        <v>4.4834914211426401E-2</v>
      </c>
      <c r="BT23" cm="1">
        <f t="array" aca="1" ref="BT23" ca="1">INDIRECT("'Basin Weights'!N"&amp;MATCH(BT$15,'Basin Weights'!$E:$E,0)+($N23-2022))</f>
        <v>3.8991548547180302E-2</v>
      </c>
      <c r="BU23" cm="1">
        <f t="array" aca="1" ref="BU23" ca="1">INDIRECT("'Basin Weights'!N"&amp;MATCH(BU$15,'Basin Weights'!$E:$E,0)+($N23-2022))</f>
        <v>2.99529986262803E-2</v>
      </c>
      <c r="BV23" cm="1">
        <f t="array" aca="1" ref="BV23" ca="1">INDIRECT("'Basin Weights'!N"&amp;MATCH(BV$15,'Basin Weights'!$E:$E,0)+($N23-2022))</f>
        <v>3.01907872511516E-2</v>
      </c>
      <c r="BW23" cm="1">
        <f t="array" aca="1" ref="BW23" ca="1">INDIRECT("'Basin Weights'!N"&amp;MATCH(BW$15,'Basin Weights'!$E:$E,0)+($N23-2022))</f>
        <v>2.9047360000000001E-2</v>
      </c>
      <c r="BX23" cm="1">
        <f t="array" aca="1" ref="BX23" ca="1">INDIRECT("'Basin Weights'!N"&amp;MATCH(BX$15,'Basin Weights'!$E:$E,0)+($N23-2022))</f>
        <v>1.3688053626267399E-2</v>
      </c>
      <c r="BY23" cm="1">
        <f t="array" aca="1" ref="BY23" ca="1">INDIRECT("'Basin Weights'!N"&amp;MATCH(BY$15,'Basin Weights'!$E:$E,0)+($N23-2022))</f>
        <v>5.1043430160457599E-2</v>
      </c>
      <c r="BZ23" cm="1">
        <f t="array" aca="1" ref="BZ23" ca="1">INDIRECT("'Basin Weights'!N"&amp;MATCH(BZ$15,'Basin Weights'!$E:$E,0)+($N23-2022))</f>
        <v>5.1043430165772299E-2</v>
      </c>
      <c r="CA23" cm="1">
        <f t="array" aca="1" ref="CA23" ca="1">INDIRECT("'Basin Weights'!N"&amp;MATCH(CA$15,'Basin Weights'!$E:$E,0)+($N23-2022))</f>
        <v>5.5485086385028699E-2</v>
      </c>
      <c r="CC23" cm="1">
        <f t="array" aca="1" ref="CC23" ca="1">INDIRECT("'Basin Weights'!O"&amp;MATCH(CC$15,'Basin Weights'!$E:$E,0)+($N23-2022))</f>
        <v>0.11173022000000001</v>
      </c>
      <c r="CD23" cm="1">
        <f t="array" aca="1" ref="CD23" ca="1">INDIRECT("'Basin Weights'!O"&amp;MATCH(CD$15,'Basin Weights'!$E:$E,0)+($N23-2022))</f>
        <v>0.119626676088673</v>
      </c>
      <c r="CE23" cm="1">
        <f t="array" aca="1" ref="CE23" ca="1">INDIRECT("'Basin Weights'!O"&amp;MATCH(CE$15,'Basin Weights'!$E:$E,0)+($N23-2022))</f>
        <v>0.121380401276849</v>
      </c>
      <c r="CF23" cm="1">
        <f t="array" aca="1" ref="CF23" ca="1">INDIRECT("'Basin Weights'!O"&amp;MATCH(CF$15,'Basin Weights'!$E:$E,0)+($N23-2022))</f>
        <v>0.12571202036332499</v>
      </c>
      <c r="CG23" cm="1">
        <f t="array" aca="1" ref="CG23" ca="1">INDIRECT("'Basin Weights'!O"&amp;MATCH(CG$15,'Basin Weights'!$E:$E,0)+($N23-2022))</f>
        <v>0.125139526549783</v>
      </c>
      <c r="CH23" cm="1">
        <f t="array" aca="1" ref="CH23" ca="1">INDIRECT("'Basin Weights'!O"&amp;MATCH(CH$15,'Basin Weights'!$E:$E,0)+($N23-2022))</f>
        <v>0.12760789</v>
      </c>
      <c r="CI23" cm="1">
        <f t="array" aca="1" ref="CI23" ca="1">INDIRECT("'Basin Weights'!O"&amp;MATCH(CI$15,'Basin Weights'!$E:$E,0)+($N23-2022))</f>
        <v>0.15283819110319999</v>
      </c>
      <c r="CJ23" cm="1">
        <f t="array" aca="1" ref="CJ23" ca="1">INDIRECT("'Basin Weights'!O"&amp;MATCH(CJ$15,'Basin Weights'!$E:$E,0)+($N23-2022))</f>
        <v>0.117886864083972</v>
      </c>
      <c r="CK23" cm="1">
        <f t="array" aca="1" ref="CK23" ca="1">INDIRECT("'Basin Weights'!O"&amp;MATCH(CK$15,'Basin Weights'!$E:$E,0)+($N23-2022))</f>
        <v>0.11788686408257699</v>
      </c>
      <c r="CL23" cm="1">
        <f t="array" aca="1" ref="CL23" ca="1">INDIRECT("'Basin Weights'!O"&amp;MATCH(CL$15,'Basin Weights'!$E:$E,0)+($N23-2022))</f>
        <v>0.11768728956543401</v>
      </c>
      <c r="CN23">
        <f t="shared" ca="1" si="5"/>
        <v>0.99999999999999989</v>
      </c>
      <c r="CO23">
        <f t="shared" ca="1" si="2"/>
        <v>0.99999999999999933</v>
      </c>
      <c r="CP23">
        <f t="shared" ca="1" si="2"/>
        <v>1.0000000000000002</v>
      </c>
      <c r="CQ23">
        <f t="shared" ca="1" si="2"/>
        <v>1.0000000000000002</v>
      </c>
      <c r="CR23">
        <f t="shared" ca="1" si="2"/>
        <v>0.99999999999999956</v>
      </c>
      <c r="CS23">
        <f t="shared" ca="1" si="2"/>
        <v>1</v>
      </c>
      <c r="CT23">
        <f t="shared" ca="1" si="2"/>
        <v>0.99999999999999933</v>
      </c>
      <c r="CU23">
        <f t="shared" ca="1" si="2"/>
        <v>0.99999999999999956</v>
      </c>
      <c r="CV23">
        <f t="shared" ca="1" si="2"/>
        <v>1.0000000000000004</v>
      </c>
      <c r="CW23">
        <f t="shared" ca="1" si="2"/>
        <v>0.99999999999999978</v>
      </c>
    </row>
    <row r="24" spans="2:101" x14ac:dyDescent="0.25">
      <c r="B24">
        <v>2030</v>
      </c>
      <c r="C24" s="69">
        <f>'Gas Supply Commodity Costs'!I10/'Conventional Supply Quantities'!I10</f>
        <v>3.3433890337660661</v>
      </c>
      <c r="D24" s="69">
        <f>'Gas Supply Commodity Costs'!J10/'Conventional Supply Quantities'!J10</f>
        <v>3.3262915997882057</v>
      </c>
      <c r="E24" s="69">
        <f>'Gas Supply Commodity Costs'!K10/'Conventional Supply Quantities'!K10</f>
        <v>3.3276063182305378</v>
      </c>
      <c r="F24" s="69">
        <f>'Gas Supply Commodity Costs'!L10/'Conventional Supply Quantities'!L10</f>
        <v>3.2902587639522096</v>
      </c>
      <c r="G24" s="69">
        <f>'Gas Supply Commodity Costs'!M10/'Conventional Supply Quantities'!M10</f>
        <v>3.3189526224800052</v>
      </c>
      <c r="H24" s="69">
        <f>'Gas Supply Commodity Costs'!N10/'Conventional Supply Quantities'!N10</f>
        <v>3.3123069203442252</v>
      </c>
      <c r="I24" s="69">
        <f>'Gas Supply Commodity Costs'!O10/'Conventional Supply Quantities'!O10</f>
        <v>3.2084035359609588</v>
      </c>
      <c r="J24" s="69">
        <f>'Gas Supply Commodity Costs'!P10/'Conventional Supply Quantities'!P10</f>
        <v>3.3344561771982217</v>
      </c>
      <c r="K24" s="69">
        <f>'Gas Supply Commodity Costs'!Q10/'Conventional Supply Quantities'!Q10</f>
        <v>3.3344561771325747</v>
      </c>
      <c r="L24" s="69">
        <f>'Gas Supply Commodity Costs'!R10/'Conventional Supply Quantities'!R10</f>
        <v>3.3328266286863877</v>
      </c>
      <c r="N24">
        <v>2030</v>
      </c>
      <c r="O24" s="69">
        <f t="shared" ca="1" si="3"/>
        <v>1.7835703560189251E-2</v>
      </c>
      <c r="P24" s="69">
        <f t="shared" ca="1" si="0"/>
        <v>1.8545269813127787E-2</v>
      </c>
      <c r="Q24" s="69">
        <f t="shared" ca="1" si="0"/>
        <v>1.8683613402477529E-2</v>
      </c>
      <c r="R24" s="69">
        <f t="shared" ca="1" si="0"/>
        <v>1.9033042271149402E-2</v>
      </c>
      <c r="S24" s="69">
        <f t="shared" ca="1" si="0"/>
        <v>1.907698965426113E-2</v>
      </c>
      <c r="T24" s="69">
        <f t="shared" ca="1" si="0"/>
        <v>1.9329362346742214E-2</v>
      </c>
      <c r="U24" s="69">
        <f t="shared" ca="1" si="0"/>
        <v>2.1467520553949994E-2</v>
      </c>
      <c r="V24" s="69">
        <f t="shared" ca="1" si="0"/>
        <v>1.8426094956788087E-2</v>
      </c>
      <c r="W24" s="69">
        <f t="shared" ca="1" si="0"/>
        <v>1.8426094956852081E-2</v>
      </c>
      <c r="X24" s="69">
        <f t="shared" ca="1" si="0"/>
        <v>1.8379806217135988E-2</v>
      </c>
      <c r="Z24" s="71">
        <f t="shared" ca="1" si="4"/>
        <v>2.2334033386308783E-2</v>
      </c>
      <c r="AA24" s="71">
        <f t="shared" ca="1" si="1"/>
        <v>2.351176268561754E-2</v>
      </c>
      <c r="AB24" s="71">
        <f t="shared" ca="1" si="1"/>
        <v>2.3768205599285667E-2</v>
      </c>
      <c r="AC24" s="71">
        <f t="shared" ca="1" si="1"/>
        <v>2.4074628864265576E-2</v>
      </c>
      <c r="AD24" s="71">
        <f t="shared" ca="1" si="1"/>
        <v>2.4463749920036401E-2</v>
      </c>
      <c r="AE24" s="71">
        <f t="shared" ca="1" si="1"/>
        <v>2.4869794747038786E-2</v>
      </c>
      <c r="AF24" s="71">
        <f t="shared" ca="1" si="1"/>
        <v>2.7970319001979896E-2</v>
      </c>
      <c r="AG24" s="71">
        <f t="shared" ca="1" si="1"/>
        <v>2.336459522278202E-2</v>
      </c>
      <c r="AH24" s="71">
        <f t="shared" ca="1" si="1"/>
        <v>2.3364595222835214E-2</v>
      </c>
      <c r="AI24" s="71">
        <f t="shared" ca="1" si="1"/>
        <v>2.3259410012909078E-2</v>
      </c>
      <c r="AK24" cm="1">
        <f t="array" aca="1" ref="AK24" ca="1">INDIRECT("'Basin Weights'!L"&amp;MATCH(AK$15,'Basin Weights'!$E:$E,0)+($N24-2022))*(1-INDIRECT("'Star Road Flow'!J"&amp;MATCH(AK$15,'Star Road Flow'!$E:$E,0)+($N24-2022)))</f>
        <v>0.38966023506758951</v>
      </c>
      <c r="AL24" cm="1">
        <f t="array" aca="1" ref="AL24" ca="1">INDIRECT("'Basin Weights'!L"&amp;MATCH(AL$15,'Basin Weights'!$E:$E,0)+($N24-2022))*(1-INDIRECT("'Star Road Flow'!J"&amp;MATCH(AL$15,'Star Road Flow'!$E:$E,0)+($N24-2022)))</f>
        <v>0.42318630675646934</v>
      </c>
      <c r="AM24" cm="1">
        <f t="array" aca="1" ref="AM24" ca="1">INDIRECT("'Basin Weights'!L"&amp;MATCH(AM$15,'Basin Weights'!$E:$E,0)+($N24-2022))*(1-INDIRECT("'Star Road Flow'!J"&amp;MATCH(AM$15,'Star Road Flow'!$E:$E,0)+($N24-2022)))</f>
        <v>0.43083068497067745</v>
      </c>
      <c r="AN24" cm="1">
        <f t="array" aca="1" ref="AN24" ca="1">INDIRECT("'Basin Weights'!L"&amp;MATCH(AN$15,'Basin Weights'!$E:$E,0)+($N24-2022))*(1-INDIRECT("'Star Road Flow'!J"&amp;MATCH(AN$15,'Star Road Flow'!$E:$E,0)+($N24-2022)))</f>
        <v>0.43604212476439436</v>
      </c>
      <c r="AO24" cm="1">
        <f t="array" aca="1" ref="AO24" ca="1">INDIRECT("'Basin Weights'!L"&amp;MATCH(AO$15,'Basin Weights'!$E:$E,0)+($N24-2022))*(1-INDIRECT("'Star Road Flow'!J"&amp;MATCH(AO$15,'Star Road Flow'!$E:$E,0)+($N24-2022)))</f>
        <v>0.45117766331378129</v>
      </c>
      <c r="AP24" cm="1">
        <f t="array" aca="1" ref="AP24" ca="1">INDIRECT("'Basin Weights'!L"&amp;MATCH(AP$15,'Basin Weights'!$E:$E,0)+($N24-2022))*(1-INDIRECT("'Star Road Flow'!J"&amp;MATCH(AP$15,'Star Road Flow'!$E:$E,0)+($N24-2022)))</f>
        <v>0.46257160133650449</v>
      </c>
      <c r="AQ24" cm="1">
        <f t="array" aca="1" ref="AQ24" ca="1">INDIRECT("'Basin Weights'!L"&amp;MATCH(AQ$15,'Basin Weights'!$E:$E,0)+($N24-2022))*(1-INDIRECT("'Star Road Flow'!J"&amp;MATCH(AQ$15,'Star Road Flow'!$E:$E,0)+($N24-2022)))</f>
        <v>0.54507797752679199</v>
      </c>
      <c r="AR24" cm="1">
        <f t="array" aca="1" ref="AR24" ca="1">INDIRECT("'Basin Weights'!L"&amp;MATCH(AR$15,'Basin Weights'!$E:$E,0)+($N24-2022))*(1-INDIRECT("'Star Road Flow'!J"&amp;MATCH(AR$15,'Star Road Flow'!$E:$E,0)+($N24-2022)))</f>
        <v>0.41964693100586298</v>
      </c>
      <c r="AS24" cm="1">
        <f t="array" aca="1" ref="AS24" ca="1">INDIRECT("'Basin Weights'!L"&amp;MATCH(AS$15,'Basin Weights'!$E:$E,0)+($N24-2022))*(1-INDIRECT("'Star Road Flow'!J"&amp;MATCH(AS$15,'Star Road Flow'!$E:$E,0)+($N24-2022)))</f>
        <v>0.41964693100693928</v>
      </c>
      <c r="AT24" cm="1">
        <f t="array" aca="1" ref="AT24" ca="1">INDIRECT("'Basin Weights'!L"&amp;MATCH(AT$15,'Basin Weights'!$E:$E,0)+($N24-2022))*(1-INDIRECT("'Star Road Flow'!J"&amp;MATCH(AT$15,'Star Road Flow'!$E:$E,0)+($N24-2022)))</f>
        <v>0.41628867278613951</v>
      </c>
      <c r="AV24" cm="1">
        <f t="array" aca="1" ref="AV24" ca="1">INDIRECT("'Basin Weights'!L"&amp;MATCH(AV$15,'Basin Weights'!$E:$E,0)+($N24-2022))*INDIRECT("'Star Road Flow'!J"&amp;MATCH(AV$15,'Star Road Flow'!$E:$E,0)+($N24-2022))</f>
        <v>1.3650604932410488E-2</v>
      </c>
      <c r="AW24" cm="1">
        <f t="array" aca="1" ref="AW24" ca="1">INDIRECT("'Basin Weights'!L"&amp;MATCH(AW$15,'Basin Weights'!$E:$E,0)+($N24-2022))*INDIRECT("'Star Road Flow'!J"&amp;MATCH(AW$15,'Star Road Flow'!$E:$E,0)+($N24-2022))</f>
        <v>1.480816314944767E-2</v>
      </c>
      <c r="AX24" cm="1">
        <f t="array" aca="1" ref="AX24" ca="1">INDIRECT("'Basin Weights'!L"&amp;MATCH(AX$15,'Basin Weights'!$E:$E,0)+($N24-2022))*INDIRECT("'Star Road Flow'!J"&amp;MATCH(AX$15,'Star Road Flow'!$E:$E,0)+($N24-2022))</f>
        <v>1.5020089521914545E-2</v>
      </c>
      <c r="AY24" cm="1">
        <f t="array" aca="1" ref="AY24" ca="1">INDIRECT("'Basin Weights'!L"&amp;MATCH(AY$15,'Basin Weights'!$E:$E,0)+($N24-2022))*INDIRECT("'Star Road Flow'!J"&amp;MATCH(AY$15,'Star Road Flow'!$E:$E,0)+($N24-2022))</f>
        <v>1.5730491671895643E-2</v>
      </c>
      <c r="AZ24" cm="1">
        <f t="array" aca="1" ref="AZ24" ca="1">INDIRECT("'Basin Weights'!L"&amp;MATCH(AZ$15,'Basin Weights'!$E:$E,0)+($N24-2022))*INDIRECT("'Star Road Flow'!J"&amp;MATCH(AZ$15,'Star Road Flow'!$E:$E,0)+($N24-2022))</f>
        <v>1.563995883204073E-2</v>
      </c>
      <c r="BA24" cm="1">
        <f t="array" aca="1" ref="BA24" ca="1">INDIRECT("'Basin Weights'!L"&amp;MATCH(BA$15,'Basin Weights'!$E:$E,0)+($N24-2022))*INDIRECT("'Star Road Flow'!J"&amp;MATCH(BA$15,'Star Road Flow'!$E:$E,0)+($N24-2022))</f>
        <v>1.6058258663495521E-2</v>
      </c>
      <c r="BB24" cm="1">
        <f t="array" aca="1" ref="BB24" ca="1">INDIRECT("'Basin Weights'!L"&amp;MATCH(BB$15,'Basin Weights'!$E:$E,0)+($N24-2022))*INDIRECT("'Star Road Flow'!J"&amp;MATCH(BB$15,'Star Road Flow'!$E:$E,0)+($N24-2022))</f>
        <v>1.9776416784007992E-2</v>
      </c>
      <c r="BC24" cm="1">
        <f t="array" aca="1" ref="BC24" ca="1">INDIRECT("'Basin Weights'!L"&amp;MATCH(BC$15,'Basin Weights'!$E:$E,0)+($N24-2022))*INDIRECT("'Star Road Flow'!J"&amp;MATCH(BC$15,'Star Road Flow'!$E:$E,0)+($N24-2022))</f>
        <v>1.4587764429289002E-2</v>
      </c>
      <c r="BD24" cm="1">
        <f t="array" aca="1" ref="BD24" ca="1">INDIRECT("'Basin Weights'!L"&amp;MATCH(BD$15,'Basin Weights'!$E:$E,0)+($N24-2022))*INDIRECT("'Star Road Flow'!J"&amp;MATCH(BD$15,'Star Road Flow'!$E:$E,0)+($N24-2022))</f>
        <v>1.4587764429115682E-2</v>
      </c>
      <c r="BE24" cm="1">
        <f t="array" aca="1" ref="BE24" ca="1">INDIRECT("'Basin Weights'!L"&amp;MATCH(BE$15,'Basin Weights'!$E:$E,0)+($N24-2022))*INDIRECT("'Star Road Flow'!J"&amp;MATCH(BE$15,'Star Road Flow'!$E:$E,0)+($N24-2022))</f>
        <v>1.4526799747735446E-2</v>
      </c>
      <c r="BG24" cm="1">
        <f t="array" aca="1" ref="BG24" ca="1">INDIRECT("'Basin Weights'!M"&amp;MATCH(BG$15,'Basin Weights'!$E:$E,0)+($N24-2022))</f>
        <v>0.33413685999999998</v>
      </c>
      <c r="BH24" cm="1">
        <f t="array" aca="1" ref="BH24" ca="1">INDIRECT("'Basin Weights'!M"&amp;MATCH(BH$15,'Basin Weights'!$E:$E,0)+($N24-2022))</f>
        <v>0.32978174018848699</v>
      </c>
      <c r="BI24" cm="1">
        <f t="array" aca="1" ref="BI24" ca="1">INDIRECT("'Basin Weights'!M"&amp;MATCH(BI$15,'Basin Weights'!$E:$E,0)+($N24-2022))</f>
        <v>0.32656130755143098</v>
      </c>
      <c r="BJ24" cm="1">
        <f t="array" aca="1" ref="BJ24" ca="1">INDIRECT("'Basin Weights'!M"&amp;MATCH(BJ$15,'Basin Weights'!$E:$E,0)+($N24-2022))</f>
        <v>0.31154327312360502</v>
      </c>
      <c r="BK24" cm="1">
        <f t="array" aca="1" ref="BK24" ca="1">INDIRECT("'Basin Weights'!M"&amp;MATCH(BK$15,'Basin Weights'!$E:$E,0)+($N24-2022))</f>
        <v>0.32506098438866199</v>
      </c>
      <c r="BL24" cm="1">
        <f t="array" aca="1" ref="BL24" ca="1">INDIRECT("'Basin Weights'!M"&amp;MATCH(BL$15,'Basin Weights'!$E:$E,0)+($N24-2022))</f>
        <v>0.31592049</v>
      </c>
      <c r="BM24" cm="1">
        <f t="array" aca="1" ref="BM24" ca="1">INDIRECT("'Basin Weights'!M"&amp;MATCH(BM$15,'Basin Weights'!$E:$E,0)+($N24-2022))</f>
        <v>0.236350879537229</v>
      </c>
      <c r="BN24" cm="1">
        <f t="array" aca="1" ref="BN24" ca="1">INDIRECT("'Basin Weights'!M"&amp;MATCH(BN$15,'Basin Weights'!$E:$E,0)+($N24-2022))</f>
        <v>0.33207406630249597</v>
      </c>
      <c r="BO24" cm="1">
        <f t="array" aca="1" ref="BO24" ca="1">INDIRECT("'Basin Weights'!M"&amp;MATCH(BO$15,'Basin Weights'!$E:$E,0)+($N24-2022))</f>
        <v>0.33207406630248398</v>
      </c>
      <c r="BP24" cm="1">
        <f t="array" aca="1" ref="BP24" ca="1">INDIRECT("'Basin Weights'!M"&amp;MATCH(BP$15,'Basin Weights'!$E:$E,0)+($N24-2022))</f>
        <v>0.33123106407928299</v>
      </c>
      <c r="BR24" cm="1">
        <f t="array" aca="1" ref="BR24" ca="1">INDIRECT("'Basin Weights'!N"&amp;MATCH(BR$15,'Basin Weights'!$E:$E,0)+($N24-2022))</f>
        <v>0.15136348999999999</v>
      </c>
      <c r="BS24" cm="1">
        <f t="array" aca="1" ref="BS24" ca="1">INDIRECT("'Basin Weights'!N"&amp;MATCH(BS$15,'Basin Weights'!$E:$E,0)+($N24-2022))</f>
        <v>0.111606269206085</v>
      </c>
      <c r="BT24" cm="1">
        <f t="array" aca="1" ref="BT24" ca="1">INDIRECT("'Basin Weights'!N"&amp;MATCH(BT$15,'Basin Weights'!$E:$E,0)+($N24-2022))</f>
        <v>0.10524418493815201</v>
      </c>
      <c r="BU24" cm="1">
        <f t="array" aca="1" ref="BU24" ca="1">INDIRECT("'Basin Weights'!N"&amp;MATCH(BU$15,'Basin Weights'!$E:$E,0)+($N24-2022))</f>
        <v>0.108553910516695</v>
      </c>
      <c r="BV24" cm="1">
        <f t="array" aca="1" ref="BV24" ca="1">INDIRECT("'Basin Weights'!N"&amp;MATCH(BV$15,'Basin Weights'!$E:$E,0)+($N24-2022))</f>
        <v>8.0728614284165195E-2</v>
      </c>
      <c r="BW24" cm="1">
        <f t="array" aca="1" ref="BW24" ca="1">INDIRECT("'Basin Weights'!N"&amp;MATCH(BW$15,'Basin Weights'!$E:$E,0)+($N24-2022))</f>
        <v>7.4649670000000001E-2</v>
      </c>
      <c r="BX24" cm="1">
        <f t="array" aca="1" ref="BX24" ca="1">INDIRECT("'Basin Weights'!N"&amp;MATCH(BX$15,'Basin Weights'!$E:$E,0)+($N24-2022))</f>
        <v>3.7709091373702402E-2</v>
      </c>
      <c r="BY24" cm="1">
        <f t="array" aca="1" ref="BY24" ca="1">INDIRECT("'Basin Weights'!N"&amp;MATCH(BY$15,'Basin Weights'!$E:$E,0)+($N24-2022))</f>
        <v>0.114868940030476</v>
      </c>
      <c r="BZ24" cm="1">
        <f t="array" aca="1" ref="BZ24" ca="1">INDIRECT("'Basin Weights'!N"&amp;MATCH(BZ$15,'Basin Weights'!$E:$E,0)+($N24-2022))</f>
        <v>0.11486894002852099</v>
      </c>
      <c r="CA24" cm="1">
        <f t="array" aca="1" ref="CA24" ca="1">INDIRECT("'Basin Weights'!N"&amp;MATCH(CA$15,'Basin Weights'!$E:$E,0)+($N24-2022))</f>
        <v>0.11962774320066</v>
      </c>
      <c r="CC24" cm="1">
        <f t="array" aca="1" ref="CC24" ca="1">INDIRECT("'Basin Weights'!O"&amp;MATCH(CC$15,'Basin Weights'!$E:$E,0)+($N24-2022))</f>
        <v>0.11118881</v>
      </c>
      <c r="CD24" cm="1">
        <f t="array" aca="1" ref="CD24" ca="1">INDIRECT("'Basin Weights'!O"&amp;MATCH(CD$15,'Basin Weights'!$E:$E,0)+($N24-2022))</f>
        <v>0.120617520699511</v>
      </c>
      <c r="CE24" cm="1">
        <f t="array" aca="1" ref="CE24" ca="1">INDIRECT("'Basin Weights'!O"&amp;MATCH(CE$15,'Basin Weights'!$E:$E,0)+($N24-2022))</f>
        <v>0.122343733017825</v>
      </c>
      <c r="CF24" cm="1">
        <f t="array" aca="1" ref="CF24" ca="1">INDIRECT("'Basin Weights'!O"&amp;MATCH(CF$15,'Basin Weights'!$E:$E,0)+($N24-2022))</f>
        <v>0.12813019992340899</v>
      </c>
      <c r="CG24" cm="1">
        <f t="array" aca="1" ref="CG24" ca="1">INDIRECT("'Basin Weights'!O"&amp;MATCH(CG$15,'Basin Weights'!$E:$E,0)+($N24-2022))</f>
        <v>0.12739277918135</v>
      </c>
      <c r="CH24" cm="1">
        <f t="array" aca="1" ref="CH24" ca="1">INDIRECT("'Basin Weights'!O"&amp;MATCH(CH$15,'Basin Weights'!$E:$E,0)+($N24-2022))</f>
        <v>0.13079996999999999</v>
      </c>
      <c r="CI24" cm="1">
        <f t="array" aca="1" ref="CI24" ca="1">INDIRECT("'Basin Weights'!O"&amp;MATCH(CI$15,'Basin Weights'!$E:$E,0)+($N24-2022))</f>
        <v>0.16108563477826801</v>
      </c>
      <c r="CJ24" cm="1">
        <f t="array" aca="1" ref="CJ24" ca="1">INDIRECT("'Basin Weights'!O"&amp;MATCH(CJ$15,'Basin Weights'!$E:$E,0)+($N24-2022))</f>
        <v>0.118822298231877</v>
      </c>
      <c r="CK24" cm="1">
        <f t="array" aca="1" ref="CK24" ca="1">INDIRECT("'Basin Weights'!O"&amp;MATCH(CK$15,'Basin Weights'!$E:$E,0)+($N24-2022))</f>
        <v>0.11882229823293999</v>
      </c>
      <c r="CL24" cm="1">
        <f t="array" aca="1" ref="CL24" ca="1">INDIRECT("'Basin Weights'!O"&amp;MATCH(CL$15,'Basin Weights'!$E:$E,0)+($N24-2022))</f>
        <v>0.118325720186181</v>
      </c>
      <c r="CN24">
        <f t="shared" ca="1" si="5"/>
        <v>0.99999999999999989</v>
      </c>
      <c r="CO24">
        <f t="shared" ca="1" si="2"/>
        <v>1</v>
      </c>
      <c r="CP24">
        <f t="shared" ca="1" si="2"/>
        <v>1</v>
      </c>
      <c r="CQ24">
        <f t="shared" ca="1" si="2"/>
        <v>0.99999999999999911</v>
      </c>
      <c r="CR24">
        <f t="shared" ca="1" si="2"/>
        <v>0.99999999999999922</v>
      </c>
      <c r="CS24">
        <f t="shared" ca="1" si="2"/>
        <v>0.99999999000000006</v>
      </c>
      <c r="CT24">
        <f t="shared" ca="1" si="2"/>
        <v>0.99999999999999933</v>
      </c>
      <c r="CU24">
        <f t="shared" ca="1" si="2"/>
        <v>1.0000000000000009</v>
      </c>
      <c r="CV24">
        <f t="shared" ca="1" si="2"/>
        <v>1</v>
      </c>
      <c r="CW24">
        <f t="shared" ca="1" si="2"/>
        <v>0.99999999999999889</v>
      </c>
    </row>
    <row r="25" spans="2:101" x14ac:dyDescent="0.25">
      <c r="B25">
        <v>2031</v>
      </c>
      <c r="C25" s="69">
        <f>'Gas Supply Commodity Costs'!I11/'Conventional Supply Quantities'!I11</f>
        <v>3.362258465453277</v>
      </c>
      <c r="D25" s="69">
        <f>'Gas Supply Commodity Costs'!J11/'Conventional Supply Quantities'!J11</f>
        <v>3.3435079833081343</v>
      </c>
      <c r="E25" s="69">
        <f>'Gas Supply Commodity Costs'!K11/'Conventional Supply Quantities'!K11</f>
        <v>3.3455347092311367</v>
      </c>
      <c r="F25" s="69">
        <f>'Gas Supply Commodity Costs'!L11/'Conventional Supply Quantities'!L11</f>
        <v>3.3057797447461037</v>
      </c>
      <c r="G25" s="69">
        <f>'Gas Supply Commodity Costs'!M11/'Conventional Supply Quantities'!M11</f>
        <v>3.3327188441540478</v>
      </c>
      <c r="H25" s="69">
        <f>'Gas Supply Commodity Costs'!N11/'Conventional Supply Quantities'!N11</f>
        <v>3.3246492079388732</v>
      </c>
      <c r="I25" s="69">
        <f>'Gas Supply Commodity Costs'!O11/'Conventional Supply Quantities'!O11</f>
        <v>3.2095888101163714</v>
      </c>
      <c r="J25" s="69">
        <f>'Gas Supply Commodity Costs'!P11/'Conventional Supply Quantities'!P11</f>
        <v>3.3501752368604354</v>
      </c>
      <c r="K25" s="69">
        <f>'Gas Supply Commodity Costs'!Q11/'Conventional Supply Quantities'!Q11</f>
        <v>3.3501752368664532</v>
      </c>
      <c r="L25" s="69">
        <f>'Gas Supply Commodity Costs'!R11/'Conventional Supply Quantities'!R11</f>
        <v>3.3498314707002947</v>
      </c>
      <c r="N25">
        <v>2031</v>
      </c>
      <c r="O25" s="69">
        <f t="shared" ca="1" si="3"/>
        <v>1.7872777490303058E-2</v>
      </c>
      <c r="P25" s="69">
        <f t="shared" ca="1" si="0"/>
        <v>1.8657473797201923E-2</v>
      </c>
      <c r="Q25" s="69">
        <f t="shared" ca="1" si="0"/>
        <v>1.8796268275292963E-2</v>
      </c>
      <c r="R25" s="69">
        <f t="shared" ca="1" si="0"/>
        <v>1.9218720012573208E-2</v>
      </c>
      <c r="S25" s="69">
        <f t="shared" ca="1" si="0"/>
        <v>1.9254649596935802E-2</v>
      </c>
      <c r="T25" s="69">
        <f t="shared" ca="1" si="0"/>
        <v>1.9572794545280464E-2</v>
      </c>
      <c r="U25" s="69">
        <f t="shared" ca="1" si="0"/>
        <v>2.2062647361659221E-2</v>
      </c>
      <c r="V25" s="69">
        <f t="shared" ca="1" si="0"/>
        <v>1.8546902970678431E-2</v>
      </c>
      <c r="W25" s="69">
        <f t="shared" ca="1" si="0"/>
        <v>1.8546902970732915E-2</v>
      </c>
      <c r="X25" s="69">
        <f t="shared" ca="1" si="0"/>
        <v>1.8476246744347485E-2</v>
      </c>
      <c r="Z25" s="71">
        <f t="shared" ca="1" si="4"/>
        <v>2.2649440027026641E-2</v>
      </c>
      <c r="AA25" s="71">
        <f t="shared" ca="1" si="1"/>
        <v>2.3795005581565408E-2</v>
      </c>
      <c r="AB25" s="71">
        <f t="shared" ca="1" si="1"/>
        <v>2.4062097894641657E-2</v>
      </c>
      <c r="AC25" s="71">
        <f t="shared" ca="1" si="1"/>
        <v>2.4317293803897262E-2</v>
      </c>
      <c r="AD25" s="71">
        <f t="shared" ca="1" si="1"/>
        <v>2.4761886377180162E-2</v>
      </c>
      <c r="AE25" s="71">
        <f t="shared" ca="1" si="1"/>
        <v>2.5254266173106873E-2</v>
      </c>
      <c r="AF25" s="71">
        <f t="shared" ca="1" si="1"/>
        <v>2.8893878595913528E-2</v>
      </c>
      <c r="AG25" s="71">
        <f t="shared" ca="1" si="1"/>
        <v>2.3693953449110839E-2</v>
      </c>
      <c r="AH25" s="71">
        <f t="shared" ca="1" si="1"/>
        <v>2.3693953449201714E-2</v>
      </c>
      <c r="AI25" s="71">
        <f t="shared" ca="1" si="1"/>
        <v>2.355570323204129E-2</v>
      </c>
      <c r="AK25" cm="1">
        <f t="array" aca="1" ref="AK25" ca="1">INDIRECT("'Basin Weights'!L"&amp;MATCH(AK$15,'Basin Weights'!$E:$E,0)+($N25-2022))*(1-INDIRECT("'Star Road Flow'!J"&amp;MATCH(AK$15,'Star Road Flow'!$E:$E,0)+($N25-2022)))</f>
        <v>0.40189759260823521</v>
      </c>
      <c r="AL25" cm="1">
        <f t="array" aca="1" ref="AL25" ca="1">INDIRECT("'Basin Weights'!L"&amp;MATCH(AL$15,'Basin Weights'!$E:$E,0)+($N25-2022))*(1-INDIRECT("'Star Road Flow'!J"&amp;MATCH(AL$15,'Star Road Flow'!$E:$E,0)+($N25-2022)))</f>
        <v>0.43249452127243332</v>
      </c>
      <c r="AM25" cm="1">
        <f t="array" aca="1" ref="AM25" ca="1">INDIRECT("'Basin Weights'!L"&amp;MATCH(AM$15,'Basin Weights'!$E:$E,0)+($N25-2022))*(1-INDIRECT("'Star Road Flow'!J"&amp;MATCH(AM$15,'Star Road Flow'!$E:$E,0)+($N25-2022)))</f>
        <v>0.44056914501086003</v>
      </c>
      <c r="AN25" cm="1">
        <f t="array" aca="1" ref="AN25" ca="1">INDIRECT("'Basin Weights'!L"&amp;MATCH(AN$15,'Basin Weights'!$E:$E,0)+($N25-2022))*(1-INDIRECT("'Star Road Flow'!J"&amp;MATCH(AN$15,'Star Road Flow'!$E:$E,0)+($N25-2022)))</f>
        <v>0.44210895416184798</v>
      </c>
      <c r="AO25" cm="1">
        <f t="array" aca="1" ref="AO25" ca="1">INDIRECT("'Basin Weights'!L"&amp;MATCH(AO$15,'Basin Weights'!$E:$E,0)+($N25-2022))*(1-INDIRECT("'Star Road Flow'!J"&amp;MATCH(AO$15,'Star Road Flow'!$E:$E,0)+($N25-2022)))</f>
        <v>0.45970645484372613</v>
      </c>
      <c r="AP25" cm="1">
        <f t="array" aca="1" ref="AP25" ca="1">INDIRECT("'Basin Weights'!L"&amp;MATCH(AP$15,'Basin Weights'!$E:$E,0)+($N25-2022))*(1-INDIRECT("'Star Road Flow'!J"&amp;MATCH(AP$15,'Star Road Flow'!$E:$E,0)+($N25-2022)))</f>
        <v>0.47326497331445083</v>
      </c>
      <c r="AQ25" cm="1">
        <f t="array" aca="1" ref="AQ25" ca="1">INDIRECT("'Basin Weights'!L"&amp;MATCH(AQ$15,'Basin Weights'!$E:$E,0)+($N25-2022))*(1-INDIRECT("'Star Road Flow'!J"&amp;MATCH(AQ$15,'Star Road Flow'!$E:$E,0)+($N25-2022)))</f>
        <v>0.5704516181295255</v>
      </c>
      <c r="AR25" cm="1">
        <f t="array" aca="1" ref="AR25" ca="1">INDIRECT("'Basin Weights'!L"&amp;MATCH(AR$15,'Basin Weights'!$E:$E,0)+($N25-2022))*(1-INDIRECT("'Star Road Flow'!J"&amp;MATCH(AR$15,'Star Road Flow'!$E:$E,0)+($N25-2022)))</f>
        <v>0.43067653299774222</v>
      </c>
      <c r="AS25" cm="1">
        <f t="array" aca="1" ref="AS25" ca="1">INDIRECT("'Basin Weights'!L"&amp;MATCH(AS$15,'Basin Weights'!$E:$E,0)+($N25-2022))*(1-INDIRECT("'Star Road Flow'!J"&amp;MATCH(AS$15,'Star Road Flow'!$E:$E,0)+($N25-2022)))</f>
        <v>0.43067653300033465</v>
      </c>
      <c r="AT25" cm="1">
        <f t="array" aca="1" ref="AT25" ca="1">INDIRECT("'Basin Weights'!L"&amp;MATCH(AT$15,'Basin Weights'!$E:$E,0)+($N25-2022))*(1-INDIRECT("'Star Road Flow'!J"&amp;MATCH(AT$15,'Star Road Flow'!$E:$E,0)+($N25-2022)))</f>
        <v>0.42647175275475419</v>
      </c>
      <c r="AV25" cm="1">
        <f t="array" aca="1" ref="AV25" ca="1">INDIRECT("'Basin Weights'!L"&amp;MATCH(AV$15,'Basin Weights'!$E:$E,0)+($N25-2022))*INDIRECT("'Star Road Flow'!J"&amp;MATCH(AV$15,'Star Road Flow'!$E:$E,0)+($N25-2022))</f>
        <v>1.3580827391764812E-2</v>
      </c>
      <c r="AW25" cm="1">
        <f t="array" aca="1" ref="AW25" ca="1">INDIRECT("'Basin Weights'!L"&amp;MATCH(AW$15,'Basin Weights'!$E:$E,0)+($N25-2022))*INDIRECT("'Star Road Flow'!J"&amp;MATCH(AW$15,'Star Road Flow'!$E:$E,0)+($N25-2022))</f>
        <v>1.4941434719541695E-2</v>
      </c>
      <c r="AX25" cm="1">
        <f t="array" aca="1" ref="AX25" ca="1">INDIRECT("'Basin Weights'!L"&amp;MATCH(AX$15,'Basin Weights'!$E:$E,0)+($N25-2022))*INDIRECT("'Star Road Flow'!J"&amp;MATCH(AX$15,'Star Road Flow'!$E:$E,0)+($N25-2022))</f>
        <v>1.514901656334192E-2</v>
      </c>
      <c r="AY25" cm="1">
        <f t="array" aca="1" ref="AY25" ca="1">INDIRECT("'Basin Weights'!L"&amp;MATCH(AY$15,'Basin Weights'!$E:$E,0)+($N25-2022))*INDIRECT("'Star Road Flow'!J"&amp;MATCH(AY$15,'Star Road Flow'!$E:$E,0)+($N25-2022))</f>
        <v>1.6067017005536016E-2</v>
      </c>
      <c r="AZ25" cm="1">
        <f t="array" aca="1" ref="AZ25" ca="1">INDIRECT("'Basin Weights'!L"&amp;MATCH(AZ$15,'Basin Weights'!$E:$E,0)+($N25-2022))*INDIRECT("'Star Road Flow'!J"&amp;MATCH(AZ$15,'Star Road Flow'!$E:$E,0)+($N25-2022))</f>
        <v>1.5928114397023803E-2</v>
      </c>
      <c r="BA25" cm="1">
        <f t="array" aca="1" ref="BA25" ca="1">INDIRECT("'Basin Weights'!L"&amp;MATCH(BA$15,'Basin Weights'!$E:$E,0)+($N25-2022))*INDIRECT("'Star Road Flow'!J"&amp;MATCH(BA$15,'Star Road Flow'!$E:$E,0)+($N25-2022))</f>
        <v>1.6465426685549202E-2</v>
      </c>
      <c r="BB25" cm="1">
        <f t="array" aca="1" ref="BB25" ca="1">INDIRECT("'Basin Weights'!L"&amp;MATCH(BB$15,'Basin Weights'!$E:$E,0)+($N25-2022))*INDIRECT("'Star Road Flow'!J"&amp;MATCH(BB$15,'Star Road Flow'!$E:$E,0)+($N25-2022))</f>
        <v>2.089682642798853E-2</v>
      </c>
      <c r="BC25" cm="1">
        <f t="array" aca="1" ref="BC25" ca="1">INDIRECT("'Basin Weights'!L"&amp;MATCH(BC$15,'Basin Weights'!$E:$E,0)+($N25-2022))*INDIRECT("'Star Road Flow'!J"&amp;MATCH(BC$15,'Star Road Flow'!$E:$E,0)+($N25-2022))</f>
        <v>1.4718738407149774E-2</v>
      </c>
      <c r="BD25" cm="1">
        <f t="array" aca="1" ref="BD25" ca="1">INDIRECT("'Basin Weights'!L"&amp;MATCH(BD$15,'Basin Weights'!$E:$E,0)+($N25-2022))*INDIRECT("'Star Road Flow'!J"&amp;MATCH(BD$15,'Star Road Flow'!$E:$E,0)+($N25-2022))</f>
        <v>1.4718738407238374E-2</v>
      </c>
      <c r="BE25" cm="1">
        <f t="array" aca="1" ref="BE25" ca="1">INDIRECT("'Basin Weights'!L"&amp;MATCH(BE$15,'Basin Weights'!$E:$E,0)+($N25-2022))*INDIRECT("'Star Road Flow'!J"&amp;MATCH(BE$15,'Star Road Flow'!$E:$E,0)+($N25-2022))</f>
        <v>1.4614235043102828E-2</v>
      </c>
      <c r="BG25" cm="1">
        <f t="array" aca="1" ref="BG25" ca="1">INDIRECT("'Basin Weights'!M"&amp;MATCH(BG$15,'Basin Weights'!$E:$E,0)+($N25-2022))</f>
        <v>0.33129730000000002</v>
      </c>
      <c r="BH25" cm="1">
        <f t="array" aca="1" ref="BH25" ca="1">INDIRECT("'Basin Weights'!M"&amp;MATCH(BH$15,'Basin Weights'!$E:$E,0)+($N25-2022))</f>
        <v>0.32479236163248698</v>
      </c>
      <c r="BI25" cm="1">
        <f t="array" aca="1" ref="BI25" ca="1">INDIRECT("'Basin Weights'!M"&amp;MATCH(BI$15,'Basin Weights'!$E:$E,0)+($N25-2022))</f>
        <v>0.32072017942459202</v>
      </c>
      <c r="BJ25" cm="1">
        <f t="array" aca="1" ref="BJ25" ca="1">INDIRECT("'Basin Weights'!M"&amp;MATCH(BJ$15,'Basin Weights'!$E:$E,0)+($N25-2022))</f>
        <v>0.30353813828676601</v>
      </c>
      <c r="BK25" cm="1">
        <f t="array" aca="1" ref="BK25" ca="1">INDIRECT("'Basin Weights'!M"&amp;MATCH(BK$15,'Basin Weights'!$E:$E,0)+($N25-2022))</f>
        <v>0.317233026995074</v>
      </c>
      <c r="BL25" cm="1">
        <f t="array" aca="1" ref="BL25" ca="1">INDIRECT("'Basin Weights'!M"&amp;MATCH(BL$15,'Basin Weights'!$E:$E,0)+($N25-2022))</f>
        <v>0.30550814999999998</v>
      </c>
      <c r="BM25" cm="1">
        <f t="array" aca="1" ref="BM25" ca="1">INDIRECT("'Basin Weights'!M"&amp;MATCH(BM$15,'Basin Weights'!$E:$E,0)+($N25-2022))</f>
        <v>0.209658015143251</v>
      </c>
      <c r="BN25" cm="1">
        <f t="array" aca="1" ref="BN25" ca="1">INDIRECT("'Basin Weights'!M"&amp;MATCH(BN$15,'Basin Weights'!$E:$E,0)+($N25-2022))</f>
        <v>0.32765940691936801</v>
      </c>
      <c r="BO25" cm="1">
        <f t="array" aca="1" ref="BO25" ca="1">INDIRECT("'Basin Weights'!M"&amp;MATCH(BO$15,'Basin Weights'!$E:$E,0)+($N25-2022))</f>
        <v>0.32765940692134099</v>
      </c>
      <c r="BP25" cm="1">
        <f t="array" aca="1" ref="BP25" ca="1">INDIRECT("'Basin Weights'!M"&amp;MATCH(BP$15,'Basin Weights'!$E:$E,0)+($N25-2022))</f>
        <v>0.32741647296653498</v>
      </c>
      <c r="BR25" cm="1">
        <f t="array" aca="1" ref="BR25" ca="1">INDIRECT("'Basin Weights'!N"&amp;MATCH(BR$15,'Basin Weights'!$E:$E,0)+($N25-2022))</f>
        <v>0.14260381999999999</v>
      </c>
      <c r="BS25" cm="1">
        <f t="array" aca="1" ref="BS25" ca="1">INDIRECT("'Basin Weights'!N"&amp;MATCH(BS$15,'Basin Weights'!$E:$E,0)+($N25-2022))</f>
        <v>0.106068619450782</v>
      </c>
      <c r="BT25" cm="1">
        <f t="array" aca="1" ref="BT25" ca="1">INDIRECT("'Basin Weights'!N"&amp;MATCH(BT$15,'Basin Weights'!$E:$E,0)+($N25-2022))</f>
        <v>0.100167771422028</v>
      </c>
      <c r="BU25" cm="1">
        <f t="array" aca="1" ref="BU25" ca="1">INDIRECT("'Basin Weights'!N"&amp;MATCH(BU$15,'Basin Weights'!$E:$E,0)+($N25-2022))</f>
        <v>0.107414577424915</v>
      </c>
      <c r="BV25" cm="1">
        <f t="array" aca="1" ref="BV25" ca="1">INDIRECT("'Basin Weights'!N"&amp;MATCH(BV$15,'Basin Weights'!$E:$E,0)+($N25-2022))</f>
        <v>7.7392499591461897E-2</v>
      </c>
      <c r="BW25" cm="1">
        <f t="array" aca="1" ref="BW25" ca="1">INDIRECT("'Basin Weights'!N"&amp;MATCH(BW$15,'Basin Weights'!$E:$E,0)+($N25-2022))</f>
        <v>7.0644949999999998E-2</v>
      </c>
      <c r="BX25" cm="1">
        <f t="array" aca="1" ref="BX25" ca="1">INDIRECT("'Basin Weights'!N"&amp;MATCH(BX$15,'Basin Weights'!$E:$E,0)+($N25-2022))</f>
        <v>2.9727955096769801E-2</v>
      </c>
      <c r="BY25" cm="1">
        <f t="array" aca="1" ref="BY25" ca="1">INDIRECT("'Basin Weights'!N"&amp;MATCH(BY$15,'Basin Weights'!$E:$E,0)+($N25-2022))</f>
        <v>0.10705619588753899</v>
      </c>
      <c r="BZ25" cm="1">
        <f t="array" aca="1" ref="BZ25" ca="1">INDIRECT("'Basin Weights'!N"&amp;MATCH(BZ$15,'Basin Weights'!$E:$E,0)+($N25-2022))</f>
        <v>0.107056195882164</v>
      </c>
      <c r="CA25" cm="1">
        <f t="array" aca="1" ref="CA25" ca="1">INDIRECT("'Basin Weights'!N"&amp;MATCH(CA$15,'Basin Weights'!$E:$E,0)+($N25-2022))</f>
        <v>0.112459628857423</v>
      </c>
      <c r="CC25" cm="1">
        <f t="array" aca="1" ref="CC25" ca="1">INDIRECT("'Basin Weights'!O"&amp;MATCH(CC$15,'Basin Weights'!$E:$E,0)+($N25-2022))</f>
        <v>0.11062045</v>
      </c>
      <c r="CD25" cm="1">
        <f t="array" aca="1" ref="CD25" ca="1">INDIRECT("'Basin Weights'!O"&amp;MATCH(CD$15,'Basin Weights'!$E:$E,0)+($N25-2022))</f>
        <v>0.12170306292475599</v>
      </c>
      <c r="CE25" cm="1">
        <f t="array" aca="1" ref="CE25" ca="1">INDIRECT("'Basin Weights'!O"&amp;MATCH(CE$15,'Basin Weights'!$E:$E,0)+($N25-2022))</f>
        <v>0.123393887579178</v>
      </c>
      <c r="CF25" cm="1">
        <f t="array" aca="1" ref="CF25" ca="1">INDIRECT("'Basin Weights'!O"&amp;MATCH(CF$15,'Basin Weights'!$E:$E,0)+($N25-2022))</f>
        <v>0.130871313120934</v>
      </c>
      <c r="CG25" cm="1">
        <f t="array" aca="1" ref="CG25" ca="1">INDIRECT("'Basin Weights'!O"&amp;MATCH(CG$15,'Basin Weights'!$E:$E,0)+($N25-2022))</f>
        <v>0.129739904172714</v>
      </c>
      <c r="CH25" cm="1">
        <f t="array" aca="1" ref="CH25" ca="1">INDIRECT("'Basin Weights'!O"&amp;MATCH(CH$15,'Basin Weights'!$E:$E,0)+($N25-2022))</f>
        <v>0.1341165</v>
      </c>
      <c r="CI25" cm="1">
        <f t="array" aca="1" ref="CI25" ca="1">INDIRECT("'Basin Weights'!O"&amp;MATCH(CI$15,'Basin Weights'!$E:$E,0)+($N25-2022))</f>
        <v>0.16926558520246399</v>
      </c>
      <c r="CJ25" cm="1">
        <f t="array" aca="1" ref="CJ25" ca="1">INDIRECT("'Basin Weights'!O"&amp;MATCH(CJ$15,'Basin Weights'!$E:$E,0)+($N25-2022))</f>
        <v>0.119889125788201</v>
      </c>
      <c r="CK25" cm="1">
        <f t="array" aca="1" ref="CK25" ca="1">INDIRECT("'Basin Weights'!O"&amp;MATCH(CK$15,'Basin Weights'!$E:$E,0)+($N25-2022))</f>
        <v>0.119889125788923</v>
      </c>
      <c r="CL25" cm="1">
        <f t="array" aca="1" ref="CL25" ca="1">INDIRECT("'Basin Weights'!O"&amp;MATCH(CL$15,'Basin Weights'!$E:$E,0)+($N25-2022))</f>
        <v>0.11903791037818499</v>
      </c>
      <c r="CN25">
        <f t="shared" ca="1" si="5"/>
        <v>0.99999998999999995</v>
      </c>
      <c r="CO25">
        <f t="shared" ca="1" si="2"/>
        <v>1</v>
      </c>
      <c r="CP25">
        <f t="shared" ca="1" si="2"/>
        <v>1</v>
      </c>
      <c r="CQ25">
        <f t="shared" ca="1" si="2"/>
        <v>0.99999999999999911</v>
      </c>
      <c r="CR25">
        <f t="shared" ca="1" si="2"/>
        <v>0.99999999999999978</v>
      </c>
      <c r="CS25">
        <f t="shared" ca="1" si="2"/>
        <v>1</v>
      </c>
      <c r="CT25">
        <f t="shared" ca="1" si="2"/>
        <v>0.99999999999999878</v>
      </c>
      <c r="CU25">
        <f t="shared" ca="1" si="2"/>
        <v>1</v>
      </c>
      <c r="CV25">
        <f t="shared" ca="1" si="2"/>
        <v>1.0000000000000011</v>
      </c>
      <c r="CW25">
        <f t="shared" ca="1" si="2"/>
        <v>1</v>
      </c>
    </row>
    <row r="26" spans="2:101" x14ac:dyDescent="0.25">
      <c r="B26">
        <v>2032</v>
      </c>
      <c r="C26" s="69">
        <f>'Gas Supply Commodity Costs'!I12/'Conventional Supply Quantities'!I12</f>
        <v>3.4163228775629491</v>
      </c>
      <c r="D26" s="69">
        <f>'Gas Supply Commodity Costs'!J12/'Conventional Supply Quantities'!J12</f>
        <v>3.3900172422113242</v>
      </c>
      <c r="E26" s="69">
        <f>'Gas Supply Commodity Costs'!K12/'Conventional Supply Quantities'!K12</f>
        <v>3.3917683907274276</v>
      </c>
      <c r="F26" s="69">
        <f>'Gas Supply Commodity Costs'!L12/'Conventional Supply Quantities'!L12</f>
        <v>3.3418376574587594</v>
      </c>
      <c r="G26" s="69">
        <f>'Gas Supply Commodity Costs'!M12/'Conventional Supply Quantities'!M12</f>
        <v>3.3725721639045321</v>
      </c>
      <c r="H26" s="69">
        <f>'Gas Supply Commodity Costs'!N12/'Conventional Supply Quantities'!N12</f>
        <v>3.3598721776374165</v>
      </c>
      <c r="I26" s="69">
        <f>'Gas Supply Commodity Costs'!O12/'Conventional Supply Quantities'!O12</f>
        <v>3.2162767793070124</v>
      </c>
      <c r="J26" s="69">
        <f>'Gas Supply Commodity Costs'!P12/'Conventional Supply Quantities'!P12</f>
        <v>3.3973830121341622</v>
      </c>
      <c r="K26" s="69">
        <f>'Gas Supply Commodity Costs'!Q12/'Conventional Supply Quantities'!Q12</f>
        <v>3.3973830121166806</v>
      </c>
      <c r="L26" s="69">
        <f>'Gas Supply Commodity Costs'!R12/'Conventional Supply Quantities'!R12</f>
        <v>3.3983519467485088</v>
      </c>
      <c r="N26">
        <v>2032</v>
      </c>
      <c r="O26" s="69">
        <f t="shared" ca="1" si="3"/>
        <v>1.7812317263703571E-2</v>
      </c>
      <c r="P26" s="69">
        <f t="shared" ca="1" si="0"/>
        <v>1.8762276873278805E-2</v>
      </c>
      <c r="Q26" s="69">
        <f t="shared" ca="1" si="0"/>
        <v>1.8895339439922929E-2</v>
      </c>
      <c r="R26" s="69">
        <f t="shared" ca="1" si="0"/>
        <v>1.9566788730697556E-2</v>
      </c>
      <c r="S26" s="69">
        <f t="shared" ca="1" si="0"/>
        <v>1.9457979480460165E-2</v>
      </c>
      <c r="T26" s="69">
        <f t="shared" ca="1" si="0"/>
        <v>1.98768515209094E-2</v>
      </c>
      <c r="U26" s="69">
        <f t="shared" ca="1" si="0"/>
        <v>2.2976129437483152E-2</v>
      </c>
      <c r="V26" s="69">
        <f t="shared" ca="1" si="0"/>
        <v>1.862769677063154E-2</v>
      </c>
      <c r="W26" s="69">
        <f t="shared" ca="1" si="0"/>
        <v>1.8627696770796742E-2</v>
      </c>
      <c r="X26" s="69">
        <f t="shared" ca="1" si="0"/>
        <v>1.8539975566400302E-2</v>
      </c>
      <c r="Z26" s="71">
        <f t="shared" ca="1" si="4"/>
        <v>2.2569026189368374E-2</v>
      </c>
      <c r="AA26" s="71">
        <f t="shared" ca="1" si="1"/>
        <v>2.4165453278664976E-2</v>
      </c>
      <c r="AB26" s="71">
        <f t="shared" ca="1" si="1"/>
        <v>2.4389067751928378E-2</v>
      </c>
      <c r="AC26" s="71">
        <f t="shared" ca="1" si="1"/>
        <v>2.5517452565677234E-2</v>
      </c>
      <c r="AD26" s="71">
        <f t="shared" ca="1" si="1"/>
        <v>2.5334596306462752E-2</v>
      </c>
      <c r="AE26" s="71">
        <f t="shared" ca="1" si="1"/>
        <v>2.6038519494669003E-2</v>
      </c>
      <c r="AF26" s="71">
        <f t="shared" ca="1" si="1"/>
        <v>3.0863247501767138E-2</v>
      </c>
      <c r="AG26" s="71">
        <f t="shared" ca="1" si="1"/>
        <v>2.393928855387276E-2</v>
      </c>
      <c r="AH26" s="71">
        <f t="shared" ca="1" si="1"/>
        <v>2.3939288554150378E-2</v>
      </c>
      <c r="AI26" s="71">
        <f t="shared" ca="1" si="1"/>
        <v>2.3791871204479075E-2</v>
      </c>
      <c r="AK26" cm="1">
        <f t="array" aca="1" ref="AK26" ca="1">INDIRECT("'Basin Weights'!L"&amp;MATCH(AK$15,'Basin Weights'!$E:$E,0)+($N26-2022))*(1-INDIRECT("'Star Road Flow'!J"&amp;MATCH(AK$15,'Star Road Flow'!$E:$E,0)+($N26-2022)))</f>
        <v>0.39986439489413245</v>
      </c>
      <c r="AL26" cm="1">
        <f t="array" aca="1" ref="AL26" ca="1">INDIRECT("'Basin Weights'!L"&amp;MATCH(AL$15,'Basin Weights'!$E:$E,0)+($N26-2022))*(1-INDIRECT("'Star Road Flow'!J"&amp;MATCH(AL$15,'Star Road Flow'!$E:$E,0)+($N26-2022)))</f>
        <v>0.44556223394051631</v>
      </c>
      <c r="AM26" cm="1">
        <f t="array" aca="1" ref="AM26" ca="1">INDIRECT("'Basin Weights'!L"&amp;MATCH(AM$15,'Basin Weights'!$E:$E,0)+($N26-2022))*(1-INDIRECT("'Star Road Flow'!J"&amp;MATCH(AM$15,'Star Road Flow'!$E:$E,0)+($N26-2022)))</f>
        <v>0.4519632145264933</v>
      </c>
      <c r="AN26" cm="1">
        <f t="array" aca="1" ref="AN26" ca="1">INDIRECT("'Basin Weights'!L"&amp;MATCH(AN$15,'Basin Weights'!$E:$E,0)+($N26-2022))*(1-INDIRECT("'Star Road Flow'!J"&amp;MATCH(AN$15,'Star Road Flow'!$E:$E,0)+($N26-2022)))</f>
        <v>0.48426331201530931</v>
      </c>
      <c r="AO26" cm="1">
        <f t="array" aca="1" ref="AO26" ca="1">INDIRECT("'Basin Weights'!L"&amp;MATCH(AO$15,'Basin Weights'!$E:$E,0)+($N26-2022))*(1-INDIRECT("'Star Road Flow'!J"&amp;MATCH(AO$15,'Star Road Flow'!$E:$E,0)+($N26-2022)))</f>
        <v>0.47902903827544474</v>
      </c>
      <c r="AP26" cm="1">
        <f t="array" aca="1" ref="AP26" ca="1">INDIRECT("'Basin Weights'!L"&amp;MATCH(AP$15,'Basin Weights'!$E:$E,0)+($N26-2022))*(1-INDIRECT("'Star Road Flow'!J"&amp;MATCH(AP$15,'Star Road Flow'!$E:$E,0)+($N26-2022)))</f>
        <v>0.49917888711049818</v>
      </c>
      <c r="AQ26" cm="1">
        <f t="array" aca="1" ref="AQ26" ca="1">INDIRECT("'Basin Weights'!L"&amp;MATCH(AQ$15,'Basin Weights'!$E:$E,0)+($N26-2022))*(1-INDIRECT("'Star Road Flow'!J"&amp;MATCH(AQ$15,'Star Road Flow'!$E:$E,0)+($N26-2022)))</f>
        <v>0.63242289008117858</v>
      </c>
      <c r="AR26" cm="1">
        <f t="array" aca="1" ref="AR26" ca="1">INDIRECT("'Basin Weights'!L"&amp;MATCH(AR$15,'Basin Weights'!$E:$E,0)+($N26-2022))*(1-INDIRECT("'Star Road Flow'!J"&amp;MATCH(AR$15,'Star Road Flow'!$E:$E,0)+($N26-2022)))</f>
        <v>0.43908825221875691</v>
      </c>
      <c r="AS26" cm="1">
        <f t="array" aca="1" ref="AS26" ca="1">INDIRECT("'Basin Weights'!L"&amp;MATCH(AS$15,'Basin Weights'!$E:$E,0)+($N26-2022))*(1-INDIRECT("'Star Road Flow'!J"&amp;MATCH(AS$15,'Star Road Flow'!$E:$E,0)+($N26-2022)))</f>
        <v>0.43908825222670411</v>
      </c>
      <c r="AT26" cm="1">
        <f t="array" aca="1" ref="AT26" ca="1">INDIRECT("'Basin Weights'!L"&amp;MATCH(AT$15,'Basin Weights'!$E:$E,0)+($N26-2022))*(1-INDIRECT("'Star Road Flow'!J"&amp;MATCH(AT$15,'Star Road Flow'!$E:$E,0)+($N26-2022)))</f>
        <v>0.43486841985399999</v>
      </c>
      <c r="AV26" cm="1">
        <f t="array" aca="1" ref="AV26" ca="1">INDIRECT("'Basin Weights'!L"&amp;MATCH(AV$15,'Basin Weights'!$E:$E,0)+($N26-2022))*INDIRECT("'Star Road Flow'!J"&amp;MATCH(AV$15,'Star Road Flow'!$E:$E,0)+($N26-2022))</f>
        <v>1.3471965105867572E-2</v>
      </c>
      <c r="AW26" cm="1">
        <f t="array" aca="1" ref="AW26" ca="1">INDIRECT("'Basin Weights'!L"&amp;MATCH(AW$15,'Basin Weights'!$E:$E,0)+($N26-2022))*INDIRECT("'Star Road Flow'!J"&amp;MATCH(AW$15,'Star Road Flow'!$E:$E,0)+($N26-2022))</f>
        <v>1.5011586289717741E-2</v>
      </c>
      <c r="AX26" cm="1">
        <f t="array" aca="1" ref="AX26" ca="1">INDIRECT("'Basin Weights'!L"&amp;MATCH(AX$15,'Basin Weights'!$E:$E,0)+($N26-2022))*INDIRECT("'Star Road Flow'!J"&amp;MATCH(AX$15,'Star Road Flow'!$E:$E,0)+($N26-2022))</f>
        <v>1.5227243868133669E-2</v>
      </c>
      <c r="AY26" cm="1">
        <f t="array" aca="1" ref="AY26" ca="1">INDIRECT("'Basin Weights'!L"&amp;MATCH(AY$15,'Basin Weights'!$E:$E,0)+($N26-2022))*INDIRECT("'Star Road Flow'!J"&amp;MATCH(AY$15,'Star Road Flow'!$E:$E,0)+($N26-2022))</f>
        <v>1.6315477258857687E-2</v>
      </c>
      <c r="AZ26" cm="1">
        <f t="array" aca="1" ref="AZ26" ca="1">INDIRECT("'Basin Weights'!L"&amp;MATCH(AZ$15,'Basin Weights'!$E:$E,0)+($N26-2022))*INDIRECT("'Star Road Flow'!J"&amp;MATCH(AZ$15,'Star Road Flow'!$E:$E,0)+($N26-2022))</f>
        <v>1.6139127591124246E-2</v>
      </c>
      <c r="BA26" cm="1">
        <f t="array" aca="1" ref="BA26" ca="1">INDIRECT("'Basin Weights'!L"&amp;MATCH(BA$15,'Basin Weights'!$E:$E,0)+($N26-2022))*INDIRECT("'Star Road Flow'!J"&amp;MATCH(BA$15,'Star Road Flow'!$E:$E,0)+($N26-2022))</f>
        <v>1.681800288950188E-2</v>
      </c>
      <c r="BB26" cm="1">
        <f t="array" aca="1" ref="BB26" ca="1">INDIRECT("'Basin Weights'!L"&amp;MATCH(BB$15,'Basin Weights'!$E:$E,0)+($N26-2022))*INDIRECT("'Star Road Flow'!J"&amp;MATCH(BB$15,'Star Road Flow'!$E:$E,0)+($N26-2022))</f>
        <v>2.2037933300074482E-2</v>
      </c>
      <c r="BC26" cm="1">
        <f t="array" aca="1" ref="BC26" ca="1">INDIRECT("'Basin Weights'!L"&amp;MATCH(BC$15,'Basin Weights'!$E:$E,0)+($N26-2022))*INDIRECT("'Star Road Flow'!J"&amp;MATCH(BC$15,'Star Road Flow'!$E:$E,0)+($N26-2022))</f>
        <v>1.479346920561312E-2</v>
      </c>
      <c r="BD26" cm="1">
        <f t="array" aca="1" ref="BD26" ca="1">INDIRECT("'Basin Weights'!L"&amp;MATCH(BD$15,'Basin Weights'!$E:$E,0)+($N26-2022))*INDIRECT("'Star Road Flow'!J"&amp;MATCH(BD$15,'Star Road Flow'!$E:$E,0)+($N26-2022))</f>
        <v>1.4793469205880873E-2</v>
      </c>
      <c r="BE26" cm="1">
        <f t="array" aca="1" ref="BE26" ca="1">INDIRECT("'Basin Weights'!L"&amp;MATCH(BE$15,'Basin Weights'!$E:$E,0)+($N26-2022))*INDIRECT("'Star Road Flow'!J"&amp;MATCH(BE$15,'Star Road Flow'!$E:$E,0)+($N26-2022))</f>
        <v>1.4651297421637037E-2</v>
      </c>
      <c r="BG26" cm="1">
        <f t="array" aca="1" ref="BG26" ca="1">INDIRECT("'Basin Weights'!M"&amp;MATCH(BG$15,'Basin Weights'!$E:$E,0)+($N26-2022))</f>
        <v>0.32895433000000002</v>
      </c>
      <c r="BH26" cm="1">
        <f t="array" aca="1" ref="BH26" ca="1">INDIRECT("'Basin Weights'!M"&amp;MATCH(BH$15,'Basin Weights'!$E:$E,0)+($N26-2022))</f>
        <v>0.28733682968875401</v>
      </c>
      <c r="BI26" cm="1">
        <f t="array" aca="1" ref="BI26" ca="1">INDIRECT("'Basin Weights'!M"&amp;MATCH(BI$15,'Basin Weights'!$E:$E,0)+($N26-2022))</f>
        <v>0.29208812420515801</v>
      </c>
      <c r="BJ26" cm="1">
        <f t="array" aca="1" ref="BJ26" ca="1">INDIRECT("'Basin Weights'!M"&amp;MATCH(BJ$15,'Basin Weights'!$E:$E,0)+($N26-2022))</f>
        <v>0.236457795456049</v>
      </c>
      <c r="BK26" cm="1">
        <f t="array" aca="1" ref="BK26" ca="1">INDIRECT("'Basin Weights'!M"&amp;MATCH(BK$15,'Basin Weights'!$E:$E,0)+($N26-2022))</f>
        <v>0.28166051344486898</v>
      </c>
      <c r="BL26" cm="1">
        <f t="array" aca="1" ref="BL26" ca="1">INDIRECT("'Basin Weights'!M"&amp;MATCH(BL$15,'Basin Weights'!$E:$E,0)+($N26-2022))</f>
        <v>0.27373276000000002</v>
      </c>
      <c r="BM26" cm="1">
        <f t="array" aca="1" ref="BM26" ca="1">INDIRECT("'Basin Weights'!M"&amp;MATCH(BM$15,'Basin Weights'!$E:$E,0)+($N26-2022))</f>
        <v>0.142257943481125</v>
      </c>
      <c r="BN26" cm="1">
        <f t="array" aca="1" ref="BN26" ca="1">INDIRECT("'Basin Weights'!M"&amp;MATCH(BN$15,'Basin Weights'!$E:$E,0)+($N26-2022))</f>
        <v>0.29445964009775399</v>
      </c>
      <c r="BO26" cm="1">
        <f t="array" aca="1" ref="BO26" ca="1">INDIRECT("'Basin Weights'!M"&amp;MATCH(BO$15,'Basin Weights'!$E:$E,0)+($N26-2022))</f>
        <v>0.29445964009403303</v>
      </c>
      <c r="BP26" cm="1">
        <f t="array" aca="1" ref="BP26" ca="1">INDIRECT("'Basin Weights'!M"&amp;MATCH(BP$15,'Basin Weights'!$E:$E,0)+($N26-2022))</f>
        <v>0.29305191245032203</v>
      </c>
      <c r="BR26" cm="1">
        <f t="array" aca="1" ref="BR26" ca="1">INDIRECT("'Basin Weights'!N"&amp;MATCH(BR$15,'Basin Weights'!$E:$E,0)+($N26-2022))</f>
        <v>0.14797558</v>
      </c>
      <c r="BS26" cm="1">
        <f t="array" aca="1" ref="BS26" ca="1">INDIRECT("'Basin Weights'!N"&amp;MATCH(BS$15,'Basin Weights'!$E:$E,0)+($N26-2022))</f>
        <v>0.12981487877918099</v>
      </c>
      <c r="BT26" cm="1">
        <f t="array" aca="1" ref="BT26" ca="1">INDIRECT("'Basin Weights'!N"&amp;MATCH(BT$15,'Basin Weights'!$E:$E,0)+($N26-2022))</f>
        <v>0.116690341841237</v>
      </c>
      <c r="BU26" cm="1">
        <f t="array" aca="1" ref="BU26" ca="1">INDIRECT("'Basin Weights'!N"&amp;MATCH(BU$15,'Basin Weights'!$E:$E,0)+($N26-2022))</f>
        <v>0.13006830895911201</v>
      </c>
      <c r="BV26" cm="1">
        <f t="array" aca="1" ref="BV26" ca="1">INDIRECT("'Basin Weights'!N"&amp;MATCH(BV$15,'Basin Weights'!$E:$E,0)+($N26-2022))</f>
        <v>9.1712642345607207E-2</v>
      </c>
      <c r="BW26" cm="1">
        <f t="array" aca="1" ref="BW26" ca="1">INDIRECT("'Basin Weights'!N"&amp;MATCH(BW$15,'Basin Weights'!$E:$E,0)+($N26-2022))</f>
        <v>7.3282009999999995E-2</v>
      </c>
      <c r="BX26" cm="1">
        <f t="array" aca="1" ref="BX26" ca="1">INDIRECT("'Basin Weights'!N"&amp;MATCH(BX$15,'Basin Weights'!$E:$E,0)+($N26-2022))</f>
        <v>2.37747778687428E-2</v>
      </c>
      <c r="BY26" cm="1">
        <f t="array" aca="1" ref="BY26" ca="1">INDIRECT("'Basin Weights'!N"&amp;MATCH(BY$15,'Basin Weights'!$E:$E,0)+($N26-2022))</f>
        <v>0.13116080494277199</v>
      </c>
      <c r="BZ26" cm="1">
        <f t="array" aca="1" ref="BZ26" ca="1">INDIRECT("'Basin Weights'!N"&amp;MATCH(BZ$15,'Basin Weights'!$E:$E,0)+($N26-2022))</f>
        <v>0.131160804936096</v>
      </c>
      <c r="CA26" cm="1">
        <f t="array" aca="1" ref="CA26" ca="1">INDIRECT("'Basin Weights'!N"&amp;MATCH(CA$15,'Basin Weights'!$E:$E,0)+($N26-2022))</f>
        <v>0.13808857422972501</v>
      </c>
      <c r="CC26" cm="1">
        <f t="array" aca="1" ref="CC26" ca="1">INDIRECT("'Basin Weights'!O"&amp;MATCH(CC$15,'Basin Weights'!$E:$E,0)+($N26-2022))</f>
        <v>0.10973373</v>
      </c>
      <c r="CD26" cm="1">
        <f t="array" aca="1" ref="CD26" ca="1">INDIRECT("'Basin Weights'!O"&amp;MATCH(CD$15,'Basin Weights'!$E:$E,0)+($N26-2022))</f>
        <v>0.122274471301831</v>
      </c>
      <c r="CE26" cm="1">
        <f t="array" aca="1" ref="CE26" ca="1">INDIRECT("'Basin Weights'!O"&amp;MATCH(CE$15,'Basin Weights'!$E:$E,0)+($N26-2022))</f>
        <v>0.12403107555897799</v>
      </c>
      <c r="CF26" cm="1">
        <f t="array" aca="1" ref="CF26" ca="1">INDIRECT("'Basin Weights'!O"&amp;MATCH(CF$15,'Basin Weights'!$E:$E,0)+($N26-2022))</f>
        <v>0.132895106310673</v>
      </c>
      <c r="CG26" cm="1">
        <f t="array" aca="1" ref="CG26" ca="1">INDIRECT("'Basin Weights'!O"&amp;MATCH(CG$15,'Basin Weights'!$E:$E,0)+($N26-2022))</f>
        <v>0.13145867834295499</v>
      </c>
      <c r="CH26" cm="1">
        <f t="array" aca="1" ref="CH26" ca="1">INDIRECT("'Basin Weights'!O"&amp;MATCH(CH$15,'Basin Weights'!$E:$E,0)+($N26-2022))</f>
        <v>0.13698835000000001</v>
      </c>
      <c r="CI26" cm="1">
        <f t="array" aca="1" ref="CI26" ca="1">INDIRECT("'Basin Weights'!O"&amp;MATCH(CI$15,'Basin Weights'!$E:$E,0)+($N26-2022))</f>
        <v>0.17950645526887901</v>
      </c>
      <c r="CJ26" cm="1">
        <f t="array" aca="1" ref="CJ26" ca="1">INDIRECT("'Basin Weights'!O"&amp;MATCH(CJ$15,'Basin Weights'!$E:$E,0)+($N26-2022))</f>
        <v>0.120497833535105</v>
      </c>
      <c r="CK26" cm="1">
        <f t="array" aca="1" ref="CK26" ca="1">INDIRECT("'Basin Weights'!O"&amp;MATCH(CK$15,'Basin Weights'!$E:$E,0)+($N26-2022))</f>
        <v>0.12049783353728601</v>
      </c>
      <c r="CL26" cm="1">
        <f t="array" aca="1" ref="CL26" ca="1">INDIRECT("'Basin Weights'!O"&amp;MATCH(CL$15,'Basin Weights'!$E:$E,0)+($N26-2022))</f>
        <v>0.11933979604431499</v>
      </c>
      <c r="CN26">
        <f t="shared" ca="1" si="5"/>
        <v>1</v>
      </c>
      <c r="CO26">
        <f t="shared" ca="1" si="2"/>
        <v>1</v>
      </c>
      <c r="CP26">
        <f t="shared" ca="1" si="2"/>
        <v>1</v>
      </c>
      <c r="CQ26">
        <f t="shared" ca="1" si="2"/>
        <v>1.0000000000000011</v>
      </c>
      <c r="CR26">
        <f t="shared" ca="1" si="2"/>
        <v>1.0000000000000002</v>
      </c>
      <c r="CS26">
        <f t="shared" ca="1" si="2"/>
        <v>1.0000000099999999</v>
      </c>
      <c r="CT26">
        <f t="shared" ca="1" si="2"/>
        <v>0.99999999999999978</v>
      </c>
      <c r="CU26">
        <f t="shared" ca="1" si="2"/>
        <v>1.0000000000000009</v>
      </c>
      <c r="CV26">
        <f t="shared" ca="1" si="2"/>
        <v>1</v>
      </c>
      <c r="CW26">
        <f t="shared" ca="1" si="2"/>
        <v>0.99999999999999911</v>
      </c>
    </row>
    <row r="27" spans="2:101" x14ac:dyDescent="0.25">
      <c r="B27">
        <v>2033</v>
      </c>
      <c r="C27" s="69">
        <f>'Gas Supply Commodity Costs'!I13/'Conventional Supply Quantities'!I13</f>
        <v>3.4398145453159139</v>
      </c>
      <c r="D27" s="69">
        <f>'Gas Supply Commodity Costs'!J13/'Conventional Supply Quantities'!J13</f>
        <v>3.4110892409797886</v>
      </c>
      <c r="E27" s="69">
        <f>'Gas Supply Commodity Costs'!K13/'Conventional Supply Quantities'!K13</f>
        <v>3.4124628277176332</v>
      </c>
      <c r="F27" s="69">
        <f>'Gas Supply Commodity Costs'!L13/'Conventional Supply Quantities'!L13</f>
        <v>3.3576425145314435</v>
      </c>
      <c r="G27" s="69">
        <f>'Gas Supply Commodity Costs'!M13/'Conventional Supply Quantities'!M13</f>
        <v>3.3891434355044332</v>
      </c>
      <c r="H27" s="69">
        <f>'Gas Supply Commodity Costs'!N13/'Conventional Supply Quantities'!N13</f>
        <v>3.3723347922566229</v>
      </c>
      <c r="I27" s="69">
        <f>'Gas Supply Commodity Costs'!O13/'Conventional Supply Quantities'!O13</f>
        <v>3.2049032197542919</v>
      </c>
      <c r="J27" s="69">
        <f>'Gas Supply Commodity Costs'!P13/'Conventional Supply Quantities'!P13</f>
        <v>3.4181692267491677</v>
      </c>
      <c r="K27" s="69">
        <f>'Gas Supply Commodity Costs'!Q13/'Conventional Supply Quantities'!Q13</f>
        <v>3.4181692267399746</v>
      </c>
      <c r="L27" s="69">
        <f>'Gas Supply Commodity Costs'!R13/'Conventional Supply Quantities'!R13</f>
        <v>3.420674483156017</v>
      </c>
      <c r="N27">
        <v>2033</v>
      </c>
      <c r="O27" s="69">
        <f t="shared" ca="1" si="3"/>
        <v>1.779967451222584E-2</v>
      </c>
      <c r="P27" s="69">
        <f t="shared" ca="1" si="0"/>
        <v>1.8812485916665282E-2</v>
      </c>
      <c r="Q27" s="69">
        <f t="shared" ca="1" si="0"/>
        <v>1.8967521190987144E-2</v>
      </c>
      <c r="R27" s="69">
        <f t="shared" ca="1" si="0"/>
        <v>1.959191177599761E-2</v>
      </c>
      <c r="S27" s="69">
        <f t="shared" ca="1" si="0"/>
        <v>1.9571616600603463E-2</v>
      </c>
      <c r="T27" s="69">
        <f t="shared" ca="1" si="0"/>
        <v>2.0065959758273307E-2</v>
      </c>
      <c r="U27" s="69">
        <f t="shared" ca="1" si="0"/>
        <v>2.3541295093473247E-2</v>
      </c>
      <c r="V27" s="69">
        <f t="shared" ca="1" si="0"/>
        <v>1.8700730354918482E-2</v>
      </c>
      <c r="W27" s="69">
        <f t="shared" ca="1" si="0"/>
        <v>1.8700730354805718E-2</v>
      </c>
      <c r="X27" s="69">
        <f t="shared" ca="1" si="0"/>
        <v>1.8584988978915026E-2</v>
      </c>
      <c r="Z27" s="71">
        <f t="shared" ca="1" si="4"/>
        <v>2.2526945707283114E-2</v>
      </c>
      <c r="AA27" s="71">
        <f t="shared" ca="1" si="1"/>
        <v>2.4025948671637293E-2</v>
      </c>
      <c r="AB27" s="71">
        <f t="shared" ca="1" si="1"/>
        <v>2.4336042269749125E-2</v>
      </c>
      <c r="AC27" s="71">
        <f t="shared" ca="1" si="1"/>
        <v>2.4895446912373706E-2</v>
      </c>
      <c r="AD27" s="71">
        <f t="shared" ca="1" si="1"/>
        <v>2.5226214892986255E-2</v>
      </c>
      <c r="AE27" s="71">
        <f t="shared" ca="1" si="1"/>
        <v>2.5974041085319231E-2</v>
      </c>
      <c r="AF27" s="71">
        <f t="shared" ca="1" si="1"/>
        <v>3.1315008319624291E-2</v>
      </c>
      <c r="AG27" s="71">
        <f t="shared" ca="1" si="1"/>
        <v>2.3917555146349585E-2</v>
      </c>
      <c r="AH27" s="71">
        <f t="shared" ca="1" si="1"/>
        <v>2.3917555146161829E-2</v>
      </c>
      <c r="AI27" s="71">
        <f t="shared" ca="1" si="1"/>
        <v>2.3718855407839537E-2</v>
      </c>
      <c r="AK27" cm="1">
        <f t="array" aca="1" ref="AK27" ca="1">INDIRECT("'Basin Weights'!L"&amp;MATCH(AK$15,'Basin Weights'!$E:$E,0)+($N27-2022))*(1-INDIRECT("'Star Road Flow'!J"&amp;MATCH(AK$15,'Star Road Flow'!$E:$E,0)+($N27-2022)))</f>
        <v>0.39839570579494277</v>
      </c>
      <c r="AL27" cm="1">
        <f t="array" aca="1" ref="AL27" ca="1">INDIRECT("'Basin Weights'!L"&amp;MATCH(AL$15,'Basin Weights'!$E:$E,0)+($N27-2022))*(1-INDIRECT("'Star Road Flow'!J"&amp;MATCH(AL$15,'Star Road Flow'!$E:$E,0)+($N27-2022)))</f>
        <v>0.43873054953534346</v>
      </c>
      <c r="AM27" cm="1">
        <f t="array" aca="1" ref="AM27" ca="1">INDIRECT("'Basin Weights'!L"&amp;MATCH(AM$15,'Basin Weights'!$E:$E,0)+($N27-2022))*(1-INDIRECT("'Star Road Flow'!J"&amp;MATCH(AM$15,'Star Road Flow'!$E:$E,0)+($N27-2022)))</f>
        <v>0.44823523632595164</v>
      </c>
      <c r="AN27" cm="1">
        <f t="array" aca="1" ref="AN27" ca="1">INDIRECT("'Basin Weights'!L"&amp;MATCH(AN$15,'Basin Weights'!$E:$E,0)+($N27-2022))*(1-INDIRECT("'Star Road Flow'!J"&amp;MATCH(AN$15,'Star Road Flow'!$E:$E,0)+($N27-2022)))</f>
        <v>0.45800381524478845</v>
      </c>
      <c r="AO27" cm="1">
        <f t="array" aca="1" ref="AO27" ca="1">INDIRECT("'Basin Weights'!L"&amp;MATCH(AO$15,'Basin Weights'!$E:$E,0)+($N27-2022))*(1-INDIRECT("'Star Road Flow'!J"&amp;MATCH(AO$15,'Star Road Flow'!$E:$E,0)+($N27-2022)))</f>
        <v>0.47213146808733425</v>
      </c>
      <c r="AP27" cm="1">
        <f t="array" aca="1" ref="AP27" ca="1">INDIRECT("'Basin Weights'!L"&amp;MATCH(AP$15,'Basin Weights'!$E:$E,0)+($N27-2022))*(1-INDIRECT("'Star Road Flow'!J"&amp;MATCH(AP$15,'Star Road Flow'!$E:$E,0)+($N27-2022)))</f>
        <v>0.49248669259760841</v>
      </c>
      <c r="AQ27" cm="1">
        <f t="array" aca="1" ref="AQ27" ca="1">INDIRECT("'Basin Weights'!L"&amp;MATCH(AQ$15,'Basin Weights'!$E:$E,0)+($N27-2022))*(1-INDIRECT("'Star Road Flow'!J"&amp;MATCH(AQ$15,'Star Road Flow'!$E:$E,0)+($N27-2022)))</f>
        <v>0.63883493325986673</v>
      </c>
      <c r="AR27" cm="1">
        <f t="array" aca="1" ref="AR27" ca="1">INDIRECT("'Basin Weights'!L"&amp;MATCH(AR$15,'Basin Weights'!$E:$E,0)+($N27-2022))*(1-INDIRECT("'Star Road Flow'!J"&amp;MATCH(AR$15,'Star Road Flow'!$E:$E,0)+($N27-2022)))</f>
        <v>0.43663458122653964</v>
      </c>
      <c r="AS27" cm="1">
        <f t="array" aca="1" ref="AS27" ca="1">INDIRECT("'Basin Weights'!L"&amp;MATCH(AS$15,'Basin Weights'!$E:$E,0)+($N27-2022))*(1-INDIRECT("'Star Road Flow'!J"&amp;MATCH(AS$15,'Star Road Flow'!$E:$E,0)+($N27-2022)))</f>
        <v>0.43663458122118742</v>
      </c>
      <c r="AT27" cm="1">
        <f t="array" aca="1" ref="AT27" ca="1">INDIRECT("'Basin Weights'!L"&amp;MATCH(AT$15,'Basin Weights'!$E:$E,0)+($N27-2022))*(1-INDIRECT("'Star Road Flow'!J"&amp;MATCH(AT$15,'Star Road Flow'!$E:$E,0)+($N27-2022)))</f>
        <v>0.43089361693226547</v>
      </c>
      <c r="AV27" cm="1">
        <f t="array" aca="1" ref="AV27" ca="1">INDIRECT("'Basin Weights'!L"&amp;MATCH(AV$15,'Basin Weights'!$E:$E,0)+($N27-2022))*INDIRECT("'Star Road Flow'!J"&amp;MATCH(AV$15,'Star Road Flow'!$E:$E,0)+($N27-2022))</f>
        <v>1.3462164205057216E-2</v>
      </c>
      <c r="AW27" cm="1">
        <f t="array" aca="1" ref="AW27" ca="1">INDIRECT("'Basin Weights'!L"&amp;MATCH(AW$15,'Basin Weights'!$E:$E,0)+($N27-2022))*INDIRECT("'Star Road Flow'!J"&amp;MATCH(AW$15,'Star Road Flow'!$E:$E,0)+($N27-2022))</f>
        <v>1.5207832329076541E-2</v>
      </c>
      <c r="AX27" cm="1">
        <f t="array" aca="1" ref="AX27" ca="1">INDIRECT("'Basin Weights'!L"&amp;MATCH(AX$15,'Basin Weights'!$E:$E,0)+($N27-2022))*INDIRECT("'Star Road Flow'!J"&amp;MATCH(AX$15,'Star Road Flow'!$E:$E,0)+($N27-2022))</f>
        <v>1.5433676281146362E-2</v>
      </c>
      <c r="AY27" cm="1">
        <f t="array" aca="1" ref="AY27" ca="1">INDIRECT("'Basin Weights'!L"&amp;MATCH(AY$15,'Basin Weights'!$E:$E,0)+($N27-2022))*INDIRECT("'Star Road Flow'!J"&amp;MATCH(AY$15,'Star Road Flow'!$E:$E,0)+($N27-2022))</f>
        <v>1.6739219373397576E-2</v>
      </c>
      <c r="AZ27" cm="1">
        <f t="array" aca="1" ref="AZ27" ca="1">INDIRECT("'Basin Weights'!L"&amp;MATCH(AZ$15,'Basin Weights'!$E:$E,0)+($N27-2022))*INDIRECT("'Star Road Flow'!J"&amp;MATCH(AZ$15,'Star Road Flow'!$E:$E,0)+($N27-2022))</f>
        <v>1.6476895215009727E-2</v>
      </c>
      <c r="BA27" cm="1">
        <f t="array" aca="1" ref="BA27" ca="1">INDIRECT("'Basin Weights'!L"&amp;MATCH(BA$15,'Basin Weights'!$E:$E,0)+($N27-2022))*INDIRECT("'Star Road Flow'!J"&amp;MATCH(BA$15,'Star Road Flow'!$E:$E,0)+($N27-2022))</f>
        <v>1.7320637402391599E-2</v>
      </c>
      <c r="BB27" cm="1">
        <f t="array" aca="1" ref="BB27" ca="1">INDIRECT("'Basin Weights'!L"&amp;MATCH(BB$15,'Basin Weights'!$E:$E,0)+($N27-2022))*INDIRECT("'Star Road Flow'!J"&amp;MATCH(BB$15,'Star Road Flow'!$E:$E,0)+($N27-2022))</f>
        <v>2.3468518692188245E-2</v>
      </c>
      <c r="BC27" cm="1">
        <f t="array" aca="1" ref="BC27" ca="1">INDIRECT("'Basin Weights'!L"&amp;MATCH(BC$15,'Basin Weights'!$E:$E,0)+($N27-2022))*INDIRECT("'Star Road Flow'!J"&amp;MATCH(BC$15,'Star Road Flow'!$E:$E,0)+($N27-2022))</f>
        <v>1.49859611236863E-2</v>
      </c>
      <c r="BD27" cm="1">
        <f t="array" aca="1" ref="BD27" ca="1">INDIRECT("'Basin Weights'!L"&amp;MATCH(BD$15,'Basin Weights'!$E:$E,0)+($N27-2022))*INDIRECT("'Star Road Flow'!J"&amp;MATCH(BD$15,'Star Road Flow'!$E:$E,0)+($N27-2022))</f>
        <v>1.4985961123502601E-2</v>
      </c>
      <c r="BE27" cm="1">
        <f t="array" aca="1" ref="BE27" ca="1">INDIRECT("'Basin Weights'!L"&amp;MATCH(BE$15,'Basin Weights'!$E:$E,0)+($N27-2022))*INDIRECT("'Star Road Flow'!J"&amp;MATCH(BE$15,'Star Road Flow'!$E:$E,0)+($N27-2022))</f>
        <v>1.4800528235165519E-2</v>
      </c>
      <c r="BG27" cm="1">
        <f t="array" aca="1" ref="BG27" ca="1">INDIRECT("'Basin Weights'!M"&amp;MATCH(BG$15,'Basin Weights'!$E:$E,0)+($N27-2022))</f>
        <v>0.32891076000000002</v>
      </c>
      <c r="BH27" cm="1">
        <f t="array" aca="1" ref="BH27" ca="1">INDIRECT("'Basin Weights'!M"&amp;MATCH(BH$15,'Basin Weights'!$E:$E,0)+($N27-2022))</f>
        <v>0.29267716307897801</v>
      </c>
      <c r="BI27" cm="1">
        <f t="array" aca="1" ref="BI27" ca="1">INDIRECT("'Basin Weights'!M"&amp;MATCH(BI$15,'Basin Weights'!$E:$E,0)+($N27-2022))</f>
        <v>0.29527520805523899</v>
      </c>
      <c r="BJ27" cm="1">
        <f t="array" aca="1" ref="BJ27" ca="1">INDIRECT("'Basin Weights'!M"&amp;MATCH(BJ$15,'Basin Weights'!$E:$E,0)+($N27-2022))</f>
        <v>0.25998030449170401</v>
      </c>
      <c r="BK27" cm="1">
        <f t="array" aca="1" ref="BK27" ca="1">INDIRECT("'Basin Weights'!M"&amp;MATCH(BK$15,'Basin Weights'!$E:$E,0)+($N27-2022))</f>
        <v>0.287996452715164</v>
      </c>
      <c r="BL27" cm="1">
        <f t="array" aca="1" ref="BL27" ca="1">INDIRECT("'Basin Weights'!M"&amp;MATCH(BL$15,'Basin Weights'!$E:$E,0)+($N27-2022))</f>
        <v>0.2807463</v>
      </c>
      <c r="BM27" cm="1">
        <f t="array" aca="1" ref="BM27" ca="1">INDIRECT("'Basin Weights'!M"&amp;MATCH(BM$15,'Basin Weights'!$E:$E,0)+($N27-2022))</f>
        <v>0.128385404115998</v>
      </c>
      <c r="BN27" cm="1">
        <f t="array" aca="1" ref="BN27" ca="1">INDIRECT("'Basin Weights'!M"&amp;MATCH(BN$15,'Basin Weights'!$E:$E,0)+($N27-2022))</f>
        <v>0.29550273404816002</v>
      </c>
      <c r="BO27" cm="1">
        <f t="array" aca="1" ref="BO27" ca="1">INDIRECT("'Basin Weights'!M"&amp;MATCH(BO$15,'Basin Weights'!$E:$E,0)+($N27-2022))</f>
        <v>0.29550273404453797</v>
      </c>
      <c r="BP27" cm="1">
        <f t="array" aca="1" ref="BP27" ca="1">INDIRECT("'Basin Weights'!M"&amp;MATCH(BP$15,'Basin Weights'!$E:$E,0)+($N27-2022))</f>
        <v>0.29529659242488498</v>
      </c>
      <c r="BR27" cm="1">
        <f t="array" aca="1" ref="BR27" ca="1">INDIRECT("'Basin Weights'!N"&amp;MATCH(BR$15,'Basin Weights'!$E:$E,0)+($N27-2022))</f>
        <v>0.14957746999999999</v>
      </c>
      <c r="BS27" cm="1">
        <f t="array" aca="1" ref="BS27" ca="1">INDIRECT("'Basin Weights'!N"&amp;MATCH(BS$15,'Basin Weights'!$E:$E,0)+($N27-2022))</f>
        <v>0.12951149307940299</v>
      </c>
      <c r="BT27" cm="1">
        <f t="array" aca="1" ref="BT27" ca="1">INDIRECT("'Basin Weights'!N"&amp;MATCH(BT$15,'Basin Weights'!$E:$E,0)+($N27-2022))</f>
        <v>0.11534334162903501</v>
      </c>
      <c r="BU27" cm="1">
        <f t="array" aca="1" ref="BU27" ca="1">INDIRECT("'Basin Weights'!N"&amp;MATCH(BU$15,'Basin Weights'!$E:$E,0)+($N27-2022))</f>
        <v>0.12927265004681401</v>
      </c>
      <c r="BV27" cm="1">
        <f t="array" aca="1" ref="BV27" ca="1">INDIRECT("'Basin Weights'!N"&amp;MATCH(BV$15,'Basin Weights'!$E:$E,0)+($N27-2022))</f>
        <v>8.9185273569540494E-2</v>
      </c>
      <c r="BW27" cm="1">
        <f t="array" aca="1" ref="BW27" ca="1">INDIRECT("'Basin Weights'!N"&amp;MATCH(BW$15,'Basin Weights'!$E:$E,0)+($N27-2022))</f>
        <v>6.8363900000000005E-2</v>
      </c>
      <c r="BX27" cm="1">
        <f t="array" aca="1" ref="BX27" ca="1">INDIRECT("'Basin Weights'!N"&amp;MATCH(BX$15,'Basin Weights'!$E:$E,0)+($N27-2022))</f>
        <v>2.0254641843221E-2</v>
      </c>
      <c r="BY27" cm="1">
        <f t="array" aca="1" ref="BY27" ca="1">INDIRECT("'Basin Weights'!N"&amp;MATCH(BY$15,'Basin Weights'!$E:$E,0)+($N27-2022))</f>
        <v>0.13081097798518601</v>
      </c>
      <c r="BZ27" cm="1">
        <f t="array" aca="1" ref="BZ27" ca="1">INDIRECT("'Basin Weights'!N"&amp;MATCH(BZ$15,'Basin Weights'!$E:$E,0)+($N27-2022))</f>
        <v>0.13081097799583999</v>
      </c>
      <c r="CA27" cm="1">
        <f t="array" aca="1" ref="CA27" ca="1">INDIRECT("'Basin Weights'!N"&amp;MATCH(CA$15,'Basin Weights'!$E:$E,0)+($N27-2022))</f>
        <v>0.138453930679759</v>
      </c>
      <c r="CC27" cm="1">
        <f t="array" aca="1" ref="CC27" ca="1">INDIRECT("'Basin Weights'!O"&amp;MATCH(CC$15,'Basin Weights'!$E:$E,0)+($N27-2022))</f>
        <v>0.1096539</v>
      </c>
      <c r="CD27" cm="1">
        <f t="array" aca="1" ref="CD27" ca="1">INDIRECT("'Basin Weights'!O"&amp;MATCH(CD$15,'Basin Weights'!$E:$E,0)+($N27-2022))</f>
        <v>0.12387296197719901</v>
      </c>
      <c r="CE27" cm="1">
        <f t="array" aca="1" ref="CE27" ca="1">INDIRECT("'Basin Weights'!O"&amp;MATCH(CE$15,'Basin Weights'!$E:$E,0)+($N27-2022))</f>
        <v>0.125712537708629</v>
      </c>
      <c r="CF27" cm="1">
        <f t="array" aca="1" ref="CF27" ca="1">INDIRECT("'Basin Weights'!O"&amp;MATCH(CF$15,'Basin Weights'!$E:$E,0)+($N27-2022))</f>
        <v>0.136004010843296</v>
      </c>
      <c r="CG27" cm="1">
        <f t="array" aca="1" ref="CG27" ca="1">INDIRECT("'Basin Weights'!O"&amp;MATCH(CG$15,'Basin Weights'!$E:$E,0)+($N27-2022))</f>
        <v>0.13420991041295199</v>
      </c>
      <c r="CH27" cm="1">
        <f t="array" aca="1" ref="CH27" ca="1">INDIRECT("'Basin Weights'!O"&amp;MATCH(CH$15,'Basin Weights'!$E:$E,0)+($N27-2022))</f>
        <v>0.14108248000000001</v>
      </c>
      <c r="CI27" cm="1">
        <f t="array" aca="1" ref="CI27" ca="1">INDIRECT("'Basin Weights'!O"&amp;MATCH(CI$15,'Basin Weights'!$E:$E,0)+($N27-2022))</f>
        <v>0.18905650208872499</v>
      </c>
      <c r="CJ27" cm="1">
        <f t="array" aca="1" ref="CJ27" ca="1">INDIRECT("'Basin Weights'!O"&amp;MATCH(CJ$15,'Basin Weights'!$E:$E,0)+($N27-2022))</f>
        <v>0.122065745616428</v>
      </c>
      <c r="CK27" cm="1">
        <f t="array" aca="1" ref="CK27" ca="1">INDIRECT("'Basin Weights'!O"&amp;MATCH(CK$15,'Basin Weights'!$E:$E,0)+($N27-2022))</f>
        <v>0.122065745614932</v>
      </c>
      <c r="CL27" cm="1">
        <f t="array" aca="1" ref="CL27" ca="1">INDIRECT("'Basin Weights'!O"&amp;MATCH(CL$15,'Basin Weights'!$E:$E,0)+($N27-2022))</f>
        <v>0.120555331727925</v>
      </c>
      <c r="CN27">
        <f t="shared" ca="1" si="5"/>
        <v>1</v>
      </c>
      <c r="CO27">
        <f t="shared" ca="1" si="2"/>
        <v>1</v>
      </c>
      <c r="CP27">
        <f t="shared" ca="1" si="2"/>
        <v>1.0000000000000009</v>
      </c>
      <c r="CQ27">
        <f t="shared" ca="1" si="2"/>
        <v>1</v>
      </c>
      <c r="CR27">
        <f t="shared" ca="1" si="2"/>
        <v>1.0000000000000004</v>
      </c>
      <c r="CS27">
        <f t="shared" ca="1" si="2"/>
        <v>1.0000000100000002</v>
      </c>
      <c r="CT27">
        <f t="shared" ca="1" si="2"/>
        <v>0.999999999999999</v>
      </c>
      <c r="CU27">
        <f t="shared" ca="1" si="2"/>
        <v>1</v>
      </c>
      <c r="CV27">
        <f t="shared" ca="1" si="2"/>
        <v>1</v>
      </c>
      <c r="CW27">
        <f t="shared" ca="1" si="2"/>
        <v>1</v>
      </c>
    </row>
    <row r="28" spans="2:101" x14ac:dyDescent="0.25">
      <c r="B28">
        <v>2034</v>
      </c>
      <c r="C28" s="69">
        <f>'Gas Supply Commodity Costs'!I14/'Conventional Supply Quantities'!I14</f>
        <v>3.4759597351204081</v>
      </c>
      <c r="D28" s="69">
        <f>'Gas Supply Commodity Costs'!J14/'Conventional Supply Quantities'!J14</f>
        <v>3.4422271117726027</v>
      </c>
      <c r="E28" s="69">
        <f>'Gas Supply Commodity Costs'!K14/'Conventional Supply Quantities'!K14</f>
        <v>3.4435610762756323</v>
      </c>
      <c r="F28" s="69">
        <f>'Gas Supply Commodity Costs'!L14/'Conventional Supply Quantities'!L14</f>
        <v>3.3778332656733867</v>
      </c>
      <c r="G28" s="69">
        <f>'Gas Supply Commodity Costs'!M14/'Conventional Supply Quantities'!M14</f>
        <v>3.41687942235344</v>
      </c>
      <c r="H28" s="69">
        <f>'Gas Supply Commodity Costs'!N14/'Conventional Supply Quantities'!N14</f>
        <v>3.3881756160778234</v>
      </c>
      <c r="I28" s="69">
        <f>'Gas Supply Commodity Costs'!O14/'Conventional Supply Quantities'!O14</f>
        <v>3.2162529376723317</v>
      </c>
      <c r="J28" s="69">
        <f>'Gas Supply Commodity Costs'!P14/'Conventional Supply Quantities'!P14</f>
        <v>3.4494916723837279</v>
      </c>
      <c r="K28" s="69">
        <f>'Gas Supply Commodity Costs'!Q14/'Conventional Supply Quantities'!Q14</f>
        <v>3.4494916724050761</v>
      </c>
      <c r="L28" s="69">
        <f>'Gas Supply Commodity Costs'!R14/'Conventional Supply Quantities'!R14</f>
        <v>3.4532767841516478</v>
      </c>
      <c r="N28">
        <v>2034</v>
      </c>
      <c r="O28" s="69">
        <f t="shared" ca="1" si="3"/>
        <v>1.7766208391419919E-2</v>
      </c>
      <c r="P28" s="69">
        <f t="shared" ca="1" si="0"/>
        <v>1.8888605763062904E-2</v>
      </c>
      <c r="Q28" s="69">
        <f t="shared" ca="1" si="0"/>
        <v>1.905949075809173E-2</v>
      </c>
      <c r="R28" s="69">
        <f t="shared" ca="1" si="0"/>
        <v>1.9820837986086613E-2</v>
      </c>
      <c r="S28" s="69">
        <f t="shared" ca="1" si="0"/>
        <v>1.972155699265106E-2</v>
      </c>
      <c r="T28" s="69">
        <f t="shared" ca="1" si="0"/>
        <v>2.0389950777970896E-2</v>
      </c>
      <c r="U28" s="69">
        <f t="shared" ca="1" si="0"/>
        <v>2.4316978902105428E-2</v>
      </c>
      <c r="V28" s="69">
        <f t="shared" ca="1" si="0"/>
        <v>1.8776301433353116E-2</v>
      </c>
      <c r="W28" s="69">
        <f t="shared" ca="1" si="0"/>
        <v>1.8776301433365346E-2</v>
      </c>
      <c r="X28" s="69">
        <f t="shared" ca="1" si="0"/>
        <v>1.8637692603270618E-2</v>
      </c>
      <c r="Z28" s="71">
        <f t="shared" ca="1" si="4"/>
        <v>2.2457148355965705E-2</v>
      </c>
      <c r="AA28" s="71">
        <f t="shared" ca="1" si="1"/>
        <v>2.410833469037205E-2</v>
      </c>
      <c r="AB28" s="71">
        <f t="shared" ca="1" si="1"/>
        <v>2.4446890762798108E-2</v>
      </c>
      <c r="AC28" s="71">
        <f t="shared" ca="1" si="1"/>
        <v>2.5265483574616655E-2</v>
      </c>
      <c r="AD28" s="71">
        <f t="shared" ca="1" si="1"/>
        <v>2.5411086304042128E-2</v>
      </c>
      <c r="AE28" s="71">
        <f t="shared" ca="1" si="1"/>
        <v>2.6425407165962631E-2</v>
      </c>
      <c r="AF28" s="71">
        <f t="shared" ca="1" si="1"/>
        <v>3.2065712371088198E-2</v>
      </c>
      <c r="AG28" s="71">
        <f t="shared" ca="1" si="1"/>
        <v>2.3998852180549587E-2</v>
      </c>
      <c r="AH28" s="71">
        <f t="shared" ca="1" si="1"/>
        <v>2.3998852180515354E-2</v>
      </c>
      <c r="AI28" s="71">
        <f t="shared" ca="1" si="1"/>
        <v>2.3771228123852049E-2</v>
      </c>
      <c r="AK28" cm="1">
        <f t="array" aca="1" ref="AK28" ca="1">INDIRECT("'Basin Weights'!L"&amp;MATCH(AK$15,'Basin Weights'!$E:$E,0)+($N28-2022))*(1-INDIRECT("'Star Road Flow'!J"&amp;MATCH(AK$15,'Star Road Flow'!$E:$E,0)+($N28-2022)))</f>
        <v>0.39622587979282892</v>
      </c>
      <c r="AL28" cm="1">
        <f t="array" aca="1" ref="AL28" ca="1">INDIRECT("'Basin Weights'!L"&amp;MATCH(AL$15,'Basin Weights'!$E:$E,0)+($N28-2022))*(1-INDIRECT("'Star Road Flow'!J"&amp;MATCH(AL$15,'Star Road Flow'!$E:$E,0)+($N28-2022)))</f>
        <v>0.44051156679253206</v>
      </c>
      <c r="AM28" cm="1">
        <f t="array" aca="1" ref="AM28" ca="1">INDIRECT("'Basin Weights'!L"&amp;MATCH(AM$15,'Basin Weights'!$E:$E,0)+($N28-2022))*(1-INDIRECT("'Star Road Flow'!J"&amp;MATCH(AM$15,'Star Road Flow'!$E:$E,0)+($N28-2022)))</f>
        <v>0.4508541524831598</v>
      </c>
      <c r="AN28" cm="1">
        <f t="array" aca="1" ref="AN28" ca="1">INDIRECT("'Basin Weights'!L"&amp;MATCH(AN$15,'Basin Weights'!$E:$E,0)+($N28-2022))*(1-INDIRECT("'Star Road Flow'!J"&amp;MATCH(AN$15,'Star Road Flow'!$E:$E,0)+($N28-2022)))</f>
        <v>0.46839928807148934</v>
      </c>
      <c r="AO28" cm="1">
        <f t="array" aca="1" ref="AO28" ca="1">INDIRECT("'Basin Weights'!L"&amp;MATCH(AO$15,'Basin Weights'!$E:$E,0)+($N28-2022))*(1-INDIRECT("'Star Road Flow'!J"&amp;MATCH(AO$15,'Star Road Flow'!$E:$E,0)+($N28-2022)))</f>
        <v>0.47657265436295576</v>
      </c>
      <c r="AP28" cm="1">
        <f t="array" aca="1" ref="AP28" ca="1">INDIRECT("'Basin Weights'!L"&amp;MATCH(AP$15,'Basin Weights'!$E:$E,0)+($N28-2022))*(1-INDIRECT("'Star Road Flow'!J"&amp;MATCH(AP$15,'Star Road Flow'!$E:$E,0)+($N28-2022)))</f>
        <v>0.50422666927532078</v>
      </c>
      <c r="AQ28" cm="1">
        <f t="array" aca="1" ref="AQ28" ca="1">INDIRECT("'Basin Weights'!L"&amp;MATCH(AQ$15,'Basin Weights'!$E:$E,0)+($N28-2022))*(1-INDIRECT("'Star Road Flow'!J"&amp;MATCH(AQ$15,'Star Road Flow'!$E:$E,0)+($N28-2022)))</f>
        <v>0.65322282019799405</v>
      </c>
      <c r="AR28" cm="1">
        <f t="array" aca="1" ref="AR28" ca="1">INDIRECT("'Basin Weights'!L"&amp;MATCH(AR$15,'Basin Weights'!$E:$E,0)+($N28-2022))*(1-INDIRECT("'Star Road Flow'!J"&amp;MATCH(AR$15,'Star Road Flow'!$E:$E,0)+($N28-2022)))</f>
        <v>0.43838231194903787</v>
      </c>
      <c r="AS28" cm="1">
        <f t="array" aca="1" ref="AS28" ca="1">INDIRECT("'Basin Weights'!L"&amp;MATCH(AS$15,'Basin Weights'!$E:$E,0)+($N28-2022))*(1-INDIRECT("'Star Road Flow'!J"&amp;MATCH(AS$15,'Star Road Flow'!$E:$E,0)+($N28-2022)))</f>
        <v>0.43838231194761307</v>
      </c>
      <c r="AT28" cm="1">
        <f t="array" aca="1" ref="AT28" ca="1">INDIRECT("'Basin Weights'!L"&amp;MATCH(AT$15,'Basin Weights'!$E:$E,0)+($N28-2022))*(1-INDIRECT("'Star Road Flow'!J"&amp;MATCH(AT$15,'Star Road Flow'!$E:$E,0)+($N28-2022)))</f>
        <v>0.43193388949365785</v>
      </c>
      <c r="AV28" cm="1">
        <f t="array" aca="1" ref="AV28" ca="1">INDIRECT("'Basin Weights'!L"&amp;MATCH(AV$15,'Basin Weights'!$E:$E,0)+($N28-2022))*INDIRECT("'Star Road Flow'!J"&amp;MATCH(AV$15,'Star Road Flow'!$E:$E,0)+($N28-2022))</f>
        <v>1.3414880207171086E-2</v>
      </c>
      <c r="AW28" cm="1">
        <f t="array" aca="1" ref="AW28" ca="1">INDIRECT("'Basin Weights'!L"&amp;MATCH(AW$15,'Basin Weights'!$E:$E,0)+($N28-2022))*INDIRECT("'Star Road Flow'!J"&amp;MATCH(AW$15,'Star Road Flow'!$E:$E,0)+($N28-2022))</f>
        <v>1.5354564972726916E-2</v>
      </c>
      <c r="AX28" cm="1">
        <f t="array" aca="1" ref="AX28" ca="1">INDIRECT("'Basin Weights'!L"&amp;MATCH(AX$15,'Basin Weights'!$E:$E,0)+($N28-2022))*INDIRECT("'Star Road Flow'!J"&amp;MATCH(AX$15,'Star Road Flow'!$E:$E,0)+($N28-2022))</f>
        <v>1.5605159685725178E-2</v>
      </c>
      <c r="AY28" cm="1">
        <f t="array" aca="1" ref="AY28" ca="1">INDIRECT("'Basin Weights'!L"&amp;MATCH(AY$15,'Basin Weights'!$E:$E,0)+($N28-2022))*INDIRECT("'Star Road Flow'!J"&amp;MATCH(AY$15,'Star Road Flow'!$E:$E,0)+($N28-2022))</f>
        <v>1.7131314618834687E-2</v>
      </c>
      <c r="AZ28" cm="1">
        <f t="array" aca="1" ref="AZ28" ca="1">INDIRECT("'Basin Weights'!L"&amp;MATCH(AZ$15,'Basin Weights'!$E:$E,0)+($N28-2022))*INDIRECT("'Star Road Flow'!J"&amp;MATCH(AZ$15,'Star Road Flow'!$E:$E,0)+($N28-2022))</f>
        <v>1.6754338648412245E-2</v>
      </c>
      <c r="BA28" cm="1">
        <f t="array" aca="1" ref="BA28" ca="1">INDIRECT("'Basin Weights'!L"&amp;MATCH(BA$15,'Basin Weights'!$E:$E,0)+($N28-2022))*INDIRECT("'Star Road Flow'!J"&amp;MATCH(BA$15,'Star Road Flow'!$E:$E,0)+($N28-2022))</f>
        <v>1.7893510724679224E-2</v>
      </c>
      <c r="BB28" cm="1">
        <f t="array" aca="1" ref="BB28" ca="1">INDIRECT("'Basin Weights'!L"&amp;MATCH(BB$15,'Basin Weights'!$E:$E,0)+($N28-2022))*INDIRECT("'Star Road Flow'!J"&amp;MATCH(BB$15,'Star Road Flow'!$E:$E,0)+($N28-2022))</f>
        <v>2.5125243802117989E-2</v>
      </c>
      <c r="BC28" cm="1">
        <f t="array" aca="1" ref="BC28" ca="1">INDIRECT("'Basin Weights'!L"&amp;MATCH(BC$15,'Basin Weights'!$E:$E,0)+($N28-2022))*INDIRECT("'Star Road Flow'!J"&amp;MATCH(BC$15,'Star Road Flow'!$E:$E,0)+($N28-2022))</f>
        <v>1.5131889933181181E-2</v>
      </c>
      <c r="BD28" cm="1">
        <f t="array" aca="1" ref="BD28" ca="1">INDIRECT("'Basin Weights'!L"&amp;MATCH(BD$15,'Basin Weights'!$E:$E,0)+($N28-2022))*INDIRECT("'Star Road Flow'!J"&amp;MATCH(BD$15,'Star Road Flow'!$E:$E,0)+($N28-2022))</f>
        <v>1.5131889932914916E-2</v>
      </c>
      <c r="BE28" cm="1">
        <f t="array" aca="1" ref="BE28" ca="1">INDIRECT("'Basin Weights'!L"&amp;MATCH(BE$15,'Basin Weights'!$E:$E,0)+($N28-2022))*INDIRECT("'Star Road Flow'!J"&amp;MATCH(BE$15,'Star Road Flow'!$E:$E,0)+($N28-2022))</f>
        <v>1.4904518373104135E-2</v>
      </c>
      <c r="BG28" cm="1">
        <f t="array" aca="1" ref="BG28" ca="1">INDIRECT("'Basin Weights'!M"&amp;MATCH(BG$15,'Basin Weights'!$E:$E,0)+($N28-2022))</f>
        <v>0.3315476</v>
      </c>
      <c r="BH28" cm="1">
        <f t="array" aca="1" ref="BH28" ca="1">INDIRECT("'Basin Weights'!M"&amp;MATCH(BH$15,'Basin Weights'!$E:$E,0)+($N28-2022))</f>
        <v>0.29039832849774699</v>
      </c>
      <c r="BI28" cm="1">
        <f t="array" aca="1" ref="BI28" ca="1">INDIRECT("'Basin Weights'!M"&amp;MATCH(BI$15,'Basin Weights'!$E:$E,0)+($N28-2022))</f>
        <v>0.29304703662371501</v>
      </c>
      <c r="BJ28" cm="1">
        <f t="array" aca="1" ref="BJ28" ca="1">INDIRECT("'Basin Weights'!M"&amp;MATCH(BJ$15,'Basin Weights'!$E:$E,0)+($N28-2022))</f>
        <v>0.246887290600277</v>
      </c>
      <c r="BK28" cm="1">
        <f t="array" aca="1" ref="BK28" ca="1">INDIRECT("'Basin Weights'!M"&amp;MATCH(BK$15,'Basin Weights'!$E:$E,0)+($N28-2022))</f>
        <v>0.28388272339623</v>
      </c>
      <c r="BL28" cm="1">
        <f t="array" aca="1" ref="BL28" ca="1">INDIRECT("'Basin Weights'!M"&amp;MATCH(BL$15,'Basin Weights'!$E:$E,0)+($N28-2022))</f>
        <v>0.26875130000000003</v>
      </c>
      <c r="BM28" cm="1">
        <f t="array" aca="1" ref="BM28" ca="1">INDIRECT("'Basin Weights'!M"&amp;MATCH(BM$15,'Basin Weights'!$E:$E,0)+($N28-2022))</f>
        <v>0.105882707894663</v>
      </c>
      <c r="BN28" cm="1">
        <f t="array" aca="1" ref="BN28" ca="1">INDIRECT("'Basin Weights'!M"&amp;MATCH(BN$15,'Basin Weights'!$E:$E,0)+($N28-2022))</f>
        <v>0.293259874732828</v>
      </c>
      <c r="BO28" cm="1">
        <f t="array" aca="1" ref="BO28" ca="1">INDIRECT("'Basin Weights'!M"&amp;MATCH(BO$15,'Basin Weights'!$E:$E,0)+($N28-2022))</f>
        <v>0.29325987473064102</v>
      </c>
      <c r="BP28" cm="1">
        <f t="array" aca="1" ref="BP28" ca="1">INDIRECT("'Basin Weights'!M"&amp;MATCH(BP$15,'Basin Weights'!$E:$E,0)+($N28-2022))</f>
        <v>0.29356748709679598</v>
      </c>
      <c r="BR28" cm="1">
        <f t="array" aca="1" ref="BR28" ca="1">INDIRECT("'Basin Weights'!N"&amp;MATCH(BR$15,'Basin Weights'!$E:$E,0)+($N28-2022))</f>
        <v>0.14954287999999999</v>
      </c>
      <c r="BS28" cm="1">
        <f t="array" aca="1" ref="BS28" ca="1">INDIRECT("'Basin Weights'!N"&amp;MATCH(BS$15,'Basin Weights'!$E:$E,0)+($N28-2022))</f>
        <v>0.12866739051697301</v>
      </c>
      <c r="BT28" cm="1">
        <f t="array" aca="1" ref="BT28" ca="1">INDIRECT("'Basin Weights'!N"&amp;MATCH(BT$15,'Basin Weights'!$E:$E,0)+($N28-2022))</f>
        <v>0.11338432289710899</v>
      </c>
      <c r="BU28" cm="1">
        <f t="array" aca="1" ref="BU28" ca="1">INDIRECT("'Basin Weights'!N"&amp;MATCH(BU$15,'Basin Weights'!$E:$E,0)+($N28-2022))</f>
        <v>0.128494210492062</v>
      </c>
      <c r="BV28" cm="1">
        <f t="array" aca="1" ref="BV28" ca="1">INDIRECT("'Basin Weights'!N"&amp;MATCH(BV$15,'Basin Weights'!$E:$E,0)+($N28-2022))</f>
        <v>8.6320502137803803E-2</v>
      </c>
      <c r="BW28" cm="1">
        <f t="array" aca="1" ref="BW28" ca="1">INDIRECT("'Basin Weights'!N"&amp;MATCH(BW$15,'Basin Weights'!$E:$E,0)+($N28-2022))</f>
        <v>6.33798E-2</v>
      </c>
      <c r="BX28" cm="1">
        <f t="array" aca="1" ref="BX28" ca="1">INDIRECT("'Basin Weights'!N"&amp;MATCH(BX$15,'Basin Weights'!$E:$E,0)+($N28-2022))</f>
        <v>1.41586748988478E-2</v>
      </c>
      <c r="BY28" cm="1">
        <f t="array" aca="1" ref="BY28" ca="1">INDIRECT("'Basin Weights'!N"&amp;MATCH(BY$15,'Basin Weights'!$E:$E,0)+($N28-2022))</f>
        <v>0.129971538028124</v>
      </c>
      <c r="BZ28" cm="1">
        <f t="array" aca="1" ref="BZ28" ca="1">INDIRECT("'Basin Weights'!N"&amp;MATCH(BZ$15,'Basin Weights'!$E:$E,0)+($N28-2022))</f>
        <v>0.12997153803162101</v>
      </c>
      <c r="CA28" cm="1">
        <f t="array" aca="1" ref="CA28" ca="1">INDIRECT("'Basin Weights'!N"&amp;MATCH(CA$15,'Basin Weights'!$E:$E,0)+($N28-2022))</f>
        <v>0.13819173829714301</v>
      </c>
      <c r="CC28" cm="1">
        <f t="array" aca="1" ref="CC28" ca="1">INDIRECT("'Basin Weights'!O"&amp;MATCH(CC$15,'Basin Weights'!$E:$E,0)+($N28-2022))</f>
        <v>0.10926876000000001</v>
      </c>
      <c r="CD28" cm="1">
        <f t="array" aca="1" ref="CD28" ca="1">INDIRECT("'Basin Weights'!O"&amp;MATCH(CD$15,'Basin Weights'!$E:$E,0)+($N28-2022))</f>
        <v>0.12506814922001999</v>
      </c>
      <c r="CE28" cm="1">
        <f t="array" aca="1" ref="CE28" ca="1">INDIRECT("'Basin Weights'!O"&amp;MATCH(CE$15,'Basin Weights'!$E:$E,0)+($N28-2022))</f>
        <v>0.12710932831029101</v>
      </c>
      <c r="CF28" cm="1">
        <f t="array" aca="1" ref="CF28" ca="1">INDIRECT("'Basin Weights'!O"&amp;MATCH(CF$15,'Basin Weights'!$E:$E,0)+($N28-2022))</f>
        <v>0.139087896217337</v>
      </c>
      <c r="CG28" cm="1">
        <f t="array" aca="1" ref="CG28" ca="1">INDIRECT("'Basin Weights'!O"&amp;MATCH(CG$15,'Basin Weights'!$E:$E,0)+($N28-2022))</f>
        <v>0.13646978145459901</v>
      </c>
      <c r="CH28" cm="1">
        <f t="array" aca="1" ref="CH28" ca="1">INDIRECT("'Basin Weights'!O"&amp;MATCH(CH$15,'Basin Weights'!$E:$E,0)+($N28-2022))</f>
        <v>0.14574872</v>
      </c>
      <c r="CI28" cm="1">
        <f t="array" aca="1" ref="CI28" ca="1">INDIRECT("'Basin Weights'!O"&amp;MATCH(CI$15,'Basin Weights'!$E:$E,0)+($N28-2022))</f>
        <v>0.201610553206377</v>
      </c>
      <c r="CJ28" cm="1">
        <f t="array" aca="1" ref="CJ28" ca="1">INDIRECT("'Basin Weights'!O"&amp;MATCH(CJ$15,'Basin Weights'!$E:$E,0)+($N28-2022))</f>
        <v>0.123254385356829</v>
      </c>
      <c r="CK28" cm="1">
        <f t="array" aca="1" ref="CK28" ca="1">INDIRECT("'Basin Weights'!O"&amp;MATCH(CK$15,'Basin Weights'!$E:$E,0)+($N28-2022))</f>
        <v>0.12325438535721001</v>
      </c>
      <c r="CL28" cm="1">
        <f t="array" aca="1" ref="CL28" ca="1">INDIRECT("'Basin Weights'!O"&amp;MATCH(CL$15,'Basin Weights'!$E:$E,0)+($N28-2022))</f>
        <v>0.12140236673929899</v>
      </c>
      <c r="CN28">
        <f t="shared" ca="1" si="5"/>
        <v>1</v>
      </c>
      <c r="CO28">
        <f t="shared" ca="1" si="2"/>
        <v>0.99999999999999911</v>
      </c>
      <c r="CP28">
        <f t="shared" ca="1" si="2"/>
        <v>1</v>
      </c>
      <c r="CQ28">
        <f t="shared" ca="1" si="2"/>
        <v>1</v>
      </c>
      <c r="CR28">
        <f t="shared" ca="1" si="2"/>
        <v>1.0000000000000009</v>
      </c>
      <c r="CS28">
        <f t="shared" ca="1" si="2"/>
        <v>1</v>
      </c>
      <c r="CT28">
        <f t="shared" ca="1" si="2"/>
        <v>0.99999999999999989</v>
      </c>
      <c r="CU28">
        <f t="shared" ca="1" si="2"/>
        <v>1</v>
      </c>
      <c r="CV28">
        <f t="shared" ca="1" si="2"/>
        <v>1</v>
      </c>
      <c r="CW28">
        <f t="shared" ca="1" si="2"/>
        <v>1</v>
      </c>
    </row>
    <row r="29" spans="2:101" x14ac:dyDescent="0.25">
      <c r="B29">
        <v>2035</v>
      </c>
      <c r="C29" s="69">
        <f>'Gas Supply Commodity Costs'!I15/'Conventional Supply Quantities'!I15</f>
        <v>3.4859600958073993</v>
      </c>
      <c r="D29" s="69">
        <f>'Gas Supply Commodity Costs'!J15/'Conventional Supply Quantities'!J15</f>
        <v>3.4463699257959379</v>
      </c>
      <c r="E29" s="69">
        <f>'Gas Supply Commodity Costs'!K15/'Conventional Supply Quantities'!K15</f>
        <v>3.4474705157303953</v>
      </c>
      <c r="F29" s="69">
        <f>'Gas Supply Commodity Costs'!L15/'Conventional Supply Quantities'!L15</f>
        <v>3.3736501840316633</v>
      </c>
      <c r="G29" s="69">
        <f>'Gas Supply Commodity Costs'!M15/'Conventional Supply Quantities'!M15</f>
        <v>3.4165253669082918</v>
      </c>
      <c r="H29" s="69">
        <f>'Gas Supply Commodity Costs'!N15/'Conventional Supply Quantities'!N15</f>
        <v>3.3816046066430396</v>
      </c>
      <c r="I29" s="69">
        <f>'Gas Supply Commodity Costs'!O15/'Conventional Supply Quantities'!O15</f>
        <v>3.2362496078765761</v>
      </c>
      <c r="J29" s="69">
        <f>'Gas Supply Commodity Costs'!P15/'Conventional Supply Quantities'!P15</f>
        <v>3.4540818600702732</v>
      </c>
      <c r="K29" s="69">
        <f>'Gas Supply Commodity Costs'!Q15/'Conventional Supply Quantities'!Q15</f>
        <v>3.4540818601317986</v>
      </c>
      <c r="L29" s="69">
        <f>'Gas Supply Commodity Costs'!R15/'Conventional Supply Quantities'!R15</f>
        <v>3.4593120019244781</v>
      </c>
      <c r="N29">
        <v>2035</v>
      </c>
      <c r="O29" s="69">
        <f t="shared" ca="1" si="3"/>
        <v>1.776881148442256E-2</v>
      </c>
      <c r="P29" s="69">
        <f t="shared" ca="1" si="0"/>
        <v>1.9048190355441662E-2</v>
      </c>
      <c r="Q29" s="69">
        <f t="shared" ca="1" si="0"/>
        <v>1.9223688919479644E-2</v>
      </c>
      <c r="R29" s="69">
        <f t="shared" ca="1" si="0"/>
        <v>2.0202266977543321E-2</v>
      </c>
      <c r="S29" s="69">
        <f t="shared" ca="1" si="0"/>
        <v>1.9990801239407371E-2</v>
      </c>
      <c r="T29" s="69">
        <f t="shared" ca="1" si="0"/>
        <v>2.0834278031673731E-2</v>
      </c>
      <c r="U29" s="69">
        <f t="shared" ca="1" si="0"/>
        <v>2.4492216361257643E-2</v>
      </c>
      <c r="V29" s="69">
        <f t="shared" ca="1" si="0"/>
        <v>1.8911430155293577E-2</v>
      </c>
      <c r="W29" s="69">
        <f t="shared" ca="1" si="0"/>
        <v>1.8911430155205505E-2</v>
      </c>
      <c r="X29" s="69">
        <f t="shared" ca="1" si="0"/>
        <v>1.8744651777761391E-2</v>
      </c>
      <c r="Z29" s="71">
        <f t="shared" ca="1" si="4"/>
        <v>2.2493905173117397E-2</v>
      </c>
      <c r="AA29" s="71">
        <f t="shared" ca="1" si="1"/>
        <v>2.4643617578662111E-2</v>
      </c>
      <c r="AB29" s="71">
        <f t="shared" ca="1" si="1"/>
        <v>2.4938504017056731E-2</v>
      </c>
      <c r="AC29" s="71">
        <f t="shared" ca="1" si="1"/>
        <v>2.6367678373003509E-2</v>
      </c>
      <c r="AD29" s="71">
        <f t="shared" ca="1" si="1"/>
        <v>2.6227466243682926E-2</v>
      </c>
      <c r="AE29" s="71">
        <f t="shared" ca="1" si="1"/>
        <v>2.7644742238632194E-2</v>
      </c>
      <c r="AF29" s="71">
        <f t="shared" ca="1" si="1"/>
        <v>3.2701660317969228E-2</v>
      </c>
      <c r="AG29" s="71">
        <f t="shared" ca="1" si="1"/>
        <v>2.4413822374599548E-2</v>
      </c>
      <c r="AH29" s="71">
        <f t="shared" ca="1" si="1"/>
        <v>2.4413822374451583E-2</v>
      </c>
      <c r="AI29" s="71">
        <f t="shared" ca="1" si="1"/>
        <v>2.4133588276837668E-2</v>
      </c>
      <c r="AK29" cm="1">
        <f t="array" aca="1" ref="AK29" ca="1">INDIRECT("'Basin Weights'!L"&amp;MATCH(AK$15,'Basin Weights'!$E:$E,0)+($N29-2022))*(1-INDIRECT("'Star Road Flow'!J"&amp;MATCH(AK$15,'Star Road Flow'!$E:$E,0)+($N29-2022)))</f>
        <v>0.39768858515091399</v>
      </c>
      <c r="AL29" cm="1">
        <f t="array" aca="1" ref="AL29" ca="1">INDIRECT("'Basin Weights'!L"&amp;MATCH(AL$15,'Basin Weights'!$E:$E,0)+($N29-2022))*(1-INDIRECT("'Star Road Flow'!J"&amp;MATCH(AL$15,'Star Road Flow'!$E:$E,0)+($N29-2022)))</f>
        <v>0.45922031687725695</v>
      </c>
      <c r="AM29" cm="1">
        <f t="array" aca="1" ref="AM29" ca="1">INDIRECT("'Basin Weights'!L"&amp;MATCH(AM$15,'Basin Weights'!$E:$E,0)+($N29-2022))*(1-INDIRECT("'Star Road Flow'!J"&amp;MATCH(AM$15,'Star Road Flow'!$E:$E,0)+($N29-2022)))</f>
        <v>0.4676609221845347</v>
      </c>
      <c r="AN29" cm="1">
        <f t="array" aca="1" ref="AN29" ca="1">INDIRECT("'Basin Weights'!L"&amp;MATCH(AN$15,'Basin Weights'!$E:$E,0)+($N29-2022))*(1-INDIRECT("'Star Road Flow'!J"&amp;MATCH(AN$15,'Star Road Flow'!$E:$E,0)+($N29-2022)))</f>
        <v>0.50584099442772301</v>
      </c>
      <c r="AO29" cm="1">
        <f t="array" aca="1" ref="AO29" ca="1">INDIRECT("'Basin Weights'!L"&amp;MATCH(AO$15,'Basin Weights'!$E:$E,0)+($N29-2022))*(1-INDIRECT("'Star Road Flow'!J"&amp;MATCH(AO$15,'Star Road Flow'!$E:$E,0)+($N29-2022)))</f>
        <v>0.50455519738474486</v>
      </c>
      <c r="AP29" cm="1">
        <f t="array" aca="1" ref="AP29" ca="1">INDIRECT("'Basin Weights'!L"&amp;MATCH(AP$15,'Basin Weights'!$E:$E,0)+($N29-2022))*(1-INDIRECT("'Star Road Flow'!J"&amp;MATCH(AP$15,'Star Road Flow'!$E:$E,0)+($N29-2022)))</f>
        <v>0.54512223059776144</v>
      </c>
      <c r="AQ29" cm="1">
        <f t="array" aca="1" ref="AQ29" ca="1">INDIRECT("'Basin Weights'!L"&amp;MATCH(AQ$15,'Basin Weights'!$E:$E,0)+($N29-2022))*(1-INDIRECT("'Star Road Flow'!J"&amp;MATCH(AQ$15,'Star Road Flow'!$E:$E,0)+($N29-2022)))</f>
        <v>0.67566941491620214</v>
      </c>
      <c r="AR29" cm="1">
        <f t="array" aca="1" ref="AR29" ca="1">INDIRECT("'Basin Weights'!L"&amp;MATCH(AR$15,'Basin Weights'!$E:$E,0)+($N29-2022))*(1-INDIRECT("'Star Road Flow'!J"&amp;MATCH(AR$15,'Star Road Flow'!$E:$E,0)+($N29-2022)))</f>
        <v>0.45264283359400853</v>
      </c>
      <c r="AS29" cm="1">
        <f t="array" aca="1" ref="AS29" ca="1">INDIRECT("'Basin Weights'!L"&amp;MATCH(AS$15,'Basin Weights'!$E:$E,0)+($N29-2022))*(1-INDIRECT("'Star Road Flow'!J"&amp;MATCH(AS$15,'Star Road Flow'!$E:$E,0)+($N29-2022)))</f>
        <v>0.45264283358977325</v>
      </c>
      <c r="AT29" cm="1">
        <f t="array" aca="1" ref="AT29" ca="1">INDIRECT("'Basin Weights'!L"&amp;MATCH(AT$15,'Basin Weights'!$E:$E,0)+($N29-2022))*(1-INDIRECT("'Star Road Flow'!J"&amp;MATCH(AT$15,'Star Road Flow'!$E:$E,0)+($N29-2022)))</f>
        <v>0.44462162574963965</v>
      </c>
      <c r="AV29" cm="1">
        <f t="array" aca="1" ref="AV29" ca="1">INDIRECT("'Basin Weights'!L"&amp;MATCH(AV$15,'Basin Weights'!$E:$E,0)+($N29-2022))*INDIRECT("'Star Road Flow'!J"&amp;MATCH(AV$15,'Star Road Flow'!$E:$E,0)+($N29-2022))</f>
        <v>1.3402484849086007E-2</v>
      </c>
      <c r="AW29" cm="1">
        <f t="array" aca="1" ref="AW29" ca="1">INDIRECT("'Basin Weights'!L"&amp;MATCH(AW$15,'Basin Weights'!$E:$E,0)+($N29-2022))*INDIRECT("'Star Road Flow'!J"&amp;MATCH(AW$15,'Star Road Flow'!$E:$E,0)+($N29-2022))</f>
        <v>1.5476162930360049E-2</v>
      </c>
      <c r="AX29" cm="1">
        <f t="array" aca="1" ref="AX29" ca="1">INDIRECT("'Basin Weights'!L"&amp;MATCH(AX$15,'Basin Weights'!$E:$E,0)+($N29-2022))*INDIRECT("'Star Road Flow'!J"&amp;MATCH(AX$15,'Star Road Flow'!$E:$E,0)+($N29-2022))</f>
        <v>1.5760619384409331E-2</v>
      </c>
      <c r="AY29" cm="1">
        <f t="array" aca="1" ref="AY29" ca="1">INDIRECT("'Basin Weights'!L"&amp;MATCH(AY$15,'Basin Weights'!$E:$E,0)+($N29-2022))*INDIRECT("'Star Road Flow'!J"&amp;MATCH(AY$15,'Star Road Flow'!$E:$E,0)+($N29-2022))</f>
        <v>1.745711530270197E-2</v>
      </c>
      <c r="AZ29" cm="1">
        <f t="array" aca="1" ref="AZ29" ca="1">INDIRECT("'Basin Weights'!L"&amp;MATCH(AZ$15,'Basin Weights'!$E:$E,0)+($N29-2022))*INDIRECT("'Star Road Flow'!J"&amp;MATCH(AZ$15,'Star Road Flow'!$E:$E,0)+($N29-2022))</f>
        <v>1.7003991668281107E-2</v>
      </c>
      <c r="BA29" cm="1">
        <f t="array" aca="1" ref="BA29" ca="1">INDIRECT("'Basin Weights'!L"&amp;MATCH(BA$15,'Basin Weights'!$E:$E,0)+($N29-2022))*INDIRECT("'Star Road Flow'!J"&amp;MATCH(BA$15,'Star Road Flow'!$E:$E,0)+($N29-2022))</f>
        <v>1.8371139402238574E-2</v>
      </c>
      <c r="BB29" cm="1">
        <f t="array" aca="1" ref="BB29" ca="1">INDIRECT("'Basin Weights'!L"&amp;MATCH(BB$15,'Basin Weights'!$E:$E,0)+($N29-2022))*INDIRECT("'Star Road Flow'!J"&amp;MATCH(BB$15,'Star Road Flow'!$E:$E,0)+($N29-2022))</f>
        <v>2.5342817020161813E-2</v>
      </c>
      <c r="BC29" cm="1">
        <f t="array" aca="1" ref="BC29" ca="1">INDIRECT("'Basin Weights'!L"&amp;MATCH(BC$15,'Basin Weights'!$E:$E,0)+($N29-2022))*INDIRECT("'Star Road Flow'!J"&amp;MATCH(BC$15,'Star Road Flow'!$E:$E,0)+($N29-2022))</f>
        <v>1.5254495466569505E-2</v>
      </c>
      <c r="BD29" cm="1">
        <f t="array" aca="1" ref="BD29" ca="1">INDIRECT("'Basin Weights'!L"&amp;MATCH(BD$15,'Basin Weights'!$E:$E,0)+($N29-2022))*INDIRECT("'Star Road Flow'!J"&amp;MATCH(BD$15,'Star Road Flow'!$E:$E,0)+($N29-2022))</f>
        <v>1.5254495466426772E-2</v>
      </c>
      <c r="BE29" cm="1">
        <f t="array" aca="1" ref="BE29" ca="1">INDIRECT("'Basin Weights'!L"&amp;MATCH(BE$15,'Basin Weights'!$E:$E,0)+($N29-2022))*INDIRECT("'Star Road Flow'!J"&amp;MATCH(BE$15,'Star Road Flow'!$E:$E,0)+($N29-2022))</f>
        <v>1.4984173107267369E-2</v>
      </c>
      <c r="BG29" cm="1">
        <f t="array" aca="1" ref="BG29" ca="1">INDIRECT("'Basin Weights'!M"&amp;MATCH(BG$15,'Basin Weights'!$E:$E,0)+($N29-2022))</f>
        <v>0.32858556999999999</v>
      </c>
      <c r="BH29" cm="1">
        <f t="array" aca="1" ref="BH29" ca="1">INDIRECT("'Basin Weights'!M"&amp;MATCH(BH$15,'Basin Weights'!$E:$E,0)+($N29-2022))</f>
        <v>0.25284411731400203</v>
      </c>
      <c r="BI29" cm="1">
        <f t="array" aca="1" ref="BI29" ca="1">INDIRECT("'Basin Weights'!M"&amp;MATCH(BI$15,'Basin Weights'!$E:$E,0)+($N29-2022))</f>
        <v>0.24966145065982001</v>
      </c>
      <c r="BJ29" cm="1">
        <f t="array" aca="1" ref="BJ29" ca="1">INDIRECT("'Basin Weights'!M"&amp;MATCH(BJ$15,'Basin Weights'!$E:$E,0)+($N29-2022))</f>
        <v>0.18789198173278701</v>
      </c>
      <c r="BK29" cm="1">
        <f t="array" aca="1" ref="BK29" ca="1">INDIRECT("'Basin Weights'!M"&amp;MATCH(BK$15,'Basin Weights'!$E:$E,0)+($N29-2022))</f>
        <v>0.214084276699992</v>
      </c>
      <c r="BL29" cm="1">
        <f t="array" aca="1" ref="BL29" ca="1">INDIRECT("'Basin Weights'!M"&amp;MATCH(BL$15,'Basin Weights'!$E:$E,0)+($N29-2022))</f>
        <v>0.18286896</v>
      </c>
      <c r="BM29" cm="1">
        <f t="array" aca="1" ref="BM29" ca="1">INDIRECT("'Basin Weights'!M"&amp;MATCH(BM$15,'Basin Weights'!$E:$E,0)+($N29-2022))</f>
        <v>8.6286657129858294E-2</v>
      </c>
      <c r="BN29" cm="1">
        <f t="array" aca="1" ref="BN29" ca="1">INDIRECT("'Basin Weights'!M"&amp;MATCH(BN$15,'Basin Weights'!$E:$E,0)+($N29-2022))</f>
        <v>0.26079306295989602</v>
      </c>
      <c r="BO29" cm="1">
        <f t="array" aca="1" ref="BO29" ca="1">INDIRECT("'Basin Weights'!M"&amp;MATCH(BO$15,'Basin Weights'!$E:$E,0)+($N29-2022))</f>
        <v>0.26079306296057497</v>
      </c>
      <c r="BP29" cm="1">
        <f t="array" aca="1" ref="BP29" ca="1">INDIRECT("'Basin Weights'!M"&amp;MATCH(BP$15,'Basin Weights'!$E:$E,0)+($N29-2022))</f>
        <v>0.26898794734696702</v>
      </c>
      <c r="BR29" cm="1">
        <f t="array" aca="1" ref="BR29" ca="1">INDIRECT("'Basin Weights'!N"&amp;MATCH(BR$15,'Basin Weights'!$E:$E,0)+($N29-2022))</f>
        <v>0.15115556999999999</v>
      </c>
      <c r="BS29" cm="1">
        <f t="array" aca="1" ref="BS29" ca="1">INDIRECT("'Basin Weights'!N"&amp;MATCH(BS$15,'Basin Weights'!$E:$E,0)+($N29-2022))</f>
        <v>0.146400796974308</v>
      </c>
      <c r="BT29" cm="1">
        <f t="array" aca="1" ref="BT29" ca="1">INDIRECT("'Basin Weights'!N"&amp;MATCH(BT$15,'Basin Weights'!$E:$E,0)+($N29-2022))</f>
        <v>0.13854140738996501</v>
      </c>
      <c r="BU29" cm="1">
        <f t="array" aca="1" ref="BU29" ca="1">INDIRECT("'Basin Weights'!N"&amp;MATCH(BU$15,'Basin Weights'!$E:$E,0)+($N29-2022))</f>
        <v>0.14661577242950599</v>
      </c>
      <c r="BV29" cm="1">
        <f t="array" aca="1" ref="BV29" ca="1">INDIRECT("'Basin Weights'!N"&amp;MATCH(BV$15,'Basin Weights'!$E:$E,0)+($N29-2022))</f>
        <v>0.12585324411277199</v>
      </c>
      <c r="BW29" cm="1">
        <f t="array" aca="1" ref="BW29" ca="1">INDIRECT("'Basin Weights'!N"&amp;MATCH(BW$15,'Basin Weights'!$E:$E,0)+($N29-2022))</f>
        <v>0.10399849999999999</v>
      </c>
      <c r="BX29" cm="1">
        <f t="array" aca="1" ref="BX29" ca="1">INDIRECT("'Basin Weights'!N"&amp;MATCH(BX$15,'Basin Weights'!$E:$E,0)+($N29-2022))</f>
        <v>1.02009700234055E-2</v>
      </c>
      <c r="BY29" cm="1">
        <f t="array" aca="1" ref="BY29" ca="1">INDIRECT("'Basin Weights'!N"&amp;MATCH(BY$15,'Basin Weights'!$E:$E,0)+($N29-2022))</f>
        <v>0.14705655889114899</v>
      </c>
      <c r="BZ29" cm="1">
        <f t="array" aca="1" ref="BZ29" ca="1">INDIRECT("'Basin Weights'!N"&amp;MATCH(BZ$15,'Basin Weights'!$E:$E,0)+($N29-2022))</f>
        <v>0.14705655889601199</v>
      </c>
      <c r="CA29" cm="1">
        <f t="array" aca="1" ref="CA29" ca="1">INDIRECT("'Basin Weights'!N"&amp;MATCH(CA$15,'Basin Weights'!$E:$E,0)+($N29-2022))</f>
        <v>0.14935507218043401</v>
      </c>
      <c r="CC29" cm="1">
        <f t="array" aca="1" ref="CC29" ca="1">INDIRECT("'Basin Weights'!O"&amp;MATCH(CC$15,'Basin Weights'!$E:$E,0)+($N29-2022))</f>
        <v>0.10916779</v>
      </c>
      <c r="CD29" cm="1">
        <f t="array" aca="1" ref="CD29" ca="1">INDIRECT("'Basin Weights'!O"&amp;MATCH(CD$15,'Basin Weights'!$E:$E,0)+($N29-2022))</f>
        <v>0.126058605904073</v>
      </c>
      <c r="CE29" cm="1">
        <f t="array" aca="1" ref="CE29" ca="1">INDIRECT("'Basin Weights'!O"&amp;MATCH(CE$15,'Basin Weights'!$E:$E,0)+($N29-2022))</f>
        <v>0.12837560038127099</v>
      </c>
      <c r="CF29" cm="1">
        <f t="array" aca="1" ref="CF29" ca="1">INDIRECT("'Basin Weights'!O"&amp;MATCH(CF$15,'Basin Weights'!$E:$E,0)+($N29-2022))</f>
        <v>0.14219413610728199</v>
      </c>
      <c r="CG29" cm="1">
        <f t="array" aca="1" ref="CG29" ca="1">INDIRECT("'Basin Weights'!O"&amp;MATCH(CG$15,'Basin Weights'!$E:$E,0)+($N29-2022))</f>
        <v>0.138503290134211</v>
      </c>
      <c r="CH29" cm="1">
        <f t="array" aca="1" ref="CH29" ca="1">INDIRECT("'Basin Weights'!O"&amp;MATCH(CH$15,'Basin Weights'!$E:$E,0)+($N29-2022))</f>
        <v>0.14963916999999999</v>
      </c>
      <c r="CI29" cm="1">
        <f t="array" aca="1" ref="CI29" ca="1">INDIRECT("'Basin Weights'!O"&amp;MATCH(CI$15,'Basin Weights'!$E:$E,0)+($N29-2022))</f>
        <v>0.202500140910372</v>
      </c>
      <c r="CJ29" cm="1">
        <f t="array" aca="1" ref="CJ29" ca="1">INDIRECT("'Basin Weights'!O"&amp;MATCH(CJ$15,'Basin Weights'!$E:$E,0)+($N29-2022))</f>
        <v>0.124253049088377</v>
      </c>
      <c r="CK29" cm="1">
        <f t="array" aca="1" ref="CK29" ca="1">INDIRECT("'Basin Weights'!O"&amp;MATCH(CK$15,'Basin Weights'!$E:$E,0)+($N29-2022))</f>
        <v>0.124253049087214</v>
      </c>
      <c r="CL29" cm="1">
        <f t="array" aca="1" ref="CL29" ca="1">INDIRECT("'Basin Weights'!O"&amp;MATCH(CL$15,'Basin Weights'!$E:$E,0)+($N29-2022))</f>
        <v>0.12205118161569201</v>
      </c>
      <c r="CN29">
        <f t="shared" ca="1" si="5"/>
        <v>1</v>
      </c>
      <c r="CO29">
        <f t="shared" ca="1" si="2"/>
        <v>1</v>
      </c>
      <c r="CP29">
        <f t="shared" ca="1" si="2"/>
        <v>1</v>
      </c>
      <c r="CQ29">
        <f t="shared" ca="1" si="2"/>
        <v>1</v>
      </c>
      <c r="CR29">
        <f t="shared" ca="1" si="2"/>
        <v>1.0000000000000009</v>
      </c>
      <c r="CS29">
        <f t="shared" ca="1" si="2"/>
        <v>1</v>
      </c>
      <c r="CT29">
        <f t="shared" ca="1" si="2"/>
        <v>0.99999999999999978</v>
      </c>
      <c r="CU29">
        <f t="shared" ca="1" si="2"/>
        <v>1</v>
      </c>
      <c r="CV29">
        <f t="shared" ca="1" si="2"/>
        <v>1.0000000000000011</v>
      </c>
      <c r="CW29">
        <f t="shared" ca="1" si="2"/>
        <v>1.0000000000000002</v>
      </c>
    </row>
    <row r="30" spans="2:101" x14ac:dyDescent="0.25">
      <c r="B30">
        <v>2036</v>
      </c>
      <c r="C30" s="69">
        <f>'Gas Supply Commodity Costs'!I16/'Conventional Supply Quantities'!I16</f>
        <v>3.5454757107282897</v>
      </c>
      <c r="D30" s="69">
        <f>'Gas Supply Commodity Costs'!J16/'Conventional Supply Quantities'!J16</f>
        <v>3.5017397560413968</v>
      </c>
      <c r="E30" s="69">
        <f>'Gas Supply Commodity Costs'!K16/'Conventional Supply Quantities'!K16</f>
        <v>3.5009671340072805</v>
      </c>
      <c r="F30" s="69">
        <f>'Gas Supply Commodity Costs'!L16/'Conventional Supply Quantities'!L16</f>
        <v>3.4255133250304661</v>
      </c>
      <c r="G30" s="69">
        <f>'Gas Supply Commodity Costs'!M16/'Conventional Supply Quantities'!M16</f>
        <v>3.4689367951223589</v>
      </c>
      <c r="H30" s="69">
        <f>'Gas Supply Commodity Costs'!N16/'Conventional Supply Quantities'!N16</f>
        <v>3.4273625853387251</v>
      </c>
      <c r="I30" s="69">
        <f>'Gas Supply Commodity Costs'!O16/'Conventional Supply Quantities'!O16</f>
        <v>3.2506071030437611</v>
      </c>
      <c r="J30" s="69">
        <f>'Gas Supply Commodity Costs'!P16/'Conventional Supply Quantities'!P16</f>
        <v>3.5086996196669116</v>
      </c>
      <c r="K30" s="69">
        <f>'Gas Supply Commodity Costs'!Q16/'Conventional Supply Quantities'!Q16</f>
        <v>3.5086996196339904</v>
      </c>
      <c r="L30" s="69">
        <f>'Gas Supply Commodity Costs'!R16/'Conventional Supply Quantities'!R16</f>
        <v>3.515254366477905</v>
      </c>
      <c r="N30">
        <v>2036</v>
      </c>
      <c r="O30" s="69">
        <f t="shared" ca="1" si="3"/>
        <v>1.7702617688413295E-2</v>
      </c>
      <c r="P30" s="69">
        <f t="shared" ca="1" si="0"/>
        <v>1.8989982791469018E-2</v>
      </c>
      <c r="Q30" s="69">
        <f t="shared" ca="1" si="0"/>
        <v>1.9209617743469472E-2</v>
      </c>
      <c r="R30" s="69">
        <f t="shared" ca="1" si="0"/>
        <v>2.0153132780184525E-2</v>
      </c>
      <c r="S30" s="69">
        <f t="shared" ca="1" si="0"/>
        <v>1.9977964579804393E-2</v>
      </c>
      <c r="T30" s="69">
        <f t="shared" ca="1" si="0"/>
        <v>2.0929607017058705E-2</v>
      </c>
      <c r="U30" s="69">
        <f t="shared" ca="1" si="0"/>
        <v>2.5687143655061397E-2</v>
      </c>
      <c r="V30" s="69">
        <f t="shared" ca="1" si="0"/>
        <v>1.8879427736583292E-2</v>
      </c>
      <c r="W30" s="69">
        <f t="shared" ca="1" si="0"/>
        <v>1.8879427736583292E-2</v>
      </c>
      <c r="X30" s="69">
        <f t="shared" ca="1" si="0"/>
        <v>1.8695770179814383E-2</v>
      </c>
      <c r="Z30" s="71">
        <f t="shared" ca="1" si="4"/>
        <v>2.238467336786213E-2</v>
      </c>
      <c r="AA30" s="71">
        <f t="shared" ca="1" si="1"/>
        <v>2.4208134915166844E-2</v>
      </c>
      <c r="AB30" s="71">
        <f t="shared" ca="1" si="1"/>
        <v>2.4618665568583567E-2</v>
      </c>
      <c r="AC30" s="71">
        <f t="shared" ca="1" si="1"/>
        <v>2.5794686451232226E-2</v>
      </c>
      <c r="AD30" s="71">
        <f t="shared" ca="1" si="1"/>
        <v>2.5771062930617723E-2</v>
      </c>
      <c r="AE30" s="71">
        <f t="shared" ca="1" si="1"/>
        <v>2.7211499847881584E-2</v>
      </c>
      <c r="AF30" s="71">
        <f t="shared" ca="1" si="1"/>
        <v>3.3704613490156778E-2</v>
      </c>
      <c r="AG30" s="71">
        <f t="shared" ca="1" si="1"/>
        <v>2.4101809629339038E-2</v>
      </c>
      <c r="AH30" s="71">
        <f t="shared" ca="1" si="1"/>
        <v>2.4101809629339038E-2</v>
      </c>
      <c r="AI30" s="71">
        <f t="shared" ca="1" si="1"/>
        <v>2.3822900223288881E-2</v>
      </c>
      <c r="AK30" cm="1">
        <f t="array" aca="1" ref="AK30" ca="1">INDIRECT("'Basin Weights'!L"&amp;MATCH(AK$15,'Basin Weights'!$E:$E,0)+($N30-2022))*(1-INDIRECT("'Star Road Flow'!J"&amp;MATCH(AK$15,'Star Road Flow'!$E:$E,0)+($N30-2022)))</f>
        <v>0.39458727800474974</v>
      </c>
      <c r="AL30" cm="1">
        <f t="array" aca="1" ref="AL30" ca="1">INDIRECT("'Basin Weights'!L"&amp;MATCH(AL$15,'Basin Weights'!$E:$E,0)+($N30-2022))*(1-INDIRECT("'Star Road Flow'!J"&amp;MATCH(AL$15,'Star Road Flow'!$E:$E,0)+($N30-2022)))</f>
        <v>0.44247372594884299</v>
      </c>
      <c r="AM30" cm="1">
        <f t="array" aca="1" ref="AM30" ca="1">INDIRECT("'Basin Weights'!L"&amp;MATCH(AM$15,'Basin Weights'!$E:$E,0)+($N30-2022))*(1-INDIRECT("'Star Road Flow'!J"&amp;MATCH(AM$15,'Star Road Flow'!$E:$E,0)+($N30-2022)))</f>
        <v>0.45475043446971375</v>
      </c>
      <c r="AN30" cm="1">
        <f t="array" aca="1" ref="AN30" ca="1">INDIRECT("'Basin Weights'!L"&amp;MATCH(AN$15,'Basin Weights'!$E:$E,0)+($N30-2022))*(1-INDIRECT("'Star Road Flow'!J"&amp;MATCH(AN$15,'Star Road Flow'!$E:$E,0)+($N30-2022)))</f>
        <v>0.48314503746526705</v>
      </c>
      <c r="AO30" cm="1">
        <f t="array" aca="1" ref="AO30" ca="1">INDIRECT("'Basin Weights'!L"&amp;MATCH(AO$15,'Basin Weights'!$E:$E,0)+($N30-2022))*(1-INDIRECT("'Star Road Flow'!J"&amp;MATCH(AO$15,'Star Road Flow'!$E:$E,0)+($N30-2022)))</f>
        <v>0.48597787181400587</v>
      </c>
      <c r="AP30" cm="1">
        <f t="array" aca="1" ref="AP30" ca="1">INDIRECT("'Basin Weights'!L"&amp;MATCH(AP$15,'Basin Weights'!$E:$E,0)+($N30-2022))*(1-INDIRECT("'Star Road Flow'!J"&amp;MATCH(AP$15,'Star Road Flow'!$E:$E,0)+($N30-2022)))</f>
        <v>0.52519699930668051</v>
      </c>
      <c r="AQ30" cm="1">
        <f t="array" aca="1" ref="AQ30" ca="1">INDIRECT("'Basin Weights'!L"&amp;MATCH(AQ$15,'Basin Weights'!$E:$E,0)+($N30-2022))*(1-INDIRECT("'Star Road Flow'!J"&amp;MATCH(AQ$15,'Star Road Flow'!$E:$E,0)+($N30-2022)))</f>
        <v>0.69146152259726879</v>
      </c>
      <c r="AR30" cm="1">
        <f t="array" aca="1" ref="AR30" ca="1">INDIRECT("'Basin Weights'!L"&amp;MATCH(AR$15,'Basin Weights'!$E:$E,0)+($N30-2022))*(1-INDIRECT("'Star Road Flow'!J"&amp;MATCH(AR$15,'Star Road Flow'!$E:$E,0)+($N30-2022)))</f>
        <v>0.44043760470294463</v>
      </c>
      <c r="AS30" cm="1">
        <f t="array" aca="1" ref="AS30" ca="1">INDIRECT("'Basin Weights'!L"&amp;MATCH(AS$15,'Basin Weights'!$E:$E,0)+($N30-2022))*(1-INDIRECT("'Star Road Flow'!J"&amp;MATCH(AS$15,'Star Road Flow'!$E:$E,0)+($N30-2022)))</f>
        <v>0.44043760470294469</v>
      </c>
      <c r="AT30" cm="1">
        <f t="array" aca="1" ref="AT30" ca="1">INDIRECT("'Basin Weights'!L"&amp;MATCH(AT$15,'Basin Weights'!$E:$E,0)+($N30-2022))*(1-INDIRECT("'Star Road Flow'!J"&amp;MATCH(AT$15,'Star Road Flow'!$E:$E,0)+($N30-2022)))</f>
        <v>0.43283072980338655</v>
      </c>
      <c r="AV30" cm="1">
        <f t="array" aca="1" ref="AV30" ca="1">INDIRECT("'Basin Weights'!L"&amp;MATCH(AV$15,'Basin Weights'!$E:$E,0)+($N30-2022))*INDIRECT("'Star Road Flow'!J"&amp;MATCH(AV$15,'Star Road Flow'!$E:$E,0)+($N30-2022))</f>
        <v>1.3294171995250233E-2</v>
      </c>
      <c r="AW30" cm="1">
        <f t="array" aca="1" ref="AW30" ca="1">INDIRECT("'Basin Weights'!L"&amp;MATCH(AW$15,'Basin Weights'!$E:$E,0)+($N30-2022))*INDIRECT("'Star Road Flow'!J"&amp;MATCH(AW$15,'Star Road Flow'!$E:$E,0)+($N30-2022))</f>
        <v>1.5555075625838025E-2</v>
      </c>
      <c r="AX30" cm="1">
        <f t="array" aca="1" ref="AX30" ca="1">INDIRECT("'Basin Weights'!L"&amp;MATCH(AX$15,'Basin Weights'!$E:$E,0)+($N30-2022))*INDIRECT("'Star Road Flow'!J"&amp;MATCH(AX$15,'Star Road Flow'!$E:$E,0)+($N30-2022))</f>
        <v>1.588978613332228E-2</v>
      </c>
      <c r="AY30" cm="1">
        <f t="array" aca="1" ref="AY30" ca="1">INDIRECT("'Basin Weights'!L"&amp;MATCH(AY$15,'Basin Weights'!$E:$E,0)+($N30-2022))*INDIRECT("'Star Road Flow'!J"&amp;MATCH(AY$15,'Star Road Flow'!$E:$E,0)+($N30-2022))</f>
        <v>1.7725389365385917E-2</v>
      </c>
      <c r="AZ30" cm="1">
        <f t="array" aca="1" ref="AZ30" ca="1">INDIRECT("'Basin Weights'!L"&amp;MATCH(AZ$15,'Basin Weights'!$E:$E,0)+($N30-2022))*INDIRECT("'Star Road Flow'!J"&amp;MATCH(AZ$15,'Star Road Flow'!$E:$E,0)+($N30-2022))</f>
        <v>1.7206293443369103E-2</v>
      </c>
      <c r="BA30" cm="1">
        <f t="array" aca="1" ref="BA30" ca="1">INDIRECT("'Basin Weights'!L"&amp;MATCH(BA$15,'Basin Weights'!$E:$E,0)+($N30-2022))*INDIRECT("'Star Road Flow'!J"&amp;MATCH(BA$15,'Star Road Flow'!$E:$E,0)+($N30-2022))</f>
        <v>1.8830130693319597E-2</v>
      </c>
      <c r="BB30" cm="1">
        <f t="array" aca="1" ref="BB30" ca="1">INDIRECT("'Basin Weights'!L"&amp;MATCH(BB$15,'Basin Weights'!$E:$E,0)+($N30-2022))*INDIRECT("'Star Road Flow'!J"&amp;MATCH(BB$15,'Star Road Flow'!$E:$E,0)+($N30-2022))</f>
        <v>2.8014563507887193E-2</v>
      </c>
      <c r="BC30" cm="1">
        <f t="array" aca="1" ref="BC30" ca="1">INDIRECT("'Basin Weights'!L"&amp;MATCH(BC$15,'Basin Weights'!$E:$E,0)+($N30-2022))*INDIRECT("'Star Road Flow'!J"&amp;MATCH(BC$15,'Star Road Flow'!$E:$E,0)+($N30-2022))</f>
        <v>1.5335124064345425E-2</v>
      </c>
      <c r="BD30" cm="1">
        <f t="array" aca="1" ref="BD30" ca="1">INDIRECT("'Basin Weights'!L"&amp;MATCH(BD$15,'Basin Weights'!$E:$E,0)+($N30-2022))*INDIRECT("'Star Road Flow'!J"&amp;MATCH(BD$15,'Star Road Flow'!$E:$E,0)+($N30-2022))</f>
        <v>1.5335124064345382E-2</v>
      </c>
      <c r="BE30" cm="1">
        <f t="array" aca="1" ref="BE30" ca="1">INDIRECT("'Basin Weights'!L"&amp;MATCH(BE$15,'Basin Weights'!$E:$E,0)+($N30-2022))*INDIRECT("'Star Road Flow'!J"&amp;MATCH(BE$15,'Star Road Flow'!$E:$E,0)+($N30-2022))</f>
        <v>1.5022211393495508E-2</v>
      </c>
      <c r="BG30" cm="1">
        <f t="array" aca="1" ref="BG30" ca="1">INDIRECT("'Basin Weights'!M"&amp;MATCH(BG$15,'Basin Weights'!$E:$E,0)+($N30-2022))</f>
        <v>0.33377213</v>
      </c>
      <c r="BH30" cm="1">
        <f t="array" aca="1" ref="BH30" ca="1">INDIRECT("'Basin Weights'!M"&amp;MATCH(BH$15,'Basin Weights'!$E:$E,0)+($N30-2022))</f>
        <v>0.272198514941974</v>
      </c>
      <c r="BI30" cm="1">
        <f t="array" aca="1" ref="BI30" ca="1">INDIRECT("'Basin Weights'!M"&amp;MATCH(BI$15,'Basin Weights'!$E:$E,0)+($N30-2022))</f>
        <v>0.26332413693984802</v>
      </c>
      <c r="BJ30" cm="1">
        <f t="array" aca="1" ref="BJ30" ca="1">INDIRECT("'Basin Weights'!M"&amp;MATCH(BJ$15,'Basin Weights'!$E:$E,0)+($N30-2022))</f>
        <v>0.210146368195925</v>
      </c>
      <c r="BK30" cm="1">
        <f t="array" aca="1" ref="BK30" ca="1">INDIRECT("'Basin Weights'!M"&amp;MATCH(BK$15,'Basin Weights'!$E:$E,0)+($N30-2022))</f>
        <v>0.232866366019023</v>
      </c>
      <c r="BL30" cm="1">
        <f t="array" aca="1" ref="BL30" ca="1">INDIRECT("'Basin Weights'!M"&amp;MATCH(BL$15,'Basin Weights'!$E:$E,0)+($N30-2022))</f>
        <v>0.20486573</v>
      </c>
      <c r="BM30" cm="1">
        <f t="array" aca="1" ref="BM30" ca="1">INDIRECT("'Basin Weights'!M"&amp;MATCH(BM$15,'Basin Weights'!$E:$E,0)+($N30-2022))</f>
        <v>5.78264878976942E-2</v>
      </c>
      <c r="BN30" cm="1">
        <f t="array" aca="1" ref="BN30" ca="1">INDIRECT("'Basin Weights'!M"&amp;MATCH(BN$15,'Basin Weights'!$E:$E,0)+($N30-2022))</f>
        <v>0.27338946682453102</v>
      </c>
      <c r="BO30" cm="1">
        <f t="array" aca="1" ref="BO30" ca="1">INDIRECT("'Basin Weights'!M"&amp;MATCH(BO$15,'Basin Weights'!$E:$E,0)+($N30-2022))</f>
        <v>0.27338946682453102</v>
      </c>
      <c r="BP30" cm="1">
        <f t="array" aca="1" ref="BP30" ca="1">INDIRECT("'Basin Weights'!M"&amp;MATCH(BP$15,'Basin Weights'!$E:$E,0)+($N30-2022))</f>
        <v>0.28124118573233797</v>
      </c>
      <c r="BR30" cm="1">
        <f t="array" aca="1" ref="BR30" ca="1">INDIRECT("'Basin Weights'!N"&amp;MATCH(BR$15,'Basin Weights'!$E:$E,0)+($N30-2022))</f>
        <v>0.15006087000000001</v>
      </c>
      <c r="BS30" cm="1">
        <f t="array" aca="1" ref="BS30" ca="1">INDIRECT("'Basin Weights'!N"&amp;MATCH(BS$15,'Basin Weights'!$E:$E,0)+($N30-2022))</f>
        <v>0.14307130685783201</v>
      </c>
      <c r="BT30" cm="1">
        <f t="array" aca="1" ref="BT30" ca="1">INDIRECT("'Basin Weights'!N"&amp;MATCH(BT$15,'Basin Weights'!$E:$E,0)+($N30-2022))</f>
        <v>0.136607935015919</v>
      </c>
      <c r="BU30" cm="1">
        <f t="array" aca="1" ref="BU30" ca="1">INDIRECT("'Basin Weights'!N"&amp;MATCH(BU$15,'Basin Weights'!$E:$E,0)+($N30-2022))</f>
        <v>0.145385214425132</v>
      </c>
      <c r="BV30" cm="1">
        <f t="array" aca="1" ref="BV30" ca="1">INDIRECT("'Basin Weights'!N"&amp;MATCH(BV$15,'Basin Weights'!$E:$E,0)+($N30-2022))</f>
        <v>0.123798361887156</v>
      </c>
      <c r="BW30" cm="1">
        <f t="array" aca="1" ref="BW30" ca="1">INDIRECT("'Basin Weights'!N"&amp;MATCH(BW$15,'Basin Weights'!$E:$E,0)+($N30-2022))</f>
        <v>9.7729319999999995E-2</v>
      </c>
      <c r="BX30" cm="1">
        <f t="array" aca="1" ref="BX30" ca="1">INDIRECT("'Basin Weights'!N"&amp;MATCH(BX$15,'Basin Weights'!$E:$E,0)+($N30-2022))</f>
        <v>2.1527416633909701E-4</v>
      </c>
      <c r="BY30" cm="1">
        <f t="array" aca="1" ref="BY30" ca="1">INDIRECT("'Basin Weights'!N"&amp;MATCH(BY$15,'Basin Weights'!$E:$E,0)+($N30-2022))</f>
        <v>0.145928007992422</v>
      </c>
      <c r="BZ30" cm="1">
        <f t="array" aca="1" ref="BZ30" ca="1">INDIRECT("'Basin Weights'!N"&amp;MATCH(BZ$15,'Basin Weights'!$E:$E,0)+($N30-2022))</f>
        <v>0.145928007992422</v>
      </c>
      <c r="CA30" cm="1">
        <f t="array" aca="1" ref="CA30" ca="1">INDIRECT("'Basin Weights'!N"&amp;MATCH(CA$15,'Basin Weights'!$E:$E,0)+($N30-2022))</f>
        <v>0.14854485668871401</v>
      </c>
      <c r="CC30" cm="1">
        <f t="array" aca="1" ref="CC30" ca="1">INDIRECT("'Basin Weights'!O"&amp;MATCH(CC$15,'Basin Weights'!$E:$E,0)+($N30-2022))</f>
        <v>0.10828554999999999</v>
      </c>
      <c r="CD30" cm="1">
        <f t="array" aca="1" ref="CD30" ca="1">INDIRECT("'Basin Weights'!O"&amp;MATCH(CD$15,'Basin Weights'!$E:$E,0)+($N30-2022))</f>
        <v>0.12670137662551201</v>
      </c>
      <c r="CE30" cm="1">
        <f t="array" aca="1" ref="CE30" ca="1">INDIRECT("'Basin Weights'!O"&amp;MATCH(CE$15,'Basin Weights'!$E:$E,0)+($N30-2022))</f>
        <v>0.129427707441196</v>
      </c>
      <c r="CF30" cm="1">
        <f t="array" aca="1" ref="CF30" ca="1">INDIRECT("'Basin Weights'!O"&amp;MATCH(CF$15,'Basin Weights'!$E:$E,0)+($N30-2022))</f>
        <v>0.14359799054829001</v>
      </c>
      <c r="CG30" cm="1">
        <f t="array" aca="1" ref="CG30" ca="1">INDIRECT("'Basin Weights'!O"&amp;MATCH(CG$15,'Basin Weights'!$E:$E,0)+($N30-2022))</f>
        <v>0.14015110683644599</v>
      </c>
      <c r="CH30" cm="1">
        <f t="array" aca="1" ref="CH30" ca="1">INDIRECT("'Basin Weights'!O"&amp;MATCH(CH$15,'Basin Weights'!$E:$E,0)+($N30-2022))</f>
        <v>0.15337781</v>
      </c>
      <c r="CI30" cm="1">
        <f t="array" aca="1" ref="CI30" ca="1">INDIRECT("'Basin Weights'!O"&amp;MATCH(CI$15,'Basin Weights'!$E:$E,0)+($N30-2022))</f>
        <v>0.22248215183081099</v>
      </c>
      <c r="CJ30" cm="1">
        <f t="array" aca="1" ref="CJ30" ca="1">INDIRECT("'Basin Weights'!O"&amp;MATCH(CJ$15,'Basin Weights'!$E:$E,0)+($N30-2022))</f>
        <v>0.124909796415757</v>
      </c>
      <c r="CK30" cm="1">
        <f t="array" aca="1" ref="CK30" ca="1">INDIRECT("'Basin Weights'!O"&amp;MATCH(CK$15,'Basin Weights'!$E:$E,0)+($N30-2022))</f>
        <v>0.124909796415757</v>
      </c>
      <c r="CL30" cm="1">
        <f t="array" aca="1" ref="CL30" ca="1">INDIRECT("'Basin Weights'!O"&amp;MATCH(CL$15,'Basin Weights'!$E:$E,0)+($N30-2022))</f>
        <v>0.12236101638206601</v>
      </c>
      <c r="CN30">
        <f t="shared" ca="1" si="5"/>
        <v>1</v>
      </c>
      <c r="CO30">
        <f t="shared" ca="1" si="2"/>
        <v>0.99999999999999911</v>
      </c>
      <c r="CP30">
        <f t="shared" ca="1" si="2"/>
        <v>0.999999999999999</v>
      </c>
      <c r="CQ30">
        <f t="shared" ca="1" si="2"/>
        <v>1</v>
      </c>
      <c r="CR30">
        <f t="shared" ca="1" si="2"/>
        <v>0.99999999999999989</v>
      </c>
      <c r="CS30">
        <f t="shared" ca="1" si="2"/>
        <v>0.99999999000000017</v>
      </c>
      <c r="CT30">
        <f t="shared" ca="1" si="2"/>
        <v>1.0000000000000002</v>
      </c>
      <c r="CU30">
        <f t="shared" ca="1" si="2"/>
        <v>1.0000000000000002</v>
      </c>
      <c r="CV30">
        <f t="shared" ca="1" si="2"/>
        <v>1</v>
      </c>
      <c r="CW30">
        <f t="shared" ca="1" si="2"/>
        <v>1</v>
      </c>
    </row>
    <row r="31" spans="2:101" x14ac:dyDescent="0.25">
      <c r="B31">
        <v>2037</v>
      </c>
      <c r="C31" s="69">
        <f>'Gas Supply Commodity Costs'!I17/'Conventional Supply Quantities'!I17</f>
        <v>3.5727885279241534</v>
      </c>
      <c r="D31" s="69">
        <f>'Gas Supply Commodity Costs'!J17/'Conventional Supply Quantities'!J17</f>
        <v>3.5232703740072591</v>
      </c>
      <c r="E31" s="69">
        <f>'Gas Supply Commodity Costs'!K17/'Conventional Supply Quantities'!K17</f>
        <v>3.5215197591931027</v>
      </c>
      <c r="F31" s="69">
        <f>'Gas Supply Commodity Costs'!L17/'Conventional Supply Quantities'!L17</f>
        <v>3.4339441791040528</v>
      </c>
      <c r="G31" s="69">
        <f>'Gas Supply Commodity Costs'!M17/'Conventional Supply Quantities'!M17</f>
        <v>3.4824100034431567</v>
      </c>
      <c r="H31" s="69">
        <f>'Gas Supply Commodity Costs'!N17/'Conventional Supply Quantities'!N17</f>
        <v>3.4380403812312443</v>
      </c>
      <c r="I31" s="69">
        <f>'Gas Supply Commodity Costs'!O17/'Conventional Supply Quantities'!O17</f>
        <v>3.2402626632866336</v>
      </c>
      <c r="J31" s="69">
        <f>'Gas Supply Commodity Costs'!P17/'Conventional Supply Quantities'!P17</f>
        <v>3.53060809317852</v>
      </c>
      <c r="K31" s="69">
        <f>'Gas Supply Commodity Costs'!Q17/'Conventional Supply Quantities'!Q17</f>
        <v>3.530608093244346</v>
      </c>
      <c r="L31" s="69">
        <f>'Gas Supply Commodity Costs'!R17/'Conventional Supply Quantities'!R17</f>
        <v>3.5387258580639611</v>
      </c>
      <c r="N31">
        <v>2037</v>
      </c>
      <c r="O31" s="69">
        <f t="shared" ca="1" si="3"/>
        <v>1.7316626600156697E-2</v>
      </c>
      <c r="P31" s="69">
        <f t="shared" ca="1" si="0"/>
        <v>1.9099018869892632E-2</v>
      </c>
      <c r="Q31" s="69">
        <f t="shared" ca="1" si="0"/>
        <v>1.9354497740082747E-2</v>
      </c>
      <c r="R31" s="69">
        <f t="shared" ca="1" si="0"/>
        <v>2.0410709445622767E-2</v>
      </c>
      <c r="S31" s="69">
        <f t="shared" ca="1" si="0"/>
        <v>2.0184039971366363E-2</v>
      </c>
      <c r="T31" s="69">
        <f t="shared" ca="1" si="0"/>
        <v>2.1251713872701666E-2</v>
      </c>
      <c r="U31" s="69">
        <f t="shared" ca="1" si="0"/>
        <v>2.6001970919461478E-2</v>
      </c>
      <c r="V31" s="69">
        <f t="shared" ca="1" si="0"/>
        <v>1.8987179490823763E-2</v>
      </c>
      <c r="W31" s="69">
        <f t="shared" ca="1" si="0"/>
        <v>1.8987179490853594E-2</v>
      </c>
      <c r="X31" s="69">
        <f t="shared" ca="1" si="0"/>
        <v>1.8778401848331044E-2</v>
      </c>
      <c r="Z31" s="71">
        <f t="shared" ca="1" si="4"/>
        <v>2.1705004182606458E-2</v>
      </c>
      <c r="AA31" s="71">
        <f t="shared" ca="1" si="1"/>
        <v>2.4334151110339944E-2</v>
      </c>
      <c r="AB31" s="71">
        <f t="shared" ca="1" si="1"/>
        <v>2.4804783575432827E-2</v>
      </c>
      <c r="AC31" s="71">
        <f t="shared" ca="1" si="1"/>
        <v>2.6241418096992784E-2</v>
      </c>
      <c r="AD31" s="71">
        <f t="shared" ca="1" si="1"/>
        <v>2.6005273623391983E-2</v>
      </c>
      <c r="AE31" s="71">
        <f t="shared" ca="1" si="1"/>
        <v>2.760353748042978E-2</v>
      </c>
      <c r="AF31" s="71">
        <f t="shared" ca="1" si="1"/>
        <v>3.350972578987603E-2</v>
      </c>
      <c r="AG31" s="71">
        <f t="shared" ca="1" si="1"/>
        <v>2.4223401032285916E-2</v>
      </c>
      <c r="AH31" s="71">
        <f t="shared" ca="1" si="1"/>
        <v>2.4223401032334873E-2</v>
      </c>
      <c r="AI31" s="71">
        <f t="shared" ca="1" si="1"/>
        <v>2.390735759676654E-2</v>
      </c>
      <c r="AK31" cm="1">
        <f t="array" aca="1" ref="AK31" ca="1">INDIRECT("'Basin Weights'!L"&amp;MATCH(AK$15,'Basin Weights'!$E:$E,0)+($N31-2022))*(1-INDIRECT("'Star Road Flow'!J"&amp;MATCH(AK$15,'Star Road Flow'!$E:$E,0)+($N31-2022)))</f>
        <v>0.37473864577024901</v>
      </c>
      <c r="AL31" cm="1">
        <f t="array" aca="1" ref="AL31" ca="1">INDIRECT("'Basin Weights'!L"&amp;MATCH(AL$15,'Basin Weights'!$E:$E,0)+($N31-2022))*(1-INDIRECT("'Star Road Flow'!J"&amp;MATCH(AL$15,'Star Road Flow'!$E:$E,0)+($N31-2022)))</f>
        <v>0.4453555029718318</v>
      </c>
      <c r="AM31" cm="1">
        <f t="array" aca="1" ref="AM31" ca="1">INDIRECT("'Basin Weights'!L"&amp;MATCH(AM$15,'Basin Weights'!$E:$E,0)+($N31-2022))*(1-INDIRECT("'Star Road Flow'!J"&amp;MATCH(AM$15,'Star Road Flow'!$E:$E,0)+($N31-2022)))</f>
        <v>0.45935092308437991</v>
      </c>
      <c r="AN31" cm="1">
        <f t="array" aca="1" ref="AN31" ca="1">INDIRECT("'Basin Weights'!L"&amp;MATCH(AN$15,'Basin Weights'!$E:$E,0)+($N31-2022))*(1-INDIRECT("'Star Road Flow'!J"&amp;MATCH(AN$15,'Star Road Flow'!$E:$E,0)+($N31-2022)))</f>
        <v>0.49608151314889715</v>
      </c>
      <c r="AO31" cm="1">
        <f t="array" aca="1" ref="AO31" ca="1">INDIRECT("'Basin Weights'!L"&amp;MATCH(AO$15,'Basin Weights'!$E:$E,0)+($N31-2022))*(1-INDIRECT("'Star Road Flow'!J"&amp;MATCH(AO$15,'Star Road Flow'!$E:$E,0)+($N31-2022)))</f>
        <v>0.49126093363630918</v>
      </c>
      <c r="AP31" cm="1">
        <f t="array" aca="1" ref="AP31" ca="1">INDIRECT("'Basin Weights'!L"&amp;MATCH(AP$15,'Basin Weights'!$E:$E,0)+($N31-2022))*(1-INDIRECT("'Star Road Flow'!J"&amp;MATCH(AP$15,'Star Road Flow'!$E:$E,0)+($N31-2022)))</f>
        <v>0.53452667525059561</v>
      </c>
      <c r="AQ31" cm="1">
        <f t="array" aca="1" ref="AQ31" ca="1">INDIRECT("'Basin Weights'!L"&amp;MATCH(AQ$15,'Basin Weights'!$E:$E,0)+($N31-2022))*(1-INDIRECT("'Star Road Flow'!J"&amp;MATCH(AQ$15,'Star Road Flow'!$E:$E,0)+($N31-2022)))</f>
        <v>0.67496177848341243</v>
      </c>
      <c r="AR31" cm="1">
        <f t="array" aca="1" ref="AR31" ca="1">INDIRECT("'Basin Weights'!L"&amp;MATCH(AR$15,'Basin Weights'!$E:$E,0)+($N31-2022))*(1-INDIRECT("'Star Road Flow'!J"&amp;MATCH(AR$15,'Star Road Flow'!$E:$E,0)+($N31-2022)))</f>
        <v>0.44316398778064409</v>
      </c>
      <c r="AS31" cm="1">
        <f t="array" aca="1" ref="AS31" ca="1">INDIRECT("'Basin Weights'!L"&amp;MATCH(AS$15,'Basin Weights'!$E:$E,0)+($N31-2022))*(1-INDIRECT("'Star Road Flow'!J"&amp;MATCH(AS$15,'Star Road Flow'!$E:$E,0)+($N31-2022)))</f>
        <v>0.44316398778194321</v>
      </c>
      <c r="AT31" cm="1">
        <f t="array" aca="1" ref="AT31" ca="1">INDIRECT("'Basin Weights'!L"&amp;MATCH(AT$15,'Basin Weights'!$E:$E,0)+($N31-2022))*(1-INDIRECT("'Star Road Flow'!J"&amp;MATCH(AT$15,'Star Road Flow'!$E:$E,0)+($N31-2022)))</f>
        <v>0.43455856260557119</v>
      </c>
      <c r="AV31" cm="1">
        <f t="array" aca="1" ref="AV31" ca="1">INDIRECT("'Basin Weights'!L"&amp;MATCH(AV$15,'Basin Weights'!$E:$E,0)+($N31-2022))*INDIRECT("'Star Road Flow'!J"&amp;MATCH(AV$15,'Star Road Flow'!$E:$E,0)+($N31-2022))</f>
        <v>1.268449422975095E-2</v>
      </c>
      <c r="AW31" cm="1">
        <f t="array" aca="1" ref="AW31" ca="1">INDIRECT("'Basin Weights'!L"&amp;MATCH(AW$15,'Basin Weights'!$E:$E,0)+($N31-2022))*INDIRECT("'Star Road Flow'!J"&amp;MATCH(AW$15,'Star Road Flow'!$E:$E,0)+($N31-2022))</f>
        <v>1.5761152439858216E-2</v>
      </c>
      <c r="AX31" cm="1">
        <f t="array" aca="1" ref="AX31" ca="1">INDIRECT("'Basin Weights'!L"&amp;MATCH(AX$15,'Basin Weights'!$E:$E,0)+($N31-2022))*INDIRECT("'Star Road Flow'!J"&amp;MATCH(AX$15,'Star Road Flow'!$E:$E,0)+($N31-2022))</f>
        <v>1.6154025103830027E-2</v>
      </c>
      <c r="AY31" cm="1">
        <f t="array" aca="1" ref="AY31" ca="1">INDIRECT("'Basin Weights'!L"&amp;MATCH(AY$15,'Basin Weights'!$E:$E,0)+($N31-2022))*INDIRECT("'Star Road Flow'!J"&amp;MATCH(AY$15,'Star Road Flow'!$E:$E,0)+($N31-2022))</f>
        <v>1.8169803621380865E-2</v>
      </c>
      <c r="AZ31" cm="1">
        <f t="array" aca="1" ref="AZ31" ca="1">INDIRECT("'Basin Weights'!L"&amp;MATCH(AZ$15,'Basin Weights'!$E:$E,0)+($N31-2022))*INDIRECT("'Star Road Flow'!J"&amp;MATCH(AZ$15,'Star Road Flow'!$E:$E,0)+($N31-2022))</f>
        <v>1.7597803461480769E-2</v>
      </c>
      <c r="BA31" cm="1">
        <f t="array" aca="1" ref="BA31" ca="1">INDIRECT("'Basin Weights'!L"&amp;MATCH(BA$15,'Basin Weights'!$E:$E,0)+($N31-2022))*INDIRECT("'Star Road Flow'!J"&amp;MATCH(BA$15,'Star Road Flow'!$E:$E,0)+($N31-2022))</f>
        <v>1.9428764749404342E-2</v>
      </c>
      <c r="BB31" cm="1">
        <f t="array" aca="1" ref="BB31" ca="1">INDIRECT("'Basin Weights'!L"&amp;MATCH(BB$15,'Basin Weights'!$E:$E,0)+($N31-2022))*INDIRECT("'Star Road Flow'!J"&amp;MATCH(BB$15,'Star Road Flow'!$E:$E,0)+($N31-2022))</f>
        <v>3.1089259393740517E-2</v>
      </c>
      <c r="BC31" cm="1">
        <f t="array" aca="1" ref="BC31" ca="1">INDIRECT("'Basin Weights'!L"&amp;MATCH(BC$15,'Basin Weights'!$E:$E,0)+($N31-2022))*INDIRECT("'Star Road Flow'!J"&amp;MATCH(BC$15,'Star Road Flow'!$E:$E,0)+($N31-2022))</f>
        <v>1.5540282235931907E-2</v>
      </c>
      <c r="BD31" cm="1">
        <f t="array" aca="1" ref="BD31" ca="1">INDIRECT("'Basin Weights'!L"&amp;MATCH(BD$15,'Basin Weights'!$E:$E,0)+($N31-2022))*INDIRECT("'Star Road Flow'!J"&amp;MATCH(BD$15,'Star Road Flow'!$E:$E,0)+($N31-2022))</f>
        <v>1.554028223609075E-2</v>
      </c>
      <c r="BE31" cm="1">
        <f t="array" aca="1" ref="BE31" ca="1">INDIRECT("'Basin Weights'!L"&amp;MATCH(BE$15,'Basin Weights'!$E:$E,0)+($N31-2022))*INDIRECT("'Star Road Flow'!J"&amp;MATCH(BE$15,'Star Road Flow'!$E:$E,0)+($N31-2022))</f>
        <v>1.5184049961001825E-2</v>
      </c>
      <c r="BG31" cm="1">
        <f t="array" aca="1" ref="BG31" ca="1">INDIRECT("'Basin Weights'!M"&amp;MATCH(BG$15,'Basin Weights'!$E:$E,0)+($N31-2022))</f>
        <v>0.35420204999999999</v>
      </c>
      <c r="BH31" cm="1">
        <f t="array" aca="1" ref="BH31" ca="1">INDIRECT("'Basin Weights'!M"&amp;MATCH(BH$15,'Basin Weights'!$E:$E,0)+($N31-2022))</f>
        <v>0.26442804183121799</v>
      </c>
      <c r="BI31" cm="1">
        <f t="array" aca="1" ref="BI31" ca="1">INDIRECT("'Basin Weights'!M"&amp;MATCH(BI$15,'Basin Weights'!$E:$E,0)+($N31-2022))</f>
        <v>0.25681324226969199</v>
      </c>
      <c r="BJ31" cm="1">
        <f t="array" aca="1" ref="BJ31" ca="1">INDIRECT("'Basin Weights'!M"&amp;MATCH(BJ$15,'Basin Weights'!$E:$E,0)+($N31-2022))</f>
        <v>0.19280421500864101</v>
      </c>
      <c r="BK31" cm="1">
        <f t="array" aca="1" ref="BK31" ca="1">INDIRECT("'Basin Weights'!M"&amp;MATCH(BK$15,'Basin Weights'!$E:$E,0)+($N31-2022))</f>
        <v>0.224618301561227</v>
      </c>
      <c r="BL31" cm="1">
        <f t="array" aca="1" ref="BL31" ca="1">INDIRECT("'Basin Weights'!M"&amp;MATCH(BL$15,'Basin Weights'!$E:$E,0)+($N31-2022))</f>
        <v>0.19430533</v>
      </c>
      <c r="BM31" cm="1">
        <f t="array" aca="1" ref="BM31" ca="1">INDIRECT("'Basin Weights'!M"&amp;MATCH(BM$15,'Basin Weights'!$E:$E,0)+($N31-2022))</f>
        <v>6.2851066635205302E-2</v>
      </c>
      <c r="BN31" cm="1">
        <f t="array" aca="1" ref="BN31" ca="1">INDIRECT("'Basin Weights'!M"&amp;MATCH(BN$15,'Basin Weights'!$E:$E,0)+($N31-2022))</f>
        <v>0.268439426619481</v>
      </c>
      <c r="BO31" cm="1">
        <f t="array" aca="1" ref="BO31" ca="1">INDIRECT("'Basin Weights'!M"&amp;MATCH(BO$15,'Basin Weights'!$E:$E,0)+($N31-2022))</f>
        <v>0.26843942662033399</v>
      </c>
      <c r="BP31" cm="1">
        <f t="array" aca="1" ref="BP31" ca="1">INDIRECT("'Basin Weights'!M"&amp;MATCH(BP$15,'Basin Weights'!$E:$E,0)+($N31-2022))</f>
        <v>0.27755240501810302</v>
      </c>
      <c r="BR31" cm="1">
        <f t="array" aca="1" ref="BR31" ca="1">INDIRECT("'Basin Weights'!N"&amp;MATCH(BR$15,'Basin Weights'!$E:$E,0)+($N31-2022))</f>
        <v>0.15505529000000001</v>
      </c>
      <c r="BS31" cm="1">
        <f t="array" aca="1" ref="BS31" ca="1">INDIRECT("'Basin Weights'!N"&amp;MATCH(BS$15,'Basin Weights'!$E:$E,0)+($N31-2022))</f>
        <v>0.14607536045857</v>
      </c>
      <c r="BT31" cm="1">
        <f t="array" aca="1" ref="BT31" ca="1">INDIRECT("'Basin Weights'!N"&amp;MATCH(BT$15,'Basin Weights'!$E:$E,0)+($N31-2022))</f>
        <v>0.13610178589628899</v>
      </c>
      <c r="BU31" cm="1">
        <f t="array" aca="1" ref="BU31" ca="1">INDIRECT("'Basin Weights'!N"&amp;MATCH(BU$15,'Basin Weights'!$E:$E,0)+($N31-2022))</f>
        <v>0.146003058732916</v>
      </c>
      <c r="BV31" cm="1">
        <f t="array" aca="1" ref="BV31" ca="1">INDIRECT("'Basin Weights'!N"&amp;MATCH(BV$15,'Basin Weights'!$E:$E,0)+($N31-2022))</f>
        <v>0.12318287237169299</v>
      </c>
      <c r="BW31" cm="1">
        <f t="array" aca="1" ref="BW31" ca="1">INDIRECT("'Basin Weights'!N"&amp;MATCH(BW$15,'Basin Weights'!$E:$E,0)+($N31-2022))</f>
        <v>9.348534E-2</v>
      </c>
      <c r="BX31" cm="1">
        <f t="array" aca="1" ref="BX31" ca="1">INDIRECT("'Basin Weights'!N"&amp;MATCH(BX$15,'Basin Weights'!$E:$E,0)+($N31-2022))</f>
        <v>1.36816760306141E-3</v>
      </c>
      <c r="BY31" cm="1">
        <f t="array" aca="1" ref="BY31" ca="1">INDIRECT("'Basin Weights'!N"&amp;MATCH(BY$15,'Basin Weights'!$E:$E,0)+($N31-2022))</f>
        <v>0.14627542392773299</v>
      </c>
      <c r="BZ31" cm="1">
        <f t="array" aca="1" ref="BZ31" ca="1">INDIRECT("'Basin Weights'!N"&amp;MATCH(BZ$15,'Basin Weights'!$E:$E,0)+($N31-2022))</f>
        <v>0.14627542392501999</v>
      </c>
      <c r="CA31" cm="1">
        <f t="array" aca="1" ref="CA31" ca="1">INDIRECT("'Basin Weights'!N"&amp;MATCH(CA$15,'Basin Weights'!$E:$E,0)+($N31-2022))</f>
        <v>0.149025735908979</v>
      </c>
      <c r="CC31" cm="1">
        <f t="array" aca="1" ref="CC31" ca="1">INDIRECT("'Basin Weights'!O"&amp;MATCH(CC$15,'Basin Weights'!$E:$E,0)+($N31-2022))</f>
        <v>0.10331952</v>
      </c>
      <c r="CD31" cm="1">
        <f t="array" aca="1" ref="CD31" ca="1">INDIRECT("'Basin Weights'!O"&amp;MATCH(CD$15,'Basin Weights'!$E:$E,0)+($N31-2022))</f>
        <v>0.12837994229852301</v>
      </c>
      <c r="CE31" cm="1">
        <f t="array" aca="1" ref="CE31" ca="1">INDIRECT("'Basin Weights'!O"&amp;MATCH(CE$15,'Basin Weights'!$E:$E,0)+($N31-2022))</f>
        <v>0.13158002364580901</v>
      </c>
      <c r="CF31" cm="1">
        <f t="array" aca="1" ref="CF31" ca="1">INDIRECT("'Basin Weights'!O"&amp;MATCH(CF$15,'Basin Weights'!$E:$E,0)+($N31-2022))</f>
        <v>0.146941409488165</v>
      </c>
      <c r="CG31" cm="1">
        <f t="array" aca="1" ref="CG31" ca="1">INDIRECT("'Basin Weights'!O"&amp;MATCH(CG$15,'Basin Weights'!$E:$E,0)+($N31-2022))</f>
        <v>0.14334008896928899</v>
      </c>
      <c r="CH31" cm="1">
        <f t="array" aca="1" ref="CH31" ca="1">INDIRECT("'Basin Weights'!O"&amp;MATCH(CH$15,'Basin Weights'!$E:$E,0)+($N31-2022))</f>
        <v>0.15825389000000001</v>
      </c>
      <c r="CI31" cm="1">
        <f t="array" aca="1" ref="CI31" ca="1">INDIRECT("'Basin Weights'!O"&amp;MATCH(CI$15,'Basin Weights'!$E:$E,0)+($N31-2022))</f>
        <v>0.22972972788457999</v>
      </c>
      <c r="CJ31" cm="1">
        <f t="array" aca="1" ref="CJ31" ca="1">INDIRECT("'Basin Weights'!O"&amp;MATCH(CJ$15,'Basin Weights'!$E:$E,0)+($N31-2022))</f>
        <v>0.12658087943620999</v>
      </c>
      <c r="CK31" cm="1">
        <f t="array" aca="1" ref="CK31" ca="1">INDIRECT("'Basin Weights'!O"&amp;MATCH(CK$15,'Basin Weights'!$E:$E,0)+($N31-2022))</f>
        <v>0.126580879436612</v>
      </c>
      <c r="CL31" cm="1">
        <f t="array" aca="1" ref="CL31" ca="1">INDIRECT("'Basin Weights'!O"&amp;MATCH(CL$15,'Basin Weights'!$E:$E,0)+($N31-2022))</f>
        <v>0.123679246506346</v>
      </c>
      <c r="CN31">
        <f t="shared" ca="1" si="5"/>
        <v>1</v>
      </c>
      <c r="CO31">
        <f t="shared" ca="1" si="2"/>
        <v>1.0000000000000009</v>
      </c>
      <c r="CP31">
        <f t="shared" ca="1" si="2"/>
        <v>0.99999999999999978</v>
      </c>
      <c r="CQ31">
        <f t="shared" ca="1" si="2"/>
        <v>1</v>
      </c>
      <c r="CR31">
        <f t="shared" ca="1" si="2"/>
        <v>0.99999999999999889</v>
      </c>
      <c r="CS31">
        <f t="shared" ca="1" si="2"/>
        <v>1</v>
      </c>
      <c r="CT31">
        <f t="shared" ca="1" si="2"/>
        <v>0.99999999999999967</v>
      </c>
      <c r="CU31">
        <f t="shared" ca="1" si="2"/>
        <v>1</v>
      </c>
      <c r="CV31">
        <f t="shared" ca="1" si="2"/>
        <v>1</v>
      </c>
      <c r="CW31">
        <f t="shared" ca="1" si="2"/>
        <v>1.0000000000000011</v>
      </c>
    </row>
    <row r="32" spans="2:101" x14ac:dyDescent="0.25">
      <c r="B32">
        <v>2038</v>
      </c>
      <c r="C32" s="69">
        <f>'Gas Supply Commodity Costs'!I18/'Conventional Supply Quantities'!I18</f>
        <v>3.5943516882306561</v>
      </c>
      <c r="D32" s="69">
        <f>'Gas Supply Commodity Costs'!J18/'Conventional Supply Quantities'!J18</f>
        <v>3.5697922190748526</v>
      </c>
      <c r="E32" s="69">
        <f>'Gas Supply Commodity Costs'!K18/'Conventional Supply Quantities'!K18</f>
        <v>3.5667252675281182</v>
      </c>
      <c r="F32" s="69">
        <f>'Gas Supply Commodity Costs'!L18/'Conventional Supply Quantities'!L18</f>
        <v>3.4765596957073881</v>
      </c>
      <c r="G32" s="69">
        <f>'Gas Supply Commodity Costs'!M18/'Conventional Supply Quantities'!M18</f>
        <v>3.5278530557458603</v>
      </c>
      <c r="H32" s="69">
        <f>'Gas Supply Commodity Costs'!N18/'Conventional Supply Quantities'!N18</f>
        <v>3.4773211642716313</v>
      </c>
      <c r="I32" s="69">
        <f>'Gas Supply Commodity Costs'!O18/'Conventional Supply Quantities'!O18</f>
        <v>3.2741382059623669</v>
      </c>
      <c r="J32" s="69">
        <f>'Gas Supply Commodity Costs'!P18/'Conventional Supply Quantities'!P18</f>
        <v>3.5767504050793368</v>
      </c>
      <c r="K32" s="69">
        <f>'Gas Supply Commodity Costs'!Q18/'Conventional Supply Quantities'!Q18</f>
        <v>3.5767504050843986</v>
      </c>
      <c r="L32" s="69">
        <f>'Gas Supply Commodity Costs'!R18/'Conventional Supply Quantities'!R18</f>
        <v>3.585711914688122</v>
      </c>
      <c r="N32">
        <v>2038</v>
      </c>
      <c r="O32" s="69">
        <f t="shared" ca="1" si="3"/>
        <v>1.7535192463900635E-2</v>
      </c>
      <c r="P32" s="69">
        <f t="shared" ref="P32:P45" ca="1" si="6">AL32*($D$3+$C$3+$F$3+$G$3)+AW32*($C$3+$E$3+$F$3+$G$3)+BH32*($G$3)+BS32*($G$3)+CD32*($H$3+$G$3)</f>
        <v>1.9151344876780226E-2</v>
      </c>
      <c r="Q32" s="69">
        <f t="shared" ref="Q32:Q45" ca="1" si="7">AM32*($D$3+$C$3+$F$3+$G$3)+AX32*($C$3+$E$3+$F$3+$G$3)+BI32*($G$3)+BT32*($G$3)+CE32*($H$3+$G$3)</f>
        <v>1.9447274169774362E-2</v>
      </c>
      <c r="R32" s="69">
        <f t="shared" ref="R32:R45" ca="1" si="8">AN32*($D$3+$C$3+$F$3+$G$3)+AY32*($C$3+$E$3+$F$3+$G$3)+BJ32*($G$3)+BU32*($G$3)+CF32*($H$3+$G$3)</f>
        <v>2.0609832784634748E-2</v>
      </c>
      <c r="S32" s="69">
        <f t="shared" ref="S32:S45" ca="1" si="9">AO32*($D$3+$C$3+$F$3+$G$3)+AZ32*($C$3+$E$3+$F$3+$G$3)+BK32*($G$3)+BV32*($G$3)+CG32*($H$3+$G$3)</f>
        <v>2.0323956622429966E-2</v>
      </c>
      <c r="T32" s="69">
        <f t="shared" ref="T32:T45" ca="1" si="10">AP32*($D$3+$C$3+$F$3+$G$3)+BA32*($C$3+$E$3+$F$3+$G$3)+BL32*($G$3)+BW32*($G$3)+CH32*($H$3+$G$3)</f>
        <v>2.1567316146663879E-2</v>
      </c>
      <c r="U32" s="69">
        <f t="shared" ref="U32:U45" ca="1" si="11">AQ32*($D$3+$C$3+$F$3+$G$3)+BB32*($C$3+$E$3+$F$3+$G$3)+BM32*($G$3)+BX32*($G$3)+CI32*($H$3+$G$3)</f>
        <v>2.7150400813999567E-2</v>
      </c>
      <c r="V32" s="69">
        <f t="shared" ref="V32:V45" ca="1" si="12">AR32*($D$3+$C$3+$F$3+$G$3)+BC32*($C$3+$E$3+$F$3+$G$3)+BN32*($G$3)+BY32*($G$3)+CJ32*($H$3+$G$3)</f>
        <v>1.9032239634292302E-2</v>
      </c>
      <c r="W32" s="69">
        <f t="shared" ref="W32:W45" ca="1" si="13">AS32*($D$3+$C$3+$F$3+$G$3)+BD32*($C$3+$E$3+$F$3+$G$3)+BO32*($G$3)+BZ32*($G$3)+CK32*($H$3+$G$3)</f>
        <v>1.9032239634187226E-2</v>
      </c>
      <c r="X32" s="69">
        <f t="shared" ref="X32:X45" ca="1" si="14">AT32*($D$3+$C$3+$F$3+$G$3)+BE32*($C$3+$E$3+$F$3+$G$3)+BP32*($G$3)+CA32*($G$3)+CL32*($H$3+$G$3)</f>
        <v>1.8795324119201332E-2</v>
      </c>
      <c r="Z32" s="71">
        <f t="shared" ca="1" si="4"/>
        <v>2.1634103996820583E-2</v>
      </c>
      <c r="AA32" s="71">
        <f t="shared" ref="AA32:AA45" ca="1" si="15">(AL32*($D$4+$C$4+$F$4+$G$4)+AW32*($C$4+$E$4+$F$4+$G$4)+BH32*($G$4)+BS32*($G$4)+CD32*($H$4+$G$4))/100</f>
        <v>2.4285931275091027E-2</v>
      </c>
      <c r="AB32" s="71">
        <f t="shared" ref="AB32:AB45" ca="1" si="16">(AM32*($D$4+$C$4+$F$4+$G$4)+AX32*($C$4+$E$4+$F$4+$G$4)+BI32*($G$4)+BT32*($G$4)+CE32*($H$4+$G$4))/100</f>
        <v>2.4805855590464287E-2</v>
      </c>
      <c r="AC32" s="71">
        <f t="shared" ref="AC32:AC45" ca="1" si="17">(AN32*($D$4+$C$4+$F$4+$G$4)+AY32*($C$4+$E$4+$F$4+$G$4)+BJ32*($G$4)+BU32*($G$4)+CF32*($H$4+$G$4))/100</f>
        <v>2.6583713379264656E-2</v>
      </c>
      <c r="AD32" s="71">
        <f t="shared" ref="AD32:AD45" ca="1" si="18">(AO32*($D$4+$C$4+$F$4+$G$4)+AZ32*($C$4+$E$4+$F$4+$G$4)+BK32*($G$4)+BV32*($G$4)+CG32*($H$4+$G$4))/100</f>
        <v>2.6168079016393193E-2</v>
      </c>
      <c r="AE32" s="71">
        <f t="shared" ref="AE32:AE45" ca="1" si="19">(AP32*($D$4+$C$4+$F$4+$G$4)+BA32*($C$4+$E$4+$F$4+$G$4)+BL32*($G$4)+BW32*($G$4)+CH32*($H$4+$G$4))/100</f>
        <v>2.8043429552689868E-2</v>
      </c>
      <c r="AF32" s="71">
        <f t="shared" ref="AF32:AF45" ca="1" si="20">(AQ32*($D$4+$C$4+$F$4+$G$4)+BB32*($C$4+$E$4+$F$4+$G$4)+BM32*($G$4)+BX32*($G$4)+CI32*($H$4+$G$4))/100</f>
        <v>3.5208966065993261E-2</v>
      </c>
      <c r="AG32" s="71">
        <f t="shared" ref="AG32:AG45" ca="1" si="21">(AR32*($D$4+$C$4+$F$4+$G$4)+BC32*($C$4+$E$4+$F$4+$G$4)+BN32*($G$4)+BY32*($G$4)+CJ32*($H$4+$G$4))/100</f>
        <v>2.4138255589418751E-2</v>
      </c>
      <c r="AH32" s="71">
        <f t="shared" ref="AH32:AH45" ca="1" si="22">(AS32*($D$4+$C$4+$F$4+$G$4)+BD32*($C$4+$E$4+$F$4+$G$4)+BO32*($G$4)+BZ32*($G$4)+CK32*($H$4+$G$4))/100</f>
        <v>2.4138255589304804E-2</v>
      </c>
      <c r="AI32" s="71">
        <f t="shared" ref="AI32:AI45" ca="1" si="23">(AT32*($D$4+$C$4+$F$4+$G$4)+BE32*($C$4+$E$4+$F$4+$G$4)+BP32*($G$4)+CA32*($G$4)+CL32*($H$4+$G$4))/100</f>
        <v>2.3758659566726799E-2</v>
      </c>
      <c r="AK32" cm="1">
        <f t="array" aca="1" ref="AK32" ca="1">INDIRECT("'Basin Weights'!L"&amp;MATCH(AK$15,'Basin Weights'!$E:$E,0)+($N32-2022))*(1-INDIRECT("'Star Road Flow'!J"&amp;MATCH(AK$15,'Star Road Flow'!$E:$E,0)+($N32-2022)))</f>
        <v>0.36715360282165566</v>
      </c>
      <c r="AL32" cm="1">
        <f t="array" aca="1" ref="AL32" ca="1">INDIRECT("'Basin Weights'!L"&amp;MATCH(AL$15,'Basin Weights'!$E:$E,0)+($N32-2022))*(1-INDIRECT("'Star Road Flow'!J"&amp;MATCH(AL$15,'Star Road Flow'!$E:$E,0)+($N32-2022)))</f>
        <v>0.44224904872246507</v>
      </c>
      <c r="AM32" cm="1">
        <f t="array" aca="1" ref="AM32" ca="1">INDIRECT("'Basin Weights'!L"&amp;MATCH(AM$15,'Basin Weights'!$E:$E,0)+($N32-2022))*(1-INDIRECT("'Star Road Flow'!J"&amp;MATCH(AM$15,'Star Road Flow'!$E:$E,0)+($N32-2022)))</f>
        <v>0.45741855295682748</v>
      </c>
      <c r="AN32" cm="1">
        <f t="array" aca="1" ref="AN32" ca="1">INDIRECT("'Basin Weights'!L"&amp;MATCH(AN$15,'Basin Weights'!$E:$E,0)+($N32-2022))*(1-INDIRECT("'Star Road Flow'!J"&amp;MATCH(AN$15,'Star Road Flow'!$E:$E,0)+($N32-2022)))</f>
        <v>0.50594105367546593</v>
      </c>
      <c r="AO32" cm="1">
        <f t="array" aca="1" ref="AO32" ca="1">INDIRECT("'Basin Weights'!L"&amp;MATCH(AO$15,'Basin Weights'!$E:$E,0)+($N32-2022))*(1-INDIRECT("'Star Road Flow'!J"&amp;MATCH(AO$15,'Star Road Flow'!$E:$E,0)+($N32-2022)))</f>
        <v>0.49500428834858679</v>
      </c>
      <c r="AP32" cm="1">
        <f t="array" aca="1" ref="AP32" ca="1">INDIRECT("'Basin Weights'!L"&amp;MATCH(AP$15,'Basin Weights'!$E:$E,0)+($N32-2022))*(1-INDIRECT("'Star Road Flow'!J"&amp;MATCH(AP$15,'Star Road Flow'!$E:$E,0)+($N32-2022)))</f>
        <v>0.54597146559424281</v>
      </c>
      <c r="AQ32" cm="1">
        <f t="array" aca="1" ref="AQ32" ca="1">INDIRECT("'Basin Weights'!L"&amp;MATCH(AQ$15,'Basin Weights'!$E:$E,0)+($N32-2022))*(1-INDIRECT("'Star Road Flow'!J"&amp;MATCH(AQ$15,'Star Road Flow'!$E:$E,0)+($N32-2022)))</f>
        <v>0.72205339221075848</v>
      </c>
      <c r="AR32" cm="1">
        <f t="array" aca="1" ref="AR32" ca="1">INDIRECT("'Basin Weights'!L"&amp;MATCH(AR$15,'Basin Weights'!$E:$E,0)+($N32-2022))*(1-INDIRECT("'Star Road Flow'!J"&amp;MATCH(AR$15,'Star Road Flow'!$E:$E,0)+($N32-2022)))</f>
        <v>0.43868719869734735</v>
      </c>
      <c r="AS32" cm="1">
        <f t="array" aca="1" ref="AS32" ca="1">INDIRECT("'Basin Weights'!L"&amp;MATCH(AS$15,'Basin Weights'!$E:$E,0)+($N32-2022))*(1-INDIRECT("'Star Road Flow'!J"&amp;MATCH(AS$15,'Star Road Flow'!$E:$E,0)+($N32-2022)))</f>
        <v>0.43868719869470135</v>
      </c>
      <c r="AT32" cm="1">
        <f t="array" aca="1" ref="AT32" ca="1">INDIRECT("'Basin Weights'!L"&amp;MATCH(AT$15,'Basin Weights'!$E:$E,0)+($N32-2022))*(1-INDIRECT("'Star Road Flow'!J"&amp;MATCH(AT$15,'Star Road Flow'!$E:$E,0)+($N32-2022)))</f>
        <v>0.42805635352122023</v>
      </c>
      <c r="AV32" cm="1">
        <f t="array" aca="1" ref="AV32" ca="1">INDIRECT("'Basin Weights'!L"&amp;MATCH(AV$15,'Basin Weights'!$E:$E,0)+($N32-2022))*INDIRECT("'Star Road Flow'!J"&amp;MATCH(AV$15,'Star Road Flow'!$E:$E,0)+($N32-2022))</f>
        <v>1.3263567178344333E-2</v>
      </c>
      <c r="AW32" cm="1">
        <f t="array" aca="1" ref="AW32" ca="1">INDIRECT("'Basin Weights'!L"&amp;MATCH(AW$15,'Basin Weights'!$E:$E,0)+($N32-2022))*INDIRECT("'Star Road Flow'!J"&amp;MATCH(AW$15,'Star Road Flow'!$E:$E,0)+($N32-2022))</f>
        <v>1.591581776125793E-2</v>
      </c>
      <c r="AX32" cm="1">
        <f t="array" aca="1" ref="AX32" ca="1">INDIRECT("'Basin Weights'!L"&amp;MATCH(AX$15,'Basin Weights'!$E:$E,0)+($N32-2022))*INDIRECT("'Star Road Flow'!J"&amp;MATCH(AX$15,'Star Road Flow'!$E:$E,0)+($N32-2022))</f>
        <v>1.6383836888569526E-2</v>
      </c>
      <c r="AY32" cm="1">
        <f t="array" aca="1" ref="AY32" ca="1">INDIRECT("'Basin Weights'!L"&amp;MATCH(AY$15,'Basin Weights'!$E:$E,0)+($N32-2022))*INDIRECT("'Star Road Flow'!J"&amp;MATCH(AY$15,'Star Road Flow'!$E:$E,0)+($N32-2022))</f>
        <v>1.8533711681467106E-2</v>
      </c>
      <c r="AZ32" cm="1">
        <f t="array" aca="1" ref="AZ32" ca="1">INDIRECT("'Basin Weights'!L"&amp;MATCH(AZ$15,'Basin Weights'!$E:$E,0)+($N32-2022))*INDIRECT("'Star Road Flow'!J"&amp;MATCH(AZ$15,'Star Road Flow'!$E:$E,0)+($N32-2022))</f>
        <v>1.7861679970089236E-2</v>
      </c>
      <c r="BA32" cm="1">
        <f t="array" aca="1" ref="BA32" ca="1">INDIRECT("'Basin Weights'!L"&amp;MATCH(BA$15,'Basin Weights'!$E:$E,0)+($N32-2022))*INDIRECT("'Star Road Flow'!J"&amp;MATCH(BA$15,'Star Road Flow'!$E:$E,0)+($N32-2022))</f>
        <v>1.998669440575717E-2</v>
      </c>
      <c r="BB32" cm="1">
        <f t="array" aca="1" ref="BB32" ca="1">INDIRECT("'Basin Weights'!L"&amp;MATCH(BB$15,'Basin Weights'!$E:$E,0)+($N32-2022))*INDIRECT("'Star Road Flow'!J"&amp;MATCH(BB$15,'Star Road Flow'!$E:$E,0)+($N32-2022))</f>
        <v>3.1337698386376629E-2</v>
      </c>
      <c r="BC32" cm="1">
        <f t="array" aca="1" ref="BC32" ca="1">INDIRECT("'Basin Weights'!L"&amp;MATCH(BC$15,'Basin Weights'!$E:$E,0)+($N32-2022))*INDIRECT("'Star Road Flow'!J"&amp;MATCH(BC$15,'Star Road Flow'!$E:$E,0)+($N32-2022))</f>
        <v>1.5695852652902617E-2</v>
      </c>
      <c r="BD32" cm="1">
        <f t="array" aca="1" ref="BD32" ca="1">INDIRECT("'Basin Weights'!L"&amp;MATCH(BD$15,'Basin Weights'!$E:$E,0)+($N32-2022))*INDIRECT("'Star Road Flow'!J"&amp;MATCH(BD$15,'Star Road Flow'!$E:$E,0)+($N32-2022))</f>
        <v>1.5695852652924665E-2</v>
      </c>
      <c r="BE32" cm="1">
        <f t="array" aca="1" ref="BE32" ca="1">INDIRECT("'Basin Weights'!L"&amp;MATCH(BE$15,'Basin Weights'!$E:$E,0)+($N32-2022))*INDIRECT("'Star Road Flow'!J"&amp;MATCH(BE$15,'Star Road Flow'!$E:$E,0)+($N32-2022))</f>
        <v>1.5302362712672773E-2</v>
      </c>
      <c r="BG32" cm="1">
        <f t="array" aca="1" ref="BG32" ca="1">INDIRECT("'Basin Weights'!M"&amp;MATCH(BG$15,'Basin Weights'!$E:$E,0)+($N32-2022))</f>
        <v>0.29982356999999998</v>
      </c>
      <c r="BH32" cm="1">
        <f t="array" aca="1" ref="BH32" ca="1">INDIRECT("'Basin Weights'!M"&amp;MATCH(BH$15,'Basin Weights'!$E:$E,0)+($N32-2022))</f>
        <v>0.24936616321468799</v>
      </c>
      <c r="BI32" cm="1">
        <f t="array" aca="1" ref="BI32" ca="1">INDIRECT("'Basin Weights'!M"&amp;MATCH(BI$15,'Basin Weights'!$E:$E,0)+($N32-2022))</f>
        <v>0.228298491449028</v>
      </c>
      <c r="BJ32" cm="1">
        <f t="array" aca="1" ref="BJ32" ca="1">INDIRECT("'Basin Weights'!M"&amp;MATCH(BJ$15,'Basin Weights'!$E:$E,0)+($N32-2022))</f>
        <v>0.186114443279601</v>
      </c>
      <c r="BK32" cm="1">
        <f t="array" aca="1" ref="BK32" ca="1">INDIRECT("'Basin Weights'!M"&amp;MATCH(BK$15,'Basin Weights'!$E:$E,0)+($N32-2022))</f>
        <v>0.18597030514020399</v>
      </c>
      <c r="BL32" cm="1">
        <f t="array" aca="1" ref="BL32" ca="1">INDIRECT("'Basin Weights'!M"&amp;MATCH(BL$15,'Basin Weights'!$E:$E,0)+($N32-2022))</f>
        <v>0.13581425</v>
      </c>
      <c r="BM32" cm="1">
        <f t="array" aca="1" ref="BM32" ca="1">INDIRECT("'Basin Weights'!M"&amp;MATCH(BM$15,'Basin Weights'!$E:$E,0)+($N32-2022))</f>
        <v>0</v>
      </c>
      <c r="BN32" cm="1">
        <f t="array" aca="1" ref="BN32" ca="1">INDIRECT("'Basin Weights'!M"&amp;MATCH(BN$15,'Basin Weights'!$E:$E,0)+($N32-2022))</f>
        <v>0.25577924648065398</v>
      </c>
      <c r="BO32" cm="1">
        <f t="array" aca="1" ref="BO32" ca="1">INDIRECT("'Basin Weights'!M"&amp;MATCH(BO$15,'Basin Weights'!$E:$E,0)+($N32-2022))</f>
        <v>0.25577924648699901</v>
      </c>
      <c r="BP32" cm="1">
        <f t="array" aca="1" ref="BP32" ca="1">INDIRECT("'Basin Weights'!M"&amp;MATCH(BP$15,'Basin Weights'!$E:$E,0)+($N32-2022))</f>
        <v>0.27078958320754198</v>
      </c>
      <c r="BR32" cm="1">
        <f t="array" aca="1" ref="BR32" ca="1">INDIRECT("'Basin Weights'!N"&amp;MATCH(BR$15,'Basin Weights'!$E:$E,0)+($N32-2022))</f>
        <v>0.21172299999999999</v>
      </c>
      <c r="BS32" cm="1">
        <f t="array" aca="1" ref="BS32" ca="1">INDIRECT("'Basin Weights'!N"&amp;MATCH(BS$15,'Basin Weights'!$E:$E,0)+($N32-2022))</f>
        <v>0.16282922640699199</v>
      </c>
      <c r="BT32" cm="1">
        <f t="array" aca="1" ref="BT32" ca="1">INDIRECT("'Basin Weights'!N"&amp;MATCH(BT$15,'Basin Weights'!$E:$E,0)+($N32-2022))</f>
        <v>0.16444719997960899</v>
      </c>
      <c r="BU32" cm="1">
        <f t="array" aca="1" ref="BU32" ca="1">INDIRECT("'Basin Weights'!N"&amp;MATCH(BU$15,'Basin Weights'!$E:$E,0)+($N32-2022))</f>
        <v>0.13987136424811999</v>
      </c>
      <c r="BV32" cm="1">
        <f t="array" aca="1" ref="BV32" ca="1">INDIRECT("'Basin Weights'!N"&amp;MATCH(BV$15,'Basin Weights'!$E:$E,0)+($N32-2022))</f>
        <v>0.15567427374545401</v>
      </c>
      <c r="BW32" cm="1">
        <f t="array" aca="1" ref="BW32" ca="1">INDIRECT("'Basin Weights'!N"&amp;MATCH(BW$15,'Basin Weights'!$E:$E,0)+($N32-2022))</f>
        <v>0.13542918000000001</v>
      </c>
      <c r="BX32" cm="1">
        <f t="array" aca="1" ref="BX32" ca="1">INDIRECT("'Basin Weights'!N"&amp;MATCH(BX$15,'Basin Weights'!$E:$E,0)+($N32-2022))</f>
        <v>8.0606827309363002E-4</v>
      </c>
      <c r="BY32" cm="1">
        <f t="array" aca="1" ref="BY32" ca="1">INDIRECT("'Basin Weights'!N"&amp;MATCH(BY$15,'Basin Weights'!$E:$E,0)+($N32-2022))</f>
        <v>0.16198964882075001</v>
      </c>
      <c r="BZ32" cm="1">
        <f t="array" aca="1" ref="BZ32" ca="1">INDIRECT("'Basin Weights'!N"&amp;MATCH(BZ$15,'Basin Weights'!$E:$E,0)+($N32-2022))</f>
        <v>0.16198964881867001</v>
      </c>
      <c r="CA32" cm="1">
        <f t="array" aca="1" ref="CA32" ca="1">INDIRECT("'Basin Weights'!N"&amp;MATCH(CA$15,'Basin Weights'!$E:$E,0)+($N32-2022))</f>
        <v>0.16120875648789201</v>
      </c>
      <c r="CC32" cm="1">
        <f t="array" aca="1" ref="CC32" ca="1">INDIRECT("'Basin Weights'!O"&amp;MATCH(CC$15,'Basin Weights'!$E:$E,0)+($N32-2022))</f>
        <v>0.10803626</v>
      </c>
      <c r="CD32" cm="1">
        <f t="array" aca="1" ref="CD32" ca="1">INDIRECT("'Basin Weights'!O"&amp;MATCH(CD$15,'Basin Weights'!$E:$E,0)+($N32-2022))</f>
        <v>0.12963974389459801</v>
      </c>
      <c r="CE32" cm="1">
        <f t="array" aca="1" ref="CE32" ca="1">INDIRECT("'Basin Weights'!O"&amp;MATCH(CE$15,'Basin Weights'!$E:$E,0)+($N32-2022))</f>
        <v>0.13345191872596601</v>
      </c>
      <c r="CF32" cm="1">
        <f t="array" aca="1" ref="CF32" ca="1">INDIRECT("'Basin Weights'!O"&amp;MATCH(CF$15,'Basin Weights'!$E:$E,0)+($N32-2022))</f>
        <v>0.14953942711534601</v>
      </c>
      <c r="CG32" cm="1">
        <f t="array" aca="1" ref="CG32" ca="1">INDIRECT("'Basin Weights'!O"&amp;MATCH(CG$15,'Basin Weights'!$E:$E,0)+($N32-2022))</f>
        <v>0.145489452795666</v>
      </c>
      <c r="CH32" cm="1">
        <f t="array" aca="1" ref="CH32" ca="1">INDIRECT("'Basin Weights'!O"&amp;MATCH(CH$15,'Basin Weights'!$E:$E,0)+($N32-2022))</f>
        <v>0.16279842</v>
      </c>
      <c r="CI32" cm="1">
        <f t="array" aca="1" ref="CI32" ca="1">INDIRECT("'Basin Weights'!O"&amp;MATCH(CI$15,'Basin Weights'!$E:$E,0)+($N32-2022))</f>
        <v>0.24580284112977199</v>
      </c>
      <c r="CJ32" cm="1">
        <f t="array" aca="1" ref="CJ32" ca="1">INDIRECT("'Basin Weights'!O"&amp;MATCH(CJ$15,'Basin Weights'!$E:$E,0)+($N32-2022))</f>
        <v>0.12784805334834601</v>
      </c>
      <c r="CK32" cm="1">
        <f t="array" aca="1" ref="CK32" ca="1">INDIRECT("'Basin Weights'!O"&amp;MATCH(CK$15,'Basin Weights'!$E:$E,0)+($N32-2022))</f>
        <v>0.12784805334670399</v>
      </c>
      <c r="CL32" cm="1">
        <f t="array" aca="1" ref="CL32" ca="1">INDIRECT("'Basin Weights'!O"&amp;MATCH(CL$15,'Basin Weights'!$E:$E,0)+($N32-2022))</f>
        <v>0.124642944070673</v>
      </c>
      <c r="CN32">
        <f t="shared" ca="1" si="5"/>
        <v>0.99999999999999989</v>
      </c>
      <c r="CO32">
        <f t="shared" ref="CO32:CO45" ca="1" si="24">CD32+BS32+BH32+AW32+AL32</f>
        <v>1.0000000000000009</v>
      </c>
      <c r="CP32">
        <f t="shared" ref="CP32:CP45" ca="1" si="25">CE32+BT32+BI32+AX32+AM32</f>
        <v>1</v>
      </c>
      <c r="CQ32">
        <f t="shared" ref="CQ32:CQ45" ca="1" si="26">CF32+BU32+BJ32+AY32+AN32</f>
        <v>1</v>
      </c>
      <c r="CR32">
        <f t="shared" ref="CR32:CR45" ca="1" si="27">CG32+BV32+BK32+AZ32+AO32</f>
        <v>1</v>
      </c>
      <c r="CS32">
        <f t="shared" ref="CS32:CS45" ca="1" si="28">CH32+BW32+BL32+BA32+AP32</f>
        <v>1.0000000099999999</v>
      </c>
      <c r="CT32">
        <f t="shared" ref="CT32:CT45" ca="1" si="29">CI32+BX32+BM32+BB32+AQ32</f>
        <v>1.0000000000000007</v>
      </c>
      <c r="CU32">
        <f t="shared" ref="CU32:CU45" ca="1" si="30">CJ32+BY32+BN32+BC32+AR32</f>
        <v>1</v>
      </c>
      <c r="CV32">
        <f t="shared" ref="CV32:CV45" ca="1" si="31">CK32+BZ32+BO32+BD32+AS32</f>
        <v>0.99999999999999889</v>
      </c>
      <c r="CW32">
        <f t="shared" ref="CW32:CW44" ca="1" si="32">CL32+CA32+BP32+BE32+AT32</f>
        <v>1</v>
      </c>
    </row>
    <row r="33" spans="2:101" x14ac:dyDescent="0.25">
      <c r="B33">
        <v>2039</v>
      </c>
      <c r="C33" s="69">
        <f>'Gas Supply Commodity Costs'!I19/'Conventional Supply Quantities'!I19</f>
        <v>3.6695296878645052</v>
      </c>
      <c r="D33" s="69">
        <f>'Gas Supply Commodity Costs'!J19/'Conventional Supply Quantities'!J19</f>
        <v>3.6386331546927995</v>
      </c>
      <c r="E33" s="69">
        <f>'Gas Supply Commodity Costs'!K19/'Conventional Supply Quantities'!K19</f>
        <v>3.6340423382713984</v>
      </c>
      <c r="F33" s="69">
        <f>'Gas Supply Commodity Costs'!L19/'Conventional Supply Quantities'!L19</f>
        <v>3.5439417019156112</v>
      </c>
      <c r="G33" s="69">
        <f>'Gas Supply Commodity Costs'!M19/'Conventional Supply Quantities'!M19</f>
        <v>3.5943943028310019</v>
      </c>
      <c r="H33" s="69">
        <f>'Gas Supply Commodity Costs'!N19/'Conventional Supply Quantities'!N19</f>
        <v>3.5373396418750831</v>
      </c>
      <c r="I33" s="69">
        <f>'Gas Supply Commodity Costs'!O19/'Conventional Supply Quantities'!O19</f>
        <v>3.3305699771364217</v>
      </c>
      <c r="J33" s="69">
        <f>'Gas Supply Commodity Costs'!P19/'Conventional Supply Quantities'!P19</f>
        <v>3.6459758110317542</v>
      </c>
      <c r="K33" s="69">
        <f>'Gas Supply Commodity Costs'!Q19/'Conventional Supply Quantities'!Q19</f>
        <v>3.6459758110500307</v>
      </c>
      <c r="L33" s="69">
        <f>'Gas Supply Commodity Costs'!R19/'Conventional Supply Quantities'!R19</f>
        <v>3.6556210148157393</v>
      </c>
      <c r="N33">
        <v>2039</v>
      </c>
      <c r="O33" s="69">
        <f t="shared" ca="1" si="3"/>
        <v>1.7655312810282139E-2</v>
      </c>
      <c r="P33" s="69">
        <f t="shared" ca="1" si="6"/>
        <v>1.9402468519775749E-2</v>
      </c>
      <c r="Q33" s="69">
        <f t="shared" ca="1" si="7"/>
        <v>1.9744565680752828E-2</v>
      </c>
      <c r="R33" s="69">
        <f t="shared" ca="1" si="8"/>
        <v>2.0932442468357793E-2</v>
      </c>
      <c r="S33" s="69">
        <f t="shared" ca="1" si="9"/>
        <v>2.0665850937931222E-2</v>
      </c>
      <c r="T33" s="69">
        <f t="shared" ca="1" si="10"/>
        <v>2.2114461624554597E-2</v>
      </c>
      <c r="U33" s="69">
        <f t="shared" ca="1" si="11"/>
        <v>2.8010156545516671E-2</v>
      </c>
      <c r="V33" s="69">
        <f t="shared" ca="1" si="12"/>
        <v>1.9267537932570009E-2</v>
      </c>
      <c r="W33" s="69">
        <f t="shared" ca="1" si="13"/>
        <v>1.9267537932570009E-2</v>
      </c>
      <c r="X33" s="69">
        <f t="shared" ca="1" si="14"/>
        <v>1.9002724516545701E-2</v>
      </c>
      <c r="Z33" s="71">
        <f t="shared" ca="1" si="4"/>
        <v>2.230319546049353E-2</v>
      </c>
      <c r="AA33" s="71">
        <f t="shared" ca="1" si="15"/>
        <v>2.5238903509656119E-2</v>
      </c>
      <c r="AB33" s="71">
        <f t="shared" ca="1" si="16"/>
        <v>2.5813721964373454E-2</v>
      </c>
      <c r="AC33" s="71">
        <f t="shared" ca="1" si="17"/>
        <v>2.7085069270893804E-2</v>
      </c>
      <c r="AD33" s="71">
        <f t="shared" ca="1" si="18"/>
        <v>2.7361737640307904E-2</v>
      </c>
      <c r="AE33" s="71">
        <f t="shared" ca="1" si="19"/>
        <v>2.9587856818707986E-2</v>
      </c>
      <c r="AF33" s="71">
        <f t="shared" ca="1" si="20"/>
        <v>3.4835001020225263E-2</v>
      </c>
      <c r="AG33" s="71">
        <f t="shared" ca="1" si="21"/>
        <v>2.5012182564617558E-2</v>
      </c>
      <c r="AH33" s="71">
        <f t="shared" ca="1" si="22"/>
        <v>2.5012182564617558E-2</v>
      </c>
      <c r="AI33" s="71">
        <f t="shared" ca="1" si="23"/>
        <v>2.4567222313697158E-2</v>
      </c>
      <c r="AK33" cm="1">
        <f t="array" aca="1" ref="AK33" ca="1">INDIRECT("'Basin Weights'!L"&amp;MATCH(AK$15,'Basin Weights'!$E:$E,0)+($N33-2022))*(1-INDIRECT("'Star Road Flow'!J"&amp;MATCH(AK$15,'Star Road Flow'!$E:$E,0)+($N33-2022)))</f>
        <v>0.39222984974362074</v>
      </c>
      <c r="AL33" cm="1">
        <f t="array" aca="1" ref="AL33" ca="1">INDIRECT("'Basin Weights'!L"&amp;MATCH(AL$15,'Basin Weights'!$E:$E,0)+($N33-2022))*(1-INDIRECT("'Star Road Flow'!J"&amp;MATCH(AL$15,'Star Road Flow'!$E:$E,0)+($N33-2022)))</f>
        <v>0.47625932896560458</v>
      </c>
      <c r="AM33" cm="1">
        <f t="array" aca="1" ref="AM33" ca="1">INDIRECT("'Basin Weights'!L"&amp;MATCH(AM$15,'Basin Weights'!$E:$E,0)+($N33-2022))*(1-INDIRECT("'Star Road Flow'!J"&amp;MATCH(AM$15,'Star Road Flow'!$E:$E,0)+($N33-2022)))</f>
        <v>0.49271249556770946</v>
      </c>
      <c r="AN33" cm="1">
        <f t="array" aca="1" ref="AN33" ca="1">INDIRECT("'Basin Weights'!L"&amp;MATCH(AN$15,'Basin Weights'!$E:$E,0)+($N33-2022))*(1-INDIRECT("'Star Road Flow'!J"&amp;MATCH(AN$15,'Star Road Flow'!$E:$E,0)+($N33-2022)))</f>
        <v>0.51991462779002628</v>
      </c>
      <c r="AO33" cm="1">
        <f t="array" aca="1" ref="AO33" ca="1">INDIRECT("'Basin Weights'!L"&amp;MATCH(AO$15,'Basin Weights'!$E:$E,0)+($N33-2022))*(1-INDIRECT("'Star Road Flow'!J"&amp;MATCH(AO$15,'Star Road Flow'!$E:$E,0)+($N33-2022)))</f>
        <v>0.53702171982764513</v>
      </c>
      <c r="AP33" cm="1">
        <f t="array" aca="1" ref="AP33" ca="1">INDIRECT("'Basin Weights'!L"&amp;MATCH(AP$15,'Basin Weights'!$E:$E,0)+($N33-2022))*(1-INDIRECT("'Star Road Flow'!J"&amp;MATCH(AP$15,'Star Road Flow'!$E:$E,0)+($N33-2022)))</f>
        <v>0.59810371091235603</v>
      </c>
      <c r="AQ33" cm="1">
        <f t="array" aca="1" ref="AQ33" ca="1">INDIRECT("'Basin Weights'!L"&amp;MATCH(AQ$15,'Basin Weights'!$E:$E,0)+($N33-2022))*(1-INDIRECT("'Star Road Flow'!J"&amp;MATCH(AQ$15,'Star Road Flow'!$E:$E,0)+($N33-2022)))</f>
        <v>0.68523893604107733</v>
      </c>
      <c r="AR33" cm="1">
        <f t="array" aca="1" ref="AR33" ca="1">INDIRECT("'Basin Weights'!L"&amp;MATCH(AR$15,'Basin Weights'!$E:$E,0)+($N33-2022))*(1-INDIRECT("'Star Road Flow'!J"&amp;MATCH(AR$15,'Star Road Flow'!$E:$E,0)+($N33-2022)))</f>
        <v>0.46976984093630869</v>
      </c>
      <c r="AS33" cm="1">
        <f t="array" aca="1" ref="AS33" ca="1">INDIRECT("'Basin Weights'!L"&amp;MATCH(AS$15,'Basin Weights'!$E:$E,0)+($N33-2022))*(1-INDIRECT("'Star Road Flow'!J"&amp;MATCH(AS$15,'Star Road Flow'!$E:$E,0)+($N33-2022)))</f>
        <v>0.46976984093630869</v>
      </c>
      <c r="AT33" cm="1">
        <f t="array" aca="1" ref="AT33" ca="1">INDIRECT("'Basin Weights'!L"&amp;MATCH(AT$15,'Basin Weights'!$E:$E,0)+($N33-2022))*(1-INDIRECT("'Star Road Flow'!J"&amp;MATCH(AT$15,'Star Road Flow'!$E:$E,0)+($N33-2022)))</f>
        <v>0.45703363687113502</v>
      </c>
      <c r="AV33" cm="1">
        <f t="array" aca="1" ref="AV33" ca="1">INDIRECT("'Basin Weights'!L"&amp;MATCH(AV$15,'Basin Weights'!$E:$E,0)+($N33-2022))*INDIRECT("'Star Road Flow'!J"&amp;MATCH(AV$15,'Star Road Flow'!$E:$E,0)+($N33-2022))</f>
        <v>1.3218520256379243E-2</v>
      </c>
      <c r="AW33" cm="1">
        <f t="array" aca="1" ref="AW33" ca="1">INDIRECT("'Basin Weights'!L"&amp;MATCH(AW$15,'Basin Weights'!$E:$E,0)+($N33-2022))*INDIRECT("'Star Road Flow'!J"&amp;MATCH(AW$15,'Star Road Flow'!$E:$E,0)+($N33-2022))</f>
        <v>1.605039389872142E-2</v>
      </c>
      <c r="AX33" cm="1">
        <f t="array" aca="1" ref="AX33" ca="1">INDIRECT("'Basin Weights'!L"&amp;MATCH(AX$15,'Basin Weights'!$E:$E,0)+($N33-2022))*INDIRECT("'Star Road Flow'!J"&amp;MATCH(AX$15,'Star Road Flow'!$E:$E,0)+($N33-2022))</f>
        <v>1.6604881315101547E-2</v>
      </c>
      <c r="AY33" cm="1">
        <f t="array" aca="1" ref="AY33" ca="1">INDIRECT("'Basin Weights'!L"&amp;MATCH(AY$15,'Basin Weights'!$E:$E,0)+($N33-2022))*INDIRECT("'Star Road Flow'!J"&amp;MATCH(AY$15,'Star Road Flow'!$E:$E,0)+($N33-2022))</f>
        <v>1.8902040463940655E-2</v>
      </c>
      <c r="AZ33" cm="1">
        <f t="array" aca="1" ref="AZ33" ca="1">INDIRECT("'Basin Weights'!L"&amp;MATCH(AZ$15,'Basin Weights'!$E:$E,0)+($N33-2022))*INDIRECT("'Star Road Flow'!J"&amp;MATCH(AZ$15,'Star Road Flow'!$E:$E,0)+($N33-2022))</f>
        <v>1.8098144458656918E-2</v>
      </c>
      <c r="BA33" cm="1">
        <f t="array" aca="1" ref="BA33" ca="1">INDIRECT("'Basin Weights'!L"&amp;MATCH(BA$15,'Basin Weights'!$E:$E,0)+($N33-2022))*INDIRECT("'Star Road Flow'!J"&amp;MATCH(BA$15,'Star Road Flow'!$E:$E,0)+($N33-2022))</f>
        <v>2.0552819087643961E-2</v>
      </c>
      <c r="BB33" cm="1">
        <f t="array" aca="1" ref="BB33" ca="1">INDIRECT("'Basin Weights'!L"&amp;MATCH(BB$15,'Basin Weights'!$E:$E,0)+($N33-2022))*INDIRECT("'Star Road Flow'!J"&amp;MATCH(BB$15,'Star Road Flow'!$E:$E,0)+($N33-2022))</f>
        <v>3.750364045669962E-2</v>
      </c>
      <c r="BC33" cm="1">
        <f t="array" aca="1" ref="BC33" ca="1">INDIRECT("'Basin Weights'!L"&amp;MATCH(BC$15,'Basin Weights'!$E:$E,0)+($N33-2022))*INDIRECT("'Star Road Flow'!J"&amp;MATCH(BC$15,'Star Road Flow'!$E:$E,0)+($N33-2022))</f>
        <v>1.5831691958966328E-2</v>
      </c>
      <c r="BD33" cm="1">
        <f t="array" aca="1" ref="BD33" ca="1">INDIRECT("'Basin Weights'!L"&amp;MATCH(BD$15,'Basin Weights'!$E:$E,0)+($N33-2022))*INDIRECT("'Star Road Flow'!J"&amp;MATCH(BD$15,'Star Road Flow'!$E:$E,0)+($N33-2022))</f>
        <v>1.5831691958966328E-2</v>
      </c>
      <c r="BE33" cm="1">
        <f t="array" aca="1" ref="BE33" ca="1">INDIRECT("'Basin Weights'!L"&amp;MATCH(BE$15,'Basin Weights'!$E:$E,0)+($N33-2022))*INDIRECT("'Star Road Flow'!J"&amp;MATCH(BE$15,'Star Road Flow'!$E:$E,0)+($N33-2022))</f>
        <v>1.5402469727320976E-2</v>
      </c>
      <c r="BG33" cm="1">
        <f t="array" aca="1" ref="BG33" ca="1">INDIRECT("'Basin Weights'!M"&amp;MATCH(BG$15,'Basin Weights'!$E:$E,0)+($N33-2022))</f>
        <v>0.30877092</v>
      </c>
      <c r="BH33" cm="1">
        <f t="array" aca="1" ref="BH33" ca="1">INDIRECT("'Basin Weights'!M"&amp;MATCH(BH$15,'Basin Weights'!$E:$E,0)+($N33-2022))</f>
        <v>0.230661876365476</v>
      </c>
      <c r="BI33" cm="1">
        <f t="array" aca="1" ref="BI33" ca="1">INDIRECT("'Basin Weights'!M"&amp;MATCH(BI$15,'Basin Weights'!$E:$E,0)+($N33-2022))</f>
        <v>0.22078203386496401</v>
      </c>
      <c r="BJ33" cm="1">
        <f t="array" aca="1" ref="BJ33" ca="1">INDIRECT("'Basin Weights'!M"&amp;MATCH(BJ$15,'Basin Weights'!$E:$E,0)+($N33-2022))</f>
        <v>0.162298857061731</v>
      </c>
      <c r="BK33" cm="1">
        <f t="array" aca="1" ref="BK33" ca="1">INDIRECT("'Basin Weights'!M"&amp;MATCH(BK$15,'Basin Weights'!$E:$E,0)+($N33-2022))</f>
        <v>0.17762242558851199</v>
      </c>
      <c r="BL33" cm="1">
        <f t="array" aca="1" ref="BL33" ca="1">INDIRECT("'Basin Weights'!M"&amp;MATCH(BL$15,'Basin Weights'!$E:$E,0)+($N33-2022))</f>
        <v>0.12612465</v>
      </c>
      <c r="BM33" cm="1">
        <f t="array" aca="1" ref="BM33" ca="1">INDIRECT("'Basin Weights'!M"&amp;MATCH(BM$15,'Basin Weights'!$E:$E,0)+($N33-2022))</f>
        <v>1.23881814948068E-2</v>
      </c>
      <c r="BN33" cm="1">
        <f t="array" aca="1" ref="BN33" ca="1">INDIRECT("'Basin Weights'!M"&amp;MATCH(BN$15,'Basin Weights'!$E:$E,0)+($N33-2022))</f>
        <v>0.239148828993031</v>
      </c>
      <c r="BO33" cm="1">
        <f t="array" aca="1" ref="BO33" ca="1">INDIRECT("'Basin Weights'!M"&amp;MATCH(BO$15,'Basin Weights'!$E:$E,0)+($N33-2022))</f>
        <v>0.239148828989794</v>
      </c>
      <c r="BP33" cm="1">
        <f t="array" aca="1" ref="BP33" ca="1">INDIRECT("'Basin Weights'!M"&amp;MATCH(BP$15,'Basin Weights'!$E:$E,0)+($N33-2022))</f>
        <v>0.25340971641501597</v>
      </c>
      <c r="BR33" cm="1">
        <f t="array" aca="1" ref="BR33" ca="1">INDIRECT("'Basin Weights'!N"&amp;MATCH(BR$15,'Basin Weights'!$E:$E,0)+($N33-2022))</f>
        <v>0.17811138000000001</v>
      </c>
      <c r="BS33" cm="1">
        <f t="array" aca="1" ref="BS33" ca="1">INDIRECT("'Basin Weights'!N"&amp;MATCH(BS$15,'Basin Weights'!$E:$E,0)+($N33-2022))</f>
        <v>0.146292488503799</v>
      </c>
      <c r="BT33" cm="1">
        <f t="array" aca="1" ref="BT33" ca="1">INDIRECT("'Basin Weights'!N"&amp;MATCH(BT$15,'Basin Weights'!$E:$E,0)+($N33-2022))</f>
        <v>0.134648188563291</v>
      </c>
      <c r="BU33" cm="1">
        <f t="array" aca="1" ref="BU33" ca="1">INDIRECT("'Basin Weights'!N"&amp;MATCH(BU$15,'Basin Weights'!$E:$E,0)+($N33-2022))</f>
        <v>0.14492093214912599</v>
      </c>
      <c r="BV33" cm="1">
        <f t="array" aca="1" ref="BV33" ca="1">INDIRECT("'Basin Weights'!N"&amp;MATCH(BV$15,'Basin Weights'!$E:$E,0)+($N33-2022))</f>
        <v>0.119842173717692</v>
      </c>
      <c r="BW33" cm="1">
        <f t="array" aca="1" ref="BW33" ca="1">INDIRECT("'Basin Weights'!N"&amp;MATCH(BW$15,'Basin Weights'!$E:$E,0)+($N33-2022))</f>
        <v>8.7809129999999999E-2</v>
      </c>
      <c r="BX33" cm="1">
        <f t="array" aca="1" ref="BX33" ca="1">INDIRECT("'Basin Weights'!N"&amp;MATCH(BX$15,'Basin Weights'!$E:$E,0)+($N33-2022))</f>
        <v>0</v>
      </c>
      <c r="BY33" cm="1">
        <f t="array" aca="1" ref="BY33" ca="1">INDIRECT("'Basin Weights'!N"&amp;MATCH(BY$15,'Basin Weights'!$E:$E,0)+($N33-2022))</f>
        <v>0.14629512746002901</v>
      </c>
      <c r="BZ33" cm="1">
        <f t="array" aca="1" ref="BZ33" ca="1">INDIRECT("'Basin Weights'!N"&amp;MATCH(BZ$15,'Basin Weights'!$E:$E,0)+($N33-2022))</f>
        <v>0.14629512746326601</v>
      </c>
      <c r="CA33" cm="1">
        <f t="array" aca="1" ref="CA33" ca="1">INDIRECT("'Basin Weights'!N"&amp;MATCH(CA$15,'Basin Weights'!$E:$E,0)+($N33-2022))</f>
        <v>0.14869582726233199</v>
      </c>
      <c r="CC33" cm="1">
        <f t="array" aca="1" ref="CC33" ca="1">INDIRECT("'Basin Weights'!O"&amp;MATCH(CC$15,'Basin Weights'!$E:$E,0)+($N33-2022))</f>
        <v>0.10766934</v>
      </c>
      <c r="CD33" cm="1">
        <f t="array" aca="1" ref="CD33" ca="1">INDIRECT("'Basin Weights'!O"&amp;MATCH(CD$15,'Basin Weights'!$E:$E,0)+($N33-2022))</f>
        <v>0.130735912266399</v>
      </c>
      <c r="CE33" cm="1">
        <f t="array" aca="1" ref="CE33" ca="1">INDIRECT("'Basin Weights'!O"&amp;MATCH(CE$15,'Basin Weights'!$E:$E,0)+($N33-2022))</f>
        <v>0.13525240068893399</v>
      </c>
      <c r="CF33" cm="1">
        <f t="array" aca="1" ref="CF33" ca="1">INDIRECT("'Basin Weights'!O"&amp;MATCH(CF$15,'Basin Weights'!$E:$E,0)+($N33-2022))</f>
        <v>0.153963542535175</v>
      </c>
      <c r="CG33" cm="1">
        <f t="array" aca="1" ref="CG33" ca="1">INDIRECT("'Basin Weights'!O"&amp;MATCH(CG$15,'Basin Weights'!$E:$E,0)+($N33-2022))</f>
        <v>0.147415536407494</v>
      </c>
      <c r="CH33" cm="1">
        <f t="array" aca="1" ref="CH33" ca="1">INDIRECT("'Basin Weights'!O"&amp;MATCH(CH$15,'Basin Weights'!$E:$E,0)+($N33-2022))</f>
        <v>0.16740969</v>
      </c>
      <c r="CI33" cm="1">
        <f t="array" aca="1" ref="CI33" ca="1">INDIRECT("'Basin Weights'!O"&amp;MATCH(CI$15,'Basin Weights'!$E:$E,0)+($N33-2022))</f>
        <v>0.26486924200741602</v>
      </c>
      <c r="CJ33" cm="1">
        <f t="array" aca="1" ref="CJ33" ca="1">INDIRECT("'Basin Weights'!O"&amp;MATCH(CJ$15,'Basin Weights'!$E:$E,0)+($N33-2022))</f>
        <v>0.12895451065166499</v>
      </c>
      <c r="CK33" cm="1">
        <f t="array" aca="1" ref="CK33" ca="1">INDIRECT("'Basin Weights'!O"&amp;MATCH(CK$15,'Basin Weights'!$E:$E,0)+($N33-2022))</f>
        <v>0.12895451065166499</v>
      </c>
      <c r="CL33" cm="1">
        <f t="array" aca="1" ref="CL33" ca="1">INDIRECT("'Basin Weights'!O"&amp;MATCH(CL$15,'Basin Weights'!$E:$E,0)+($N33-2022))</f>
        <v>0.125458349724197</v>
      </c>
      <c r="CN33">
        <f t="shared" ca="1" si="5"/>
        <v>1.0000000099999999</v>
      </c>
      <c r="CO33">
        <f t="shared" ca="1" si="24"/>
        <v>1</v>
      </c>
      <c r="CP33">
        <f t="shared" ca="1" si="25"/>
        <v>1</v>
      </c>
      <c r="CQ33">
        <f t="shared" ca="1" si="26"/>
        <v>0.99999999999999889</v>
      </c>
      <c r="CR33">
        <f t="shared" ca="1" si="27"/>
        <v>1</v>
      </c>
      <c r="CS33">
        <f t="shared" ca="1" si="28"/>
        <v>1</v>
      </c>
      <c r="CT33">
        <f t="shared" ca="1" si="29"/>
        <v>0.99999999999999978</v>
      </c>
      <c r="CU33">
        <f t="shared" ca="1" si="30"/>
        <v>1</v>
      </c>
      <c r="CV33">
        <f t="shared" ca="1" si="31"/>
        <v>1</v>
      </c>
      <c r="CW33">
        <f t="shared" ca="1" si="32"/>
        <v>1.0000000000000009</v>
      </c>
    </row>
    <row r="34" spans="2:101" x14ac:dyDescent="0.25">
      <c r="B34">
        <v>2040</v>
      </c>
      <c r="C34" s="69">
        <f>'Gas Supply Commodity Costs'!I20/'Conventional Supply Quantities'!I20</f>
        <v>3.8718731395133839</v>
      </c>
      <c r="D34" s="69">
        <f>'Gas Supply Commodity Costs'!J20/'Conventional Supply Quantities'!J20</f>
        <v>3.8275618348355147</v>
      </c>
      <c r="E34" s="69">
        <f>'Gas Supply Commodity Costs'!K20/'Conventional Supply Quantities'!K20</f>
        <v>3.8179564249543643</v>
      </c>
      <c r="F34" s="69">
        <f>'Gas Supply Commodity Costs'!L20/'Conventional Supply Quantities'!L20</f>
        <v>3.7264081333961787</v>
      </c>
      <c r="G34" s="69">
        <f>'Gas Supply Commodity Costs'!M20/'Conventional Supply Quantities'!M20</f>
        <v>3.7775397580666987</v>
      </c>
      <c r="H34" s="69">
        <f>'Gas Supply Commodity Costs'!N20/'Conventional Supply Quantities'!N20</f>
        <v>3.7084027966831403</v>
      </c>
      <c r="I34" s="69">
        <f>'Gas Supply Commodity Costs'!O20/'Conventional Supply Quantities'!O20</f>
        <v>3.4827534669450309</v>
      </c>
      <c r="J34" s="69">
        <f>'Gas Supply Commodity Costs'!P20/'Conventional Supply Quantities'!P20</f>
        <v>3.8344060295390952</v>
      </c>
      <c r="K34" s="69">
        <f>'Gas Supply Commodity Costs'!Q20/'Conventional Supply Quantities'!Q20</f>
        <v>3.834406029533135</v>
      </c>
      <c r="L34" s="69">
        <f>'Gas Supply Commodity Costs'!R20/'Conventional Supply Quantities'!R20</f>
        <v>3.8450315365222765</v>
      </c>
      <c r="N34">
        <v>2040</v>
      </c>
      <c r="O34" s="69">
        <f t="shared" ca="1" si="3"/>
        <v>1.7608855388843478E-2</v>
      </c>
      <c r="P34" s="69">
        <f t="shared" ca="1" si="6"/>
        <v>1.9466917732863749E-2</v>
      </c>
      <c r="Q34" s="69">
        <f t="shared" ca="1" si="7"/>
        <v>1.9871271559168423E-2</v>
      </c>
      <c r="R34" s="69">
        <f t="shared" ca="1" si="8"/>
        <v>2.1052086962357434E-2</v>
      </c>
      <c r="S34" s="69">
        <f t="shared" ca="1" si="9"/>
        <v>2.0790047122852734E-2</v>
      </c>
      <c r="T34" s="69">
        <f t="shared" ca="1" si="10"/>
        <v>2.2431447577146456E-2</v>
      </c>
      <c r="U34" s="69">
        <f t="shared" ca="1" si="11"/>
        <v>2.7114258694881849E-2</v>
      </c>
      <c r="V34" s="69">
        <f t="shared" ca="1" si="12"/>
        <v>1.9329805897480699E-2</v>
      </c>
      <c r="W34" s="69">
        <f t="shared" ca="1" si="13"/>
        <v>1.9329805897544551E-2</v>
      </c>
      <c r="X34" s="69">
        <f t="shared" ca="1" si="14"/>
        <v>1.9045832112489666E-2</v>
      </c>
      <c r="Z34" s="71">
        <f t="shared" ca="1" si="4"/>
        <v>2.2227103924936795E-2</v>
      </c>
      <c r="AA34" s="71">
        <f t="shared" ca="1" si="15"/>
        <v>2.5349617229728619E-2</v>
      </c>
      <c r="AB34" s="71">
        <f t="shared" ca="1" si="16"/>
        <v>2.6029142434762481E-2</v>
      </c>
      <c r="AC34" s="71">
        <f t="shared" ca="1" si="17"/>
        <v>2.7277684966318584E-2</v>
      </c>
      <c r="AD34" s="71">
        <f t="shared" ca="1" si="18"/>
        <v>2.7573164310351724E-2</v>
      </c>
      <c r="AE34" s="71">
        <f t="shared" ca="1" si="19"/>
        <v>3.0047490610146114E-2</v>
      </c>
      <c r="AF34" s="71">
        <f t="shared" ca="1" si="20"/>
        <v>3.5167419610592894E-2</v>
      </c>
      <c r="AG34" s="71">
        <f t="shared" ca="1" si="21"/>
        <v>2.5119197874228262E-2</v>
      </c>
      <c r="AH34" s="71">
        <f t="shared" ca="1" si="22"/>
        <v>2.5119197874335586E-2</v>
      </c>
      <c r="AI34" s="71">
        <f t="shared" ca="1" si="23"/>
        <v>2.4641973888903955E-2</v>
      </c>
      <c r="AK34" cm="1">
        <f t="array" aca="1" ref="AK34" ca="1">INDIRECT("'Basin Weights'!L"&amp;MATCH(AK$15,'Basin Weights'!$E:$E,0)+($N34-2022))*(1-INDIRECT("'Star Road Flow'!J"&amp;MATCH(AK$15,'Star Road Flow'!$E:$E,0)+($N34-2022)))</f>
        <v>0.39007684065838522</v>
      </c>
      <c r="AL34" cm="1">
        <f t="array" aca="1" ref="AL34" ca="1">INDIRECT("'Basin Weights'!L"&amp;MATCH(AL$15,'Basin Weights'!$E:$E,0)+($N34-2022))*(1-INDIRECT("'Star Road Flow'!J"&amp;MATCH(AL$15,'Star Road Flow'!$E:$E,0)+($N34-2022)))</f>
        <v>0.4794590132981032</v>
      </c>
      <c r="AM34" cm="1">
        <f t="array" aca="1" ref="AM34" ca="1">INDIRECT("'Basin Weights'!L"&amp;MATCH(AM$15,'Basin Weights'!$E:$E,0)+($N34-2022))*(1-INDIRECT("'Star Road Flow'!J"&amp;MATCH(AM$15,'Star Road Flow'!$E:$E,0)+($N34-2022)))</f>
        <v>0.49891047179104514</v>
      </c>
      <c r="AN34" cm="1">
        <f t="array" aca="1" ref="AN34" ca="1">INDIRECT("'Basin Weights'!L"&amp;MATCH(AN$15,'Basin Weights'!$E:$E,0)+($N34-2022))*(1-INDIRECT("'Star Road Flow'!J"&amp;MATCH(AN$15,'Star Road Flow'!$E:$E,0)+($N34-2022)))</f>
        <v>0.52517863816796795</v>
      </c>
      <c r="AO34" cm="1">
        <f t="array" aca="1" ref="AO34" ca="1">INDIRECT("'Basin Weights'!L"&amp;MATCH(AO$15,'Basin Weights'!$E:$E,0)+($N34-2022))*(1-INDIRECT("'Star Road Flow'!J"&amp;MATCH(AO$15,'Star Road Flow'!$E:$E,0)+($N34-2022)))</f>
        <v>0.54310821045141056</v>
      </c>
      <c r="AP34" cm="1">
        <f t="array" aca="1" ref="AP34" ca="1">INDIRECT("'Basin Weights'!L"&amp;MATCH(AP$15,'Basin Weights'!$E:$E,0)+($N34-2022))*(1-INDIRECT("'Star Road Flow'!J"&amp;MATCH(AP$15,'Star Road Flow'!$E:$E,0)+($N34-2022)))</f>
        <v>0.6103344146951637</v>
      </c>
      <c r="AQ34" cm="1">
        <f t="array" aca="1" ref="AQ34" ca="1">INDIRECT("'Basin Weights'!L"&amp;MATCH(AQ$15,'Basin Weights'!$E:$E,0)+($N34-2022))*(1-INDIRECT("'Star Road Flow'!J"&amp;MATCH(AQ$15,'Star Road Flow'!$E:$E,0)+($N34-2022)))</f>
        <v>0.71307727114358732</v>
      </c>
      <c r="AR34" cm="1">
        <f t="array" aca="1" ref="AR34" ca="1">INDIRECT("'Basin Weights'!L"&amp;MATCH(AR$15,'Basin Weights'!$E:$E,0)+($N34-2022))*(1-INDIRECT("'Star Road Flow'!J"&amp;MATCH(AR$15,'Star Road Flow'!$E:$E,0)+($N34-2022)))</f>
        <v>0.47286324246240297</v>
      </c>
      <c r="AS34" cm="1">
        <f t="array" aca="1" ref="AS34" ca="1">INDIRECT("'Basin Weights'!L"&amp;MATCH(AS$15,'Basin Weights'!$E:$E,0)+($N34-2022))*(1-INDIRECT("'Star Road Flow'!J"&amp;MATCH(AS$15,'Star Road Flow'!$E:$E,0)+($N34-2022)))</f>
        <v>0.47286324246547551</v>
      </c>
      <c r="AT34" cm="1">
        <f t="array" aca="1" ref="AT34" ca="1">INDIRECT("'Basin Weights'!L"&amp;MATCH(AT$15,'Basin Weights'!$E:$E,0)+($N34-2022))*(1-INDIRECT("'Star Road Flow'!J"&amp;MATCH(AT$15,'Star Road Flow'!$E:$E,0)+($N34-2022)))</f>
        <v>0.45920267111993285</v>
      </c>
      <c r="AV34" cm="1">
        <f t="array" aca="1" ref="AV34" ca="1">INDIRECT("'Basin Weights'!L"&amp;MATCH(AV$15,'Basin Weights'!$E:$E,0)+($N34-2022))*INDIRECT("'Star Road Flow'!J"&amp;MATCH(AV$15,'Star Road Flow'!$E:$E,0)+($N34-2022))</f>
        <v>1.3142209341614836E-2</v>
      </c>
      <c r="AW34" cm="1">
        <f t="array" aca="1" ref="AW34" ca="1">INDIRECT("'Basin Weights'!L"&amp;MATCH(AW$15,'Basin Weights'!$E:$E,0)+($N34-2022))*INDIRECT("'Star Road Flow'!J"&amp;MATCH(AW$15,'Star Road Flow'!$E:$E,0)+($N34-2022))</f>
        <v>1.6153614023463846E-2</v>
      </c>
      <c r="AX34" cm="1">
        <f t="array" aca="1" ref="AX34" ca="1">INDIRECT("'Basin Weights'!L"&amp;MATCH(AX$15,'Basin Weights'!$E:$E,0)+($N34-2022))*INDIRECT("'Star Road Flow'!J"&amp;MATCH(AX$15,'Star Road Flow'!$E:$E,0)+($N34-2022))</f>
        <v>1.6808959619173922E-2</v>
      </c>
      <c r="AY34" cm="1">
        <f t="array" aca="1" ref="AY34" ca="1">INDIRECT("'Basin Weights'!L"&amp;MATCH(AY$15,'Basin Weights'!$E:$E,0)+($N34-2022))*INDIRECT("'Star Road Flow'!J"&amp;MATCH(AY$15,'Star Road Flow'!$E:$E,0)+($N34-2022))</f>
        <v>1.927961007328801E-2</v>
      </c>
      <c r="AZ34" cm="1">
        <f t="array" aca="1" ref="AZ34" ca="1">INDIRECT("'Basin Weights'!L"&amp;MATCH(AZ$15,'Basin Weights'!$E:$E,0)+($N34-2022))*INDIRECT("'Star Road Flow'!J"&amp;MATCH(AZ$15,'Star Road Flow'!$E:$E,0)+($N34-2022))</f>
        <v>1.8298040419049449E-2</v>
      </c>
      <c r="BA34" cm="1">
        <f t="array" aca="1" ref="BA34" ca="1">INDIRECT("'Basin Weights'!L"&amp;MATCH(BA$15,'Basin Weights'!$E:$E,0)+($N34-2022))*INDIRECT("'Star Road Flow'!J"&amp;MATCH(BA$15,'Star Road Flow'!$E:$E,0)+($N34-2022))</f>
        <v>2.1104055304836212E-2</v>
      </c>
      <c r="BB34" cm="1">
        <f t="array" aca="1" ref="BB34" ca="1">INDIRECT("'Basin Weights'!L"&amp;MATCH(BB$15,'Basin Weights'!$E:$E,0)+($N34-2022))*INDIRECT("'Star Road Flow'!J"&amp;MATCH(BB$15,'Star Road Flow'!$E:$E,0)+($N34-2022))</f>
        <v>4.1374025107758651E-2</v>
      </c>
      <c r="BC34" cm="1">
        <f t="array" aca="1" ref="BC34" ca="1">INDIRECT("'Basin Weights'!L"&amp;MATCH(BC$15,'Basin Weights'!$E:$E,0)+($N34-2022))*INDIRECT("'Star Road Flow'!J"&amp;MATCH(BC$15,'Star Road Flow'!$E:$E,0)+($N34-2022))</f>
        <v>1.5931393701576025E-2</v>
      </c>
      <c r="BD34" cm="1">
        <f t="array" aca="1" ref="BD34" ca="1">INDIRECT("'Basin Weights'!L"&amp;MATCH(BD$15,'Basin Weights'!$E:$E,0)+($N34-2022))*INDIRECT("'Star Road Flow'!J"&amp;MATCH(BD$15,'Star Road Flow'!$E:$E,0)+($N34-2022))</f>
        <v>1.5931393701679543E-2</v>
      </c>
      <c r="BE34" cm="1">
        <f t="array" aca="1" ref="BE34" ca="1">INDIRECT("'Basin Weights'!L"&amp;MATCH(BE$15,'Basin Weights'!$E:$E,0)+($N34-2022))*INDIRECT("'Star Road Flow'!J"&amp;MATCH(BE$15,'Star Road Flow'!$E:$E,0)+($N34-2022))</f>
        <v>1.5471150822235151E-2</v>
      </c>
      <c r="BG34" cm="1">
        <f t="array" aca="1" ref="BG34" ca="1">INDIRECT("'Basin Weights'!M"&amp;MATCH(BG$15,'Basin Weights'!$E:$E,0)+($N34-2022))</f>
        <v>0.26241189999999998</v>
      </c>
      <c r="BH34" cm="1">
        <f t="array" aca="1" ref="BH34" ca="1">INDIRECT("'Basin Weights'!M"&amp;MATCH(BH$15,'Basin Weights'!$E:$E,0)+($N34-2022))</f>
        <v>0.170118070103256</v>
      </c>
      <c r="BI34" cm="1">
        <f t="array" aca="1" ref="BI34" ca="1">INDIRECT("'Basin Weights'!M"&amp;MATCH(BI$15,'Basin Weights'!$E:$E,0)+($N34-2022))</f>
        <v>0.163584769164659</v>
      </c>
      <c r="BJ34" cm="1">
        <f t="array" aca="1" ref="BJ34" ca="1">INDIRECT("'Basin Weights'!M"&amp;MATCH(BJ$15,'Basin Weights'!$E:$E,0)+($N34-2022))</f>
        <v>0.113774408543434</v>
      </c>
      <c r="BK34" cm="1">
        <f t="array" aca="1" ref="BK34" ca="1">INDIRECT("'Basin Weights'!M"&amp;MATCH(BK$15,'Basin Weights'!$E:$E,0)+($N34-2022))</f>
        <v>0.116844910185894</v>
      </c>
      <c r="BL34" cm="1">
        <f t="array" aca="1" ref="BL34" ca="1">INDIRECT("'Basin Weights'!M"&amp;MATCH(BL$15,'Basin Weights'!$E:$E,0)+($N34-2022))</f>
        <v>3.9824020000000002E-2</v>
      </c>
      <c r="BM34" cm="1">
        <f t="array" aca="1" ref="BM34" ca="1">INDIRECT("'Basin Weights'!M"&amp;MATCH(BM$15,'Basin Weights'!$E:$E,0)+($N34-2022))</f>
        <v>0</v>
      </c>
      <c r="BN34" cm="1">
        <f t="array" aca="1" ref="BN34" ca="1">INDIRECT("'Basin Weights'!M"&amp;MATCH(BN$15,'Basin Weights'!$E:$E,0)+($N34-2022))</f>
        <v>0.17441701825359601</v>
      </c>
      <c r="BO34" cm="1">
        <f t="array" aca="1" ref="BO34" ca="1">INDIRECT("'Basin Weights'!M"&amp;MATCH(BO$15,'Basin Weights'!$E:$E,0)+($N34-2022))</f>
        <v>0.17441701825148001</v>
      </c>
      <c r="BP34" cm="1">
        <f t="array" aca="1" ref="BP34" ca="1">INDIRECT("'Basin Weights'!M"&amp;MATCH(BP$15,'Basin Weights'!$E:$E,0)+($N34-2022))</f>
        <v>0.18376397761177199</v>
      </c>
      <c r="BR34" cm="1">
        <f t="array" aca="1" ref="BR34" ca="1">INDIRECT("'Basin Weights'!N"&amp;MATCH(BR$15,'Basin Weights'!$E:$E,0)+($N34-2022))</f>
        <v>0.2273213</v>
      </c>
      <c r="BS34" cm="1">
        <f t="array" aca="1" ref="BS34" ca="1">INDIRECT("'Basin Weights'!N"&amp;MATCH(BS$15,'Basin Weights'!$E:$E,0)+($N34-2022))</f>
        <v>0.20269262731829199</v>
      </c>
      <c r="BT34" cm="1">
        <f t="array" aca="1" ref="BT34" ca="1">INDIRECT("'Basin Weights'!N"&amp;MATCH(BT$15,'Basin Weights'!$E:$E,0)+($N34-2022))</f>
        <v>0.183781111603215</v>
      </c>
      <c r="BU34" cm="1">
        <f t="array" aca="1" ref="BU34" ca="1">INDIRECT("'Basin Weights'!N"&amp;MATCH(BU$15,'Basin Weights'!$E:$E,0)+($N34-2022))</f>
        <v>0.18618363993509901</v>
      </c>
      <c r="BV34" cm="1">
        <f t="array" aca="1" ref="BV34" ca="1">INDIRECT("'Basin Weights'!N"&amp;MATCH(BV$15,'Basin Weights'!$E:$E,0)+($N34-2022))</f>
        <v>0.17270508201362</v>
      </c>
      <c r="BW34" cm="1">
        <f t="array" aca="1" ref="BW34" ca="1">INDIRECT("'Basin Weights'!N"&amp;MATCH(BW$15,'Basin Weights'!$E:$E,0)+($N34-2022))</f>
        <v>0.15683780999999999</v>
      </c>
      <c r="BX34" cm="1">
        <f t="array" aca="1" ref="BX34" ca="1">INDIRECT("'Basin Weights'!N"&amp;MATCH(BX$15,'Basin Weights'!$E:$E,0)+($N34-2022))</f>
        <v>0</v>
      </c>
      <c r="BY34" cm="1">
        <f t="array" aca="1" ref="BY34" ca="1">INDIRECT("'Basin Weights'!N"&amp;MATCH(BY$15,'Basin Weights'!$E:$E,0)+($N34-2022))</f>
        <v>0.20702173035830199</v>
      </c>
      <c r="BZ34" cm="1">
        <f t="array" aca="1" ref="BZ34" ca="1">INDIRECT("'Basin Weights'!N"&amp;MATCH(BZ$15,'Basin Weights'!$E:$E,0)+($N34-2022))</f>
        <v>0.20702173035639801</v>
      </c>
      <c r="CA34" cm="1">
        <f t="array" aca="1" ref="CA34" ca="1">INDIRECT("'Basin Weights'!N"&amp;MATCH(CA$15,'Basin Weights'!$E:$E,0)+($N34-2022))</f>
        <v>0.215544419865773</v>
      </c>
      <c r="CC34" cm="1">
        <f t="array" aca="1" ref="CC34" ca="1">INDIRECT("'Basin Weights'!O"&amp;MATCH(CC$15,'Basin Weights'!$E:$E,0)+($N34-2022))</f>
        <v>0.10704776000000001</v>
      </c>
      <c r="CD34" cm="1">
        <f t="array" aca="1" ref="CD34" ca="1">INDIRECT("'Basin Weights'!O"&amp;MATCH(CD$15,'Basin Weights'!$E:$E,0)+($N34-2022))</f>
        <v>0.13157667525688499</v>
      </c>
      <c r="CE34" cm="1">
        <f t="array" aca="1" ref="CE34" ca="1">INDIRECT("'Basin Weights'!O"&amp;MATCH(CE$15,'Basin Weights'!$E:$E,0)+($N34-2022))</f>
        <v>0.13691468782190699</v>
      </c>
      <c r="CF34" cm="1">
        <f t="array" aca="1" ref="CF34" ca="1">INDIRECT("'Basin Weights'!O"&amp;MATCH(CF$15,'Basin Weights'!$E:$E,0)+($N34-2022))</f>
        <v>0.15558370328021101</v>
      </c>
      <c r="CG34" cm="1">
        <f t="array" aca="1" ref="CG34" ca="1">INDIRECT("'Basin Weights'!O"&amp;MATCH(CG$15,'Basin Weights'!$E:$E,0)+($N34-2022))</f>
        <v>0.149043756930027</v>
      </c>
      <c r="CH34" cm="1">
        <f t="array" aca="1" ref="CH34" ca="1">INDIRECT("'Basin Weights'!O"&amp;MATCH(CH$15,'Basin Weights'!$E:$E,0)+($N34-2022))</f>
        <v>0.17189969999999999</v>
      </c>
      <c r="CI34" cm="1">
        <f t="array" aca="1" ref="CI34" ca="1">INDIRECT("'Basin Weights'!O"&amp;MATCH(CI$15,'Basin Weights'!$E:$E,0)+($N34-2022))</f>
        <v>0.24554870374865501</v>
      </c>
      <c r="CJ34" cm="1">
        <f t="array" aca="1" ref="CJ34" ca="1">INDIRECT("'Basin Weights'!O"&amp;MATCH(CJ$15,'Basin Weights'!$E:$E,0)+($N34-2022))</f>
        <v>0.129766615224124</v>
      </c>
      <c r="CK34" cm="1">
        <f t="array" aca="1" ref="CK34" ca="1">INDIRECT("'Basin Weights'!O"&amp;MATCH(CK$15,'Basin Weights'!$E:$E,0)+($N34-2022))</f>
        <v>0.12976661522496699</v>
      </c>
      <c r="CL34" cm="1">
        <f t="array" aca="1" ref="CL34" ca="1">INDIRECT("'Basin Weights'!O"&amp;MATCH(CL$15,'Basin Weights'!$E:$E,0)+($N34-2022))</f>
        <v>0.12601778058028701</v>
      </c>
      <c r="CN34">
        <f t="shared" ca="1" si="5"/>
        <v>1.0000000099999999</v>
      </c>
      <c r="CO34">
        <f t="shared" ca="1" si="24"/>
        <v>1</v>
      </c>
      <c r="CP34">
        <f t="shared" ca="1" si="25"/>
        <v>1</v>
      </c>
      <c r="CQ34">
        <f t="shared" ca="1" si="26"/>
        <v>1</v>
      </c>
      <c r="CR34">
        <f t="shared" ca="1" si="27"/>
        <v>1.0000000000000009</v>
      </c>
      <c r="CS34">
        <f t="shared" ca="1" si="28"/>
        <v>0.99999999999999989</v>
      </c>
      <c r="CT34">
        <f t="shared" ca="1" si="29"/>
        <v>1.0000000000000009</v>
      </c>
      <c r="CU34">
        <f t="shared" ca="1" si="30"/>
        <v>1.0000000000000009</v>
      </c>
      <c r="CV34">
        <f t="shared" ca="1" si="31"/>
        <v>1</v>
      </c>
      <c r="CW34">
        <f t="shared" ca="1" si="32"/>
        <v>1</v>
      </c>
    </row>
    <row r="35" spans="2:101" x14ac:dyDescent="0.25">
      <c r="B35">
        <v>2041</v>
      </c>
      <c r="C35" s="69">
        <f>'Gas Supply Commodity Costs'!I21/'Conventional Supply Quantities'!I21</f>
        <v>3.9579829544424321</v>
      </c>
      <c r="D35" s="69">
        <f>'Gas Supply Commodity Costs'!J21/'Conventional Supply Quantities'!J21</f>
        <v>3.9131761222731516</v>
      </c>
      <c r="E35" s="69">
        <f>'Gas Supply Commodity Costs'!K21/'Conventional Supply Quantities'!K21</f>
        <v>3.8996026058038482</v>
      </c>
      <c r="F35" s="69">
        <f>'Gas Supply Commodity Costs'!L21/'Conventional Supply Quantities'!L21</f>
        <v>3.8085085900076461</v>
      </c>
      <c r="G35" s="69">
        <f>'Gas Supply Commodity Costs'!M21/'Conventional Supply Quantities'!M21</f>
        <v>3.8625726836038847</v>
      </c>
      <c r="H35" s="69">
        <f>'Gas Supply Commodity Costs'!N21/'Conventional Supply Quantities'!N21</f>
        <v>3.7888257197297053</v>
      </c>
      <c r="I35" s="69">
        <f>'Gas Supply Commodity Costs'!O21/'Conventional Supply Quantities'!O21</f>
        <v>3.5558142542240661</v>
      </c>
      <c r="J35" s="69">
        <f>'Gas Supply Commodity Costs'!P21/'Conventional Supply Quantities'!P21</f>
        <v>3.9203395627014963</v>
      </c>
      <c r="K35" s="69">
        <f>'Gas Supply Commodity Costs'!Q21/'Conventional Supply Quantities'!Q21</f>
        <v>3.9203395626951676</v>
      </c>
      <c r="L35" s="69">
        <f>'Gas Supply Commodity Costs'!R21/'Conventional Supply Quantities'!R21</f>
        <v>3.9317320360107177</v>
      </c>
      <c r="N35">
        <v>2041</v>
      </c>
      <c r="O35" s="69">
        <f t="shared" ca="1" si="3"/>
        <v>1.7614485963699581E-2</v>
      </c>
      <c r="P35" s="69">
        <f t="shared" ca="1" si="6"/>
        <v>1.9580976247736165E-2</v>
      </c>
      <c r="Q35" s="69">
        <f t="shared" ca="1" si="7"/>
        <v>2.0076950022895512E-2</v>
      </c>
      <c r="R35" s="69">
        <f t="shared" ca="1" si="8"/>
        <v>2.1245243781337089E-2</v>
      </c>
      <c r="S35" s="69">
        <f t="shared" ca="1" si="9"/>
        <v>2.097653810880996E-2</v>
      </c>
      <c r="T35" s="69">
        <f t="shared" ca="1" si="10"/>
        <v>2.2818155058922044E-2</v>
      </c>
      <c r="U35" s="69">
        <f t="shared" ca="1" si="11"/>
        <v>2.83270478069018E-2</v>
      </c>
      <c r="V35" s="69">
        <f t="shared" ca="1" si="12"/>
        <v>1.9443822129301819E-2</v>
      </c>
      <c r="W35" s="69">
        <f t="shared" ca="1" si="13"/>
        <v>1.9443822129236225E-2</v>
      </c>
      <c r="X35" s="69">
        <f t="shared" ca="1" si="14"/>
        <v>1.9139845140243174E-2</v>
      </c>
      <c r="Z35" s="71">
        <f t="shared" ca="1" si="4"/>
        <v>2.2234595237576486E-2</v>
      </c>
      <c r="AA35" s="71">
        <f t="shared" ca="1" si="15"/>
        <v>2.5538846181054578E-2</v>
      </c>
      <c r="AB35" s="71">
        <f t="shared" ca="1" si="16"/>
        <v>2.6372220179842424E-2</v>
      </c>
      <c r="AC35" s="71">
        <f t="shared" ca="1" si="17"/>
        <v>2.7683673427260323E-2</v>
      </c>
      <c r="AD35" s="71">
        <f t="shared" ca="1" si="18"/>
        <v>2.7883778568548734E-2</v>
      </c>
      <c r="AE35" s="71">
        <f t="shared" ca="1" si="19"/>
        <v>3.0487105828169093E-2</v>
      </c>
      <c r="AF35" s="71">
        <f t="shared" ca="1" si="20"/>
        <v>3.5147372000149987E-2</v>
      </c>
      <c r="AG35" s="71">
        <f t="shared" ca="1" si="21"/>
        <v>2.5308389084622167E-2</v>
      </c>
      <c r="AH35" s="71">
        <f t="shared" ca="1" si="22"/>
        <v>2.5308389084512002E-2</v>
      </c>
      <c r="AI35" s="71">
        <f t="shared" ca="1" si="23"/>
        <v>2.4797623129648283E-2</v>
      </c>
      <c r="AK35" cm="1">
        <f t="array" aca="1" ref="AK35" ca="1">INDIRECT("'Basin Weights'!L"&amp;MATCH(AK$15,'Basin Weights'!$E:$E,0)+($N35-2022))*(1-INDIRECT("'Star Road Flow'!J"&amp;MATCH(AK$15,'Star Road Flow'!$E:$E,0)+($N35-2022)))</f>
        <v>0.3902662934641366</v>
      </c>
      <c r="AL35" cm="1">
        <f t="array" aca="1" ref="AL35" ca="1">INDIRECT("'Basin Weights'!L"&amp;MATCH(AL$15,'Basin Weights'!$E:$E,0)+($N35-2022))*(1-INDIRECT("'Star Road Flow'!J"&amp;MATCH(AL$15,'Star Road Flow'!$E:$E,0)+($N35-2022)))</f>
        <v>0.48484466004378934</v>
      </c>
      <c r="AM35" cm="1">
        <f t="array" aca="1" ref="AM35" ca="1">INDIRECT("'Basin Weights'!L"&amp;MATCH(AM$15,'Basin Weights'!$E:$E,0)+($N35-2022))*(1-INDIRECT("'Star Road Flow'!J"&amp;MATCH(AM$15,'Star Road Flow'!$E:$E,0)+($N35-2022)))</f>
        <v>0.50869852404448779</v>
      </c>
      <c r="AN35" cm="1">
        <f t="array" aca="1" ref="AN35" ca="1">INDIRECT("'Basin Weights'!L"&amp;MATCH(AN$15,'Basin Weights'!$E:$E,0)+($N35-2022))*(1-INDIRECT("'Star Road Flow'!J"&amp;MATCH(AN$15,'Star Road Flow'!$E:$E,0)+($N35-2022)))</f>
        <v>0.53771224642287863</v>
      </c>
      <c r="AO35" cm="1">
        <f t="array" aca="1" ref="AO35" ca="1">INDIRECT("'Basin Weights'!L"&amp;MATCH(AO$15,'Basin Weights'!$E:$E,0)+($N35-2022))*(1-INDIRECT("'Star Road Flow'!J"&amp;MATCH(AO$15,'Star Road Flow'!$E:$E,0)+($N35-2022)))</f>
        <v>0.55196422262130995</v>
      </c>
      <c r="AP35" cm="1">
        <f t="array" aca="1" ref="AP35" ca="1">INDIRECT("'Basin Weights'!L"&amp;MATCH(AP$15,'Basin Weights'!$E:$E,0)+($N35-2022))*(1-INDIRECT("'Star Road Flow'!J"&amp;MATCH(AP$15,'Star Road Flow'!$E:$E,0)+($N35-2022)))</f>
        <v>0.62025284032930184</v>
      </c>
      <c r="AQ35" cm="1">
        <f t="array" aca="1" ref="AQ35" ca="1">INDIRECT("'Basin Weights'!L"&amp;MATCH(AQ$15,'Basin Weights'!$E:$E,0)+($N35-2022))*(1-INDIRECT("'Star Road Flow'!J"&amp;MATCH(AQ$15,'Star Road Flow'!$E:$E,0)+($N35-2022)))</f>
        <v>0.68967452485274183</v>
      </c>
      <c r="AR35" cm="1">
        <f t="array" aca="1" ref="AR35" ca="1">INDIRECT("'Basin Weights'!L"&amp;MATCH(AR$15,'Basin Weights'!$E:$E,0)+($N35-2022))*(1-INDIRECT("'Star Road Flow'!J"&amp;MATCH(AR$15,'Star Road Flow'!$E:$E,0)+($N35-2022)))</f>
        <v>0.47824823125636601</v>
      </c>
      <c r="AS35" cm="1">
        <f t="array" aca="1" ref="AS35" ca="1">INDIRECT("'Basin Weights'!L"&amp;MATCH(AS$15,'Basin Weights'!$E:$E,0)+($N35-2022))*(1-INDIRECT("'Star Road Flow'!J"&amp;MATCH(AS$15,'Star Road Flow'!$E:$E,0)+($N35-2022)))</f>
        <v>0.47824823125321325</v>
      </c>
      <c r="AT35" cm="1">
        <f t="array" aca="1" ref="AT35" ca="1">INDIRECT("'Basin Weights'!L"&amp;MATCH(AT$15,'Basin Weights'!$E:$E,0)+($N35-2022))*(1-INDIRECT("'Star Road Flow'!J"&amp;MATCH(AT$15,'Star Road Flow'!$E:$E,0)+($N35-2022)))</f>
        <v>0.46362845472883446</v>
      </c>
      <c r="AV35" cm="1">
        <f t="array" aca="1" ref="AV35" ca="1">INDIRECT("'Basin Weights'!L"&amp;MATCH(AV$15,'Basin Weights'!$E:$E,0)+($N35-2022))*INDIRECT("'Star Road Flow'!J"&amp;MATCH(AV$15,'Star Road Flow'!$E:$E,0)+($N35-2022))</f>
        <v>1.315234653586341E-2</v>
      </c>
      <c r="AW35" cm="1">
        <f t="array" aca="1" ref="AW35" ca="1">INDIRECT("'Basin Weights'!L"&amp;MATCH(AW$15,'Basin Weights'!$E:$E,0)+($N35-2022))*INDIRECT("'Star Road Flow'!J"&amp;MATCH(AW$15,'Star Road Flow'!$E:$E,0)+($N35-2022))</f>
        <v>1.6339727749367636E-2</v>
      </c>
      <c r="AX35" cm="1">
        <f t="array" aca="1" ref="AX35" ca="1">INDIRECT("'Basin Weights'!L"&amp;MATCH(AX$15,'Basin Weights'!$E:$E,0)+($N35-2022))*INDIRECT("'Star Road Flow'!J"&amp;MATCH(AX$15,'Star Road Flow'!$E:$E,0)+($N35-2022))</f>
        <v>1.7143625730850303E-2</v>
      </c>
      <c r="AY35" cm="1">
        <f t="array" aca="1" ref="AY35" ca="1">INDIRECT("'Basin Weights'!L"&amp;MATCH(AY$15,'Basin Weights'!$E:$E,0)+($N35-2022))*INDIRECT("'Star Road Flow'!J"&amp;MATCH(AY$15,'Star Road Flow'!$E:$E,0)+($N35-2022))</f>
        <v>1.970143525367643E-2</v>
      </c>
      <c r="AZ35" cm="1">
        <f t="array" aca="1" ref="AZ35" ca="1">INDIRECT("'Basin Weights'!L"&amp;MATCH(AZ$15,'Basin Weights'!$E:$E,0)+($N35-2022))*INDIRECT("'Star Road Flow'!J"&amp;MATCH(AZ$15,'Star Road Flow'!$E:$E,0)+($N35-2022))</f>
        <v>1.8601721063008086E-2</v>
      </c>
      <c r="BA35" cm="1">
        <f t="array" aca="1" ref="BA35" ca="1">INDIRECT("'Basin Weights'!L"&amp;MATCH(BA$15,'Basin Weights'!$E:$E,0)+($N35-2022))*INDIRECT("'Star Road Flow'!J"&amp;MATCH(BA$15,'Star Road Flow'!$E:$E,0)+($N35-2022))</f>
        <v>2.1838679670698118E-2</v>
      </c>
      <c r="BB35" cm="1">
        <f t="array" aca="1" ref="BB35" ca="1">INDIRECT("'Basin Weights'!L"&amp;MATCH(BB$15,'Basin Weights'!$E:$E,0)+($N35-2022))*INDIRECT("'Star Road Flow'!J"&amp;MATCH(BB$15,'Star Road Flow'!$E:$E,0)+($N35-2022))</f>
        <v>4.0287943781087104E-2</v>
      </c>
      <c r="BC35" cm="1">
        <f t="array" aca="1" ref="BC35" ca="1">INDIRECT("'Basin Weights'!L"&amp;MATCH(BC$15,'Basin Weights'!$E:$E,0)+($N35-2022))*INDIRECT("'Star Road Flow'!J"&amp;MATCH(BC$15,'Star Road Flow'!$E:$E,0)+($N35-2022))</f>
        <v>1.6117421804005973E-2</v>
      </c>
      <c r="BD35" cm="1">
        <f t="array" aca="1" ref="BD35" ca="1">INDIRECT("'Basin Weights'!L"&amp;MATCH(BD$15,'Basin Weights'!$E:$E,0)+($N35-2022))*INDIRECT("'Star Road Flow'!J"&amp;MATCH(BD$15,'Star Road Flow'!$E:$E,0)+($N35-2022))</f>
        <v>1.6117421803899721E-2</v>
      </c>
      <c r="BE35" cm="1">
        <f t="array" aca="1" ref="BE35" ca="1">INDIRECT("'Basin Weights'!L"&amp;MATCH(BE$15,'Basin Weights'!$E:$E,0)+($N35-2022))*INDIRECT("'Star Road Flow'!J"&amp;MATCH(BE$15,'Star Road Flow'!$E:$E,0)+($N35-2022))</f>
        <v>1.5624721382813572E-2</v>
      </c>
      <c r="BG35" cm="1">
        <f t="array" aca="1" ref="BG35" ca="1">INDIRECT("'Basin Weights'!M"&amp;MATCH(BG$15,'Basin Weights'!$E:$E,0)+($N35-2022))</f>
        <v>0.28884175000000001</v>
      </c>
      <c r="BH35" cm="1">
        <f t="array" aca="1" ref="BH35" ca="1">INDIRECT("'Basin Weights'!M"&amp;MATCH(BH$15,'Basin Weights'!$E:$E,0)+($N35-2022))</f>
        <v>0.202704113321938</v>
      </c>
      <c r="BI35" cm="1">
        <f t="array" aca="1" ref="BI35" ca="1">INDIRECT("'Basin Weights'!M"&amp;MATCH(BI$15,'Basin Weights'!$E:$E,0)+($N35-2022))</f>
        <v>0.183990086944853</v>
      </c>
      <c r="BJ35" cm="1">
        <f t="array" aca="1" ref="BJ35" ca="1">INDIRECT("'Basin Weights'!M"&amp;MATCH(BJ$15,'Basin Weights'!$E:$E,0)+($N35-2022))</f>
        <v>0.14942806047979601</v>
      </c>
      <c r="BK35" cm="1">
        <f t="array" aca="1" ref="BK35" ca="1">INDIRECT("'Basin Weights'!M"&amp;MATCH(BK$15,'Basin Weights'!$E:$E,0)+($N35-2022))</f>
        <v>0.145059424961899</v>
      </c>
      <c r="BL35" cm="1">
        <f t="array" aca="1" ref="BL35" ca="1">INDIRECT("'Basin Weights'!M"&amp;MATCH(BL$15,'Basin Weights'!$E:$E,0)+($N35-2022))</f>
        <v>6.6188330000000004E-2</v>
      </c>
      <c r="BM35" cm="1">
        <f t="array" aca="1" ref="BM35" ca="1">INDIRECT("'Basin Weights'!M"&amp;MATCH(BM$15,'Basin Weights'!$E:$E,0)+($N35-2022))</f>
        <v>0</v>
      </c>
      <c r="BN35" cm="1">
        <f t="array" aca="1" ref="BN35" ca="1">INDIRECT("'Basin Weights'!M"&amp;MATCH(BN$15,'Basin Weights'!$E:$E,0)+($N35-2022))</f>
        <v>0.206596828240666</v>
      </c>
      <c r="BO35" cm="1">
        <f t="array" aca="1" ref="BO35" ca="1">INDIRECT("'Basin Weights'!M"&amp;MATCH(BO$15,'Basin Weights'!$E:$E,0)+($N35-2022))</f>
        <v>0.20659682824919101</v>
      </c>
      <c r="BP35" cm="1">
        <f t="array" aca="1" ref="BP35" ca="1">INDIRECT("'Basin Weights'!M"&amp;MATCH(BP$15,'Basin Weights'!$E:$E,0)+($N35-2022))</f>
        <v>0.21963902039848501</v>
      </c>
      <c r="BR35" cm="1">
        <f t="array" aca="1" ref="BR35" ca="1">INDIRECT("'Basin Weights'!N"&amp;MATCH(BR$15,'Basin Weights'!$E:$E,0)+($N35-2022))</f>
        <v>0.20060928</v>
      </c>
      <c r="BS35" cm="1">
        <f t="array" aca="1" ref="BS35" ca="1">INDIRECT("'Basin Weights'!N"&amp;MATCH(BS$15,'Basin Weights'!$E:$E,0)+($N35-2022))</f>
        <v>0.163018864088675</v>
      </c>
      <c r="BT35" cm="1">
        <f t="array" aca="1" ref="BT35" ca="1">INDIRECT("'Basin Weights'!N"&amp;MATCH(BT$15,'Basin Weights'!$E:$E,0)+($N35-2022))</f>
        <v>0.15052710625799201</v>
      </c>
      <c r="BU35" cm="1">
        <f t="array" aca="1" ref="BU35" ca="1">INDIRECT("'Basin Weights'!N"&amp;MATCH(BU$15,'Basin Weights'!$E:$E,0)+($N35-2022))</f>
        <v>0.135360236340764</v>
      </c>
      <c r="BV35" cm="1">
        <f t="array" aca="1" ref="BV35" ca="1">INDIRECT("'Basin Weights'!N"&amp;MATCH(BV$15,'Basin Weights'!$E:$E,0)+($N35-2022))</f>
        <v>0.13285729238734301</v>
      </c>
      <c r="BW35" cm="1">
        <f t="array" aca="1" ref="BW35" ca="1">INDIRECT("'Basin Weights'!N"&amp;MATCH(BW$15,'Basin Weights'!$E:$E,0)+($N35-2022))</f>
        <v>0.11383668</v>
      </c>
      <c r="BX35" cm="1">
        <f t="array" aca="1" ref="BX35" ca="1">INDIRECT("'Basin Weights'!N"&amp;MATCH(BX$15,'Basin Weights'!$E:$E,0)+($N35-2022))</f>
        <v>0</v>
      </c>
      <c r="BY35" cm="1">
        <f t="array" aca="1" ref="BY35" ca="1">INDIRECT("'Basin Weights'!N"&amp;MATCH(BY$15,'Basin Weights'!$E:$E,0)+($N35-2022))</f>
        <v>0.16775564136778101</v>
      </c>
      <c r="BZ35" cm="1">
        <f t="array" aca="1" ref="BZ35" ca="1">INDIRECT("'Basin Weights'!N"&amp;MATCH(BZ$15,'Basin Weights'!$E:$E,0)+($N35-2022))</f>
        <v>0.16775564136338</v>
      </c>
      <c r="CA35" cm="1">
        <f t="array" aca="1" ref="CA35" ca="1">INDIRECT("'Basin Weights'!N"&amp;MATCH(CA$15,'Basin Weights'!$E:$E,0)+($N35-2022))</f>
        <v>0.173839138510052</v>
      </c>
      <c r="CC35" cm="1">
        <f t="array" aca="1" ref="CC35" ca="1">INDIRECT("'Basin Weights'!O"&amp;MATCH(CC$15,'Basin Weights'!$E:$E,0)+($N35-2022))</f>
        <v>0.10713033</v>
      </c>
      <c r="CD35" cm="1">
        <f t="array" aca="1" ref="CD35" ca="1">INDIRECT("'Basin Weights'!O"&amp;MATCH(CD$15,'Basin Weights'!$E:$E,0)+($N35-2022))</f>
        <v>0.13309263479623101</v>
      </c>
      <c r="CE35" cm="1">
        <f t="array" aca="1" ref="CE35" ca="1">INDIRECT("'Basin Weights'!O"&amp;MATCH(CE$15,'Basin Weights'!$E:$E,0)+($N35-2022))</f>
        <v>0.13964065702181799</v>
      </c>
      <c r="CF35" cm="1">
        <f t="array" aca="1" ref="CF35" ca="1">INDIRECT("'Basin Weights'!O"&amp;MATCH(CF$15,'Basin Weights'!$E:$E,0)+($N35-2022))</f>
        <v>0.15779802150288499</v>
      </c>
      <c r="CG35" cm="1">
        <f t="array" aca="1" ref="CG35" ca="1">INDIRECT("'Basin Weights'!O"&amp;MATCH(CG$15,'Basin Weights'!$E:$E,0)+($N35-2022))</f>
        <v>0.15151733896644001</v>
      </c>
      <c r="CH35" cm="1">
        <f t="array" aca="1" ref="CH35" ca="1">INDIRECT("'Basin Weights'!O"&amp;MATCH(CH$15,'Basin Weights'!$E:$E,0)+($N35-2022))</f>
        <v>0.17788346999999999</v>
      </c>
      <c r="CI35" cm="1">
        <f t="array" aca="1" ref="CI35" ca="1">INDIRECT("'Basin Weights'!O"&amp;MATCH(CI$15,'Basin Weights'!$E:$E,0)+($N35-2022))</f>
        <v>0.27003753136617098</v>
      </c>
      <c r="CJ35" cm="1">
        <f t="array" aca="1" ref="CJ35" ca="1">INDIRECT("'Basin Weights'!O"&amp;MATCH(CJ$15,'Basin Weights'!$E:$E,0)+($N35-2022))</f>
        <v>0.13128187733118099</v>
      </c>
      <c r="CK35" cm="1">
        <f t="array" aca="1" ref="CK35" ca="1">INDIRECT("'Basin Weights'!O"&amp;MATCH(CK$15,'Basin Weights'!$E:$E,0)+($N35-2022))</f>
        <v>0.13128187733031499</v>
      </c>
      <c r="CL35" cm="1">
        <f t="array" aca="1" ref="CL35" ca="1">INDIRECT("'Basin Weights'!O"&amp;MATCH(CL$15,'Basin Weights'!$E:$E,0)+($N35-2022))</f>
        <v>0.12726866497981501</v>
      </c>
      <c r="CN35">
        <f t="shared" ca="1" si="5"/>
        <v>1</v>
      </c>
      <c r="CO35">
        <f t="shared" ca="1" si="24"/>
        <v>1.0000000000000009</v>
      </c>
      <c r="CP35">
        <f t="shared" ca="1" si="25"/>
        <v>1.0000000000000011</v>
      </c>
      <c r="CQ35">
        <f t="shared" ca="1" si="26"/>
        <v>1</v>
      </c>
      <c r="CR35">
        <f t="shared" ca="1" si="27"/>
        <v>1</v>
      </c>
      <c r="CS35">
        <f t="shared" ca="1" si="28"/>
        <v>1</v>
      </c>
      <c r="CT35">
        <f t="shared" ca="1" si="29"/>
        <v>0.99999999999999989</v>
      </c>
      <c r="CU35">
        <f t="shared" ca="1" si="30"/>
        <v>1</v>
      </c>
      <c r="CV35">
        <f t="shared" ca="1" si="31"/>
        <v>0.999999999999999</v>
      </c>
      <c r="CW35">
        <f t="shared" ca="1" si="32"/>
        <v>1</v>
      </c>
    </row>
    <row r="36" spans="2:101" x14ac:dyDescent="0.25">
      <c r="B36">
        <v>2042</v>
      </c>
      <c r="C36" s="69">
        <f>'Gas Supply Commodity Costs'!I22/'Conventional Supply Quantities'!I22</f>
        <v>3.9813256571992057</v>
      </c>
      <c r="D36" s="69">
        <f>'Gas Supply Commodity Costs'!J22/'Conventional Supply Quantities'!J22</f>
        <v>3.9314661871785073</v>
      </c>
      <c r="E36" s="69">
        <f>'Gas Supply Commodity Costs'!K22/'Conventional Supply Quantities'!K22</f>
        <v>3.9161085738384931</v>
      </c>
      <c r="F36" s="69">
        <f>'Gas Supply Commodity Costs'!L22/'Conventional Supply Quantities'!L22</f>
        <v>3.8111132261133296</v>
      </c>
      <c r="G36" s="69">
        <f>'Gas Supply Commodity Costs'!M22/'Conventional Supply Quantities'!M22</f>
        <v>3.8783697737847063</v>
      </c>
      <c r="H36" s="69">
        <f>'Gas Supply Commodity Costs'!N22/'Conventional Supply Quantities'!N22</f>
        <v>3.7946988054174695</v>
      </c>
      <c r="I36" s="69">
        <f>'Gas Supply Commodity Costs'!O22/'Conventional Supply Quantities'!O22</f>
        <v>3.5171629593620124</v>
      </c>
      <c r="J36" s="69">
        <f>'Gas Supply Commodity Costs'!P22/'Conventional Supply Quantities'!P22</f>
        <v>3.9385224969907195</v>
      </c>
      <c r="K36" s="69">
        <f>'Gas Supply Commodity Costs'!Q22/'Conventional Supply Quantities'!Q22</f>
        <v>3.9385224970858395</v>
      </c>
      <c r="L36" s="69">
        <f>'Gas Supply Commodity Costs'!R22/'Conventional Supply Quantities'!R22</f>
        <v>3.9511303607656636</v>
      </c>
      <c r="N36">
        <v>2042</v>
      </c>
      <c r="O36" s="69">
        <f t="shared" ca="1" si="3"/>
        <v>1.7451907057812497E-2</v>
      </c>
      <c r="P36" s="69">
        <f t="shared" ca="1" si="6"/>
        <v>1.9438610548725727E-2</v>
      </c>
      <c r="Q36" s="69">
        <f t="shared" ca="1" si="7"/>
        <v>1.9997363860899772E-2</v>
      </c>
      <c r="R36" s="69">
        <f t="shared" ca="1" si="8"/>
        <v>2.1471158685763003E-2</v>
      </c>
      <c r="S36" s="69">
        <f t="shared" ca="1" si="9"/>
        <v>2.0846969574927425E-2</v>
      </c>
      <c r="T36" s="69">
        <f t="shared" ca="1" si="10"/>
        <v>2.301130347341232E-2</v>
      </c>
      <c r="U36" s="69">
        <f t="shared" ca="1" si="11"/>
        <v>2.9620933848277426E-2</v>
      </c>
      <c r="V36" s="69">
        <f t="shared" ca="1" si="12"/>
        <v>1.9330322953393278E-2</v>
      </c>
      <c r="W36" s="69">
        <f t="shared" ca="1" si="13"/>
        <v>1.933032295332791E-2</v>
      </c>
      <c r="X36" s="69">
        <f t="shared" ca="1" si="14"/>
        <v>1.9020922649987157E-2</v>
      </c>
      <c r="Z36" s="71">
        <f t="shared" ca="1" si="4"/>
        <v>2.1510299274838031E-2</v>
      </c>
      <c r="AA36" s="71">
        <f t="shared" ca="1" si="15"/>
        <v>2.465894479541892E-2</v>
      </c>
      <c r="AB36" s="71">
        <f t="shared" ca="1" si="16"/>
        <v>2.555771861172744E-2</v>
      </c>
      <c r="AC36" s="71">
        <f t="shared" ca="1" si="17"/>
        <v>2.8073772787765426E-2</v>
      </c>
      <c r="AD36" s="71">
        <f t="shared" ca="1" si="18"/>
        <v>2.693347388698342E-2</v>
      </c>
      <c r="AE36" s="71">
        <f t="shared" ca="1" si="19"/>
        <v>3.0450201131339921E-2</v>
      </c>
      <c r="AF36" s="71">
        <f t="shared" ca="1" si="20"/>
        <v>3.5118212496586636E-2</v>
      </c>
      <c r="AG36" s="71">
        <f t="shared" ca="1" si="21"/>
        <v>2.4506464027935548E-2</v>
      </c>
      <c r="AH36" s="71">
        <f t="shared" ca="1" si="22"/>
        <v>2.450646402782982E-2</v>
      </c>
      <c r="AI36" s="71">
        <f t="shared" ca="1" si="23"/>
        <v>2.4026660750516939E-2</v>
      </c>
      <c r="AK36" cm="1">
        <f t="array" aca="1" ref="AK36" ca="1">INDIRECT("'Basin Weights'!L"&amp;MATCH(AK$15,'Basin Weights'!$E:$E,0)+($N36-2022))*(1-INDIRECT("'Star Road Flow'!J"&amp;MATCH(AK$15,'Star Road Flow'!$E:$E,0)+($N36-2022)))</f>
        <v>0.36380636636160602</v>
      </c>
      <c r="AL36" cm="1">
        <f t="array" aca="1" ref="AL36" ca="1">INDIRECT("'Basin Weights'!L"&amp;MATCH(AL$15,'Basin Weights'!$E:$E,0)+($N36-2022))*(1-INDIRECT("'Star Road Flow'!J"&amp;MATCH(AL$15,'Star Road Flow'!$E:$E,0)+($N36-2022)))</f>
        <v>0.45150968771196415</v>
      </c>
      <c r="AM36" cm="1">
        <f t="array" aca="1" ref="AM36" ca="1">INDIRECT("'Basin Weights'!L"&amp;MATCH(AM$15,'Basin Weights'!$E:$E,0)+($N36-2022))*(1-INDIRECT("'Star Road Flow'!J"&amp;MATCH(AM$15,'Star Road Flow'!$E:$E,0)+($N36-2022)))</f>
        <v>0.476752804428622</v>
      </c>
      <c r="AN36" cm="1">
        <f t="array" aca="1" ref="AN36" ca="1">INDIRECT("'Basin Weights'!L"&amp;MATCH(AN$15,'Basin Weights'!$E:$E,0)+($N36-2022))*(1-INDIRECT("'Star Road Flow'!J"&amp;MATCH(AN$15,'Star Road Flow'!$E:$E,0)+($N36-2022)))</f>
        <v>0.54896932484813821</v>
      </c>
      <c r="AO36" cm="1">
        <f t="array" aca="1" ref="AO36" ca="1">INDIRECT("'Basin Weights'!L"&amp;MATCH(AO$15,'Basin Weights'!$E:$E,0)+($N36-2022))*(1-INDIRECT("'Star Road Flow'!J"&amp;MATCH(AO$15,'Star Road Flow'!$E:$E,0)+($N36-2022)))</f>
        <v>0.51539320642099451</v>
      </c>
      <c r="AP36" cm="1">
        <f t="array" aca="1" ref="AP36" ca="1">INDIRECT("'Basin Weights'!L"&amp;MATCH(AP$15,'Basin Weights'!$E:$E,0)+($N36-2022))*(1-INDIRECT("'Star Road Flow'!J"&amp;MATCH(AP$15,'Star Road Flow'!$E:$E,0)+($N36-2022)))</f>
        <v>0.61444353800440132</v>
      </c>
      <c r="AQ36" cm="1">
        <f t="array" aca="1" ref="AQ36" ca="1">INDIRECT("'Basin Weights'!L"&amp;MATCH(AQ$15,'Basin Weights'!$E:$E,0)+($N36-2022))*(1-INDIRECT("'Star Road Flow'!J"&amp;MATCH(AQ$15,'Star Road Flow'!$E:$E,0)+($N36-2022)))</f>
        <v>0.66342505416393549</v>
      </c>
      <c r="AR36" cm="1">
        <f t="array" aca="1" ref="AR36" ca="1">INDIRECT("'Basin Weights'!L"&amp;MATCH(AR$15,'Basin Weights'!$E:$E,0)+($N36-2022))*(1-INDIRECT("'Star Road Flow'!J"&amp;MATCH(AR$15,'Star Road Flow'!$E:$E,0)+($N36-2022)))</f>
        <v>0.44754449251041106</v>
      </c>
      <c r="AS36" cm="1">
        <f t="array" aca="1" ref="AS36" ca="1">INDIRECT("'Basin Weights'!L"&amp;MATCH(AS$15,'Basin Weights'!$E:$E,0)+($N36-2022))*(1-INDIRECT("'Star Road Flow'!J"&amp;MATCH(AS$15,'Star Road Flow'!$E:$E,0)+($N36-2022)))</f>
        <v>0.447544492507437</v>
      </c>
      <c r="AT36" cm="1">
        <f t="array" aca="1" ref="AT36" ca="1">INDIRECT("'Basin Weights'!L"&amp;MATCH(AT$15,'Basin Weights'!$E:$E,0)+($N36-2022))*(1-INDIRECT("'Star Road Flow'!J"&amp;MATCH(AT$15,'Star Road Flow'!$E:$E,0)+($N36-2022)))</f>
        <v>0.4343191132200579</v>
      </c>
      <c r="AV36" cm="1">
        <f t="array" aca="1" ref="AV36" ca="1">INDIRECT("'Basin Weights'!L"&amp;MATCH(AV$15,'Basin Weights'!$E:$E,0)+($N36-2022))*INDIRECT("'Star Road Flow'!J"&amp;MATCH(AV$15,'Star Road Flow'!$E:$E,0)+($N36-2022))</f>
        <v>1.3130573638393955E-2</v>
      </c>
      <c r="AW36" cm="1">
        <f t="array" aca="1" ref="AW36" ca="1">INDIRECT("'Basin Weights'!L"&amp;MATCH(AW$15,'Basin Weights'!$E:$E,0)+($N36-2022))*INDIRECT("'Star Road Flow'!J"&amp;MATCH(AW$15,'Star Road Flow'!$E:$E,0)+($N36-2022))</f>
        <v>1.6469910063203863E-2</v>
      </c>
      <c r="AX36" cm="1">
        <f t="array" aca="1" ref="AX36" ca="1">INDIRECT("'Basin Weights'!L"&amp;MATCH(AX$15,'Basin Weights'!$E:$E,0)+($N36-2022))*INDIRECT("'Star Road Flow'!J"&amp;MATCH(AX$15,'Star Road Flow'!$E:$E,0)+($N36-2022))</f>
        <v>1.7363925771029975E-2</v>
      </c>
      <c r="AY36" cm="1">
        <f t="array" aca="1" ref="AY36" ca="1">INDIRECT("'Basin Weights'!L"&amp;MATCH(AY$15,'Basin Weights'!$E:$E,0)+($N36-2022))*INDIRECT("'Star Road Flow'!J"&amp;MATCH(AY$15,'Star Road Flow'!$E:$E,0)+($N36-2022))</f>
        <v>2.011502134115481E-2</v>
      </c>
      <c r="AZ36" cm="1">
        <f t="array" aca="1" ref="AZ36" ca="1">INDIRECT("'Basin Weights'!L"&amp;MATCH(AZ$15,'Basin Weights'!$E:$E,0)+($N36-2022))*INDIRECT("'Star Road Flow'!J"&amp;MATCH(AZ$15,'Star Road Flow'!$E:$E,0)+($N36-2022))</f>
        <v>1.8869675256254433E-2</v>
      </c>
      <c r="BA36" cm="1">
        <f t="array" aca="1" ref="BA36" ca="1">INDIRECT("'Basin Weights'!L"&amp;MATCH(BA$15,'Basin Weights'!$E:$E,0)+($N36-2022))*INDIRECT("'Star Road Flow'!J"&amp;MATCH(BA$15,'Star Road Flow'!$E:$E,0)+($N36-2022))</f>
        <v>2.2551001995598608E-2</v>
      </c>
      <c r="BB36" cm="1">
        <f t="array" aca="1" ref="BB36" ca="1">INDIRECT("'Basin Weights'!L"&amp;MATCH(BB$15,'Basin Weights'!$E:$E,0)+($N36-2022))*INDIRECT("'Star Road Flow'!J"&amp;MATCH(BB$15,'Star Road Flow'!$E:$E,0)+($N36-2022))</f>
        <v>4.0342307969811572E-2</v>
      </c>
      <c r="BC36" cm="1">
        <f t="array" aca="1" ref="BC36" ca="1">INDIRECT("'Basin Weights'!L"&amp;MATCH(BC$15,'Basin Weights'!$E:$E,0)+($N36-2022))*INDIRECT("'Star Road Flow'!J"&amp;MATCH(BC$15,'Star Road Flow'!$E:$E,0)+($N36-2022))</f>
        <v>1.6247063727780946E-2</v>
      </c>
      <c r="BD36" cm="1">
        <f t="array" aca="1" ref="BD36" ca="1">INDIRECT("'Basin Weights'!L"&amp;MATCH(BD$15,'Basin Weights'!$E:$E,0)+($N36-2022))*INDIRECT("'Star Road Flow'!J"&amp;MATCH(BD$15,'Star Road Flow'!$E:$E,0)+($N36-2022))</f>
        <v>1.6247063727672977E-2</v>
      </c>
      <c r="BE36" cm="1">
        <f t="array" aca="1" ref="BE36" ca="1">INDIRECT("'Basin Weights'!L"&amp;MATCH(BE$15,'Basin Weights'!$E:$E,0)+($N36-2022))*INDIRECT("'Star Road Flow'!J"&amp;MATCH(BE$15,'Star Road Flow'!$E:$E,0)+($N36-2022))</f>
        <v>1.5725010768455117E-2</v>
      </c>
      <c r="BG36" cm="1">
        <f t="array" aca="1" ref="BG36" ca="1">INDIRECT("'Basin Weights'!M"&amp;MATCH(BG$15,'Basin Weights'!$E:$E,0)+($N36-2022))</f>
        <v>0.30697470999999998</v>
      </c>
      <c r="BH36" cm="1">
        <f t="array" aca="1" ref="BH36" ca="1">INDIRECT("'Basin Weights'!M"&amp;MATCH(BH$15,'Basin Weights'!$E:$E,0)+($N36-2022))</f>
        <v>0.21127926532417601</v>
      </c>
      <c r="BI36" cm="1">
        <f t="array" aca="1" ref="BI36" ca="1">INDIRECT("'Basin Weights'!M"&amp;MATCH(BI$15,'Basin Weights'!$E:$E,0)+($N36-2022))</f>
        <v>0.19083885717589399</v>
      </c>
      <c r="BJ36" cm="1">
        <f t="array" aca="1" ref="BJ36" ca="1">INDIRECT("'Basin Weights'!M"&amp;MATCH(BJ$15,'Basin Weights'!$E:$E,0)+($N36-2022))</f>
        <v>0.140967484131893</v>
      </c>
      <c r="BK36" cm="1">
        <f t="array" aca="1" ref="BK36" ca="1">INDIRECT("'Basin Weights'!M"&amp;MATCH(BK$15,'Basin Weights'!$E:$E,0)+($N36-2022))</f>
        <v>0.14201464268647901</v>
      </c>
      <c r="BL36" cm="1">
        <f t="array" aca="1" ref="BL36" ca="1">INDIRECT("'Basin Weights'!M"&amp;MATCH(BL$15,'Basin Weights'!$E:$E,0)+($N36-2022))</f>
        <v>4.7994710000000003E-2</v>
      </c>
      <c r="BM36" cm="1">
        <f t="array" aca="1" ref="BM36" ca="1">INDIRECT("'Basin Weights'!M"&amp;MATCH(BM$15,'Basin Weights'!$E:$E,0)+($N36-2022))</f>
        <v>0</v>
      </c>
      <c r="BN36" cm="1">
        <f t="array" aca="1" ref="BN36" ca="1">INDIRECT("'Basin Weights'!M"&amp;MATCH(BN$15,'Basin Weights'!$E:$E,0)+($N36-2022))</f>
        <v>0.21708248038128899</v>
      </c>
      <c r="BO36" cm="1">
        <f t="array" aca="1" ref="BO36" ca="1">INDIRECT("'Basin Weights'!M"&amp;MATCH(BO$15,'Basin Weights'!$E:$E,0)+($N36-2022))</f>
        <v>0.217082480386491</v>
      </c>
      <c r="BP36" cm="1">
        <f t="array" aca="1" ref="BP36" ca="1">INDIRECT("'Basin Weights'!M"&amp;MATCH(BP$15,'Basin Weights'!$E:$E,0)+($N36-2022))</f>
        <v>0.23387569259319299</v>
      </c>
      <c r="BR36" cm="1">
        <f t="array" aca="1" ref="BR36" ca="1">INDIRECT("'Basin Weights'!N"&amp;MATCH(BR$15,'Basin Weights'!$E:$E,0)+($N36-2022))</f>
        <v>0.20921878999999999</v>
      </c>
      <c r="BS36" cm="1">
        <f t="array" aca="1" ref="BS36" ca="1">INDIRECT("'Basin Weights'!N"&amp;MATCH(BS$15,'Basin Weights'!$E:$E,0)+($N36-2022))</f>
        <v>0.18684949054862399</v>
      </c>
      <c r="BT36" cm="1">
        <f t="array" aca="1" ref="BT36" ca="1">INDIRECT("'Basin Weights'!N"&amp;MATCH(BT$15,'Basin Weights'!$E:$E,0)+($N36-2022))</f>
        <v>0.17360933691644301</v>
      </c>
      <c r="BU36" cm="1">
        <f t="array" aca="1" ref="BU36" ca="1">INDIRECT("'Basin Weights'!N"&amp;MATCH(BU$15,'Basin Weights'!$E:$E,0)+($N36-2022))</f>
        <v>0.12920983500866501</v>
      </c>
      <c r="BV36" cm="1">
        <f t="array" aca="1" ref="BV36" ca="1">INDIRECT("'Basin Weights'!N"&amp;MATCH(BV$15,'Basin Weights'!$E:$E,0)+($N36-2022))</f>
        <v>0.17085097512259301</v>
      </c>
      <c r="BW36" cm="1">
        <f t="array" aca="1" ref="BW36" ca="1">INDIRECT("'Basin Weights'!N"&amp;MATCH(BW$15,'Basin Weights'!$E:$E,0)+($N36-2022))</f>
        <v>0.13306024999999999</v>
      </c>
      <c r="BX36" cm="1">
        <f t="array" aca="1" ref="BX36" ca="1">INDIRECT("'Basin Weights'!N"&amp;MATCH(BX$15,'Basin Weights'!$E:$E,0)+($N36-2022))</f>
        <v>0</v>
      </c>
      <c r="BY36" cm="1">
        <f t="array" aca="1" ref="BY36" ca="1">INDIRECT("'Basin Weights'!N"&amp;MATCH(BY$15,'Basin Weights'!$E:$E,0)+($N36-2022))</f>
        <v>0.186788108527844</v>
      </c>
      <c r="BZ36" cm="1">
        <f t="array" aca="1" ref="BZ36" ca="1">INDIRECT("'Basin Weights'!N"&amp;MATCH(BZ$15,'Basin Weights'!$E:$E,0)+($N36-2022))</f>
        <v>0.18678810852660299</v>
      </c>
      <c r="CA36" cm="1">
        <f t="array" aca="1" ref="CA36" ca="1">INDIRECT("'Basin Weights'!N"&amp;MATCH(CA$15,'Basin Weights'!$E:$E,0)+($N36-2022))</f>
        <v>0.18799462731278199</v>
      </c>
      <c r="CC36" cm="1">
        <f t="array" aca="1" ref="CC36" ca="1">INDIRECT("'Basin Weights'!O"&amp;MATCH(CC$15,'Basin Weights'!$E:$E,0)+($N36-2022))</f>
        <v>0.10686956</v>
      </c>
      <c r="CD36" cm="1">
        <f t="array" aca="1" ref="CD36" ca="1">INDIRECT("'Basin Weights'!O"&amp;MATCH(CD$15,'Basin Weights'!$E:$E,0)+($N36-2022))</f>
        <v>0.13389164635203199</v>
      </c>
      <c r="CE36" cm="1">
        <f t="array" aca="1" ref="CE36" ca="1">INDIRECT("'Basin Weights'!O"&amp;MATCH(CE$15,'Basin Weights'!$E:$E,0)+($N36-2022))</f>
        <v>0.141435075708011</v>
      </c>
      <c r="CF36" cm="1">
        <f t="array" aca="1" ref="CF36" ca="1">INDIRECT("'Basin Weights'!O"&amp;MATCH(CF$15,'Basin Weights'!$E:$E,0)+($N36-2022))</f>
        <v>0.160738334670149</v>
      </c>
      <c r="CG36" cm="1">
        <f t="array" aca="1" ref="CG36" ca="1">INDIRECT("'Basin Weights'!O"&amp;MATCH(CG$15,'Basin Weights'!$E:$E,0)+($N36-2022))</f>
        <v>0.15287150051367901</v>
      </c>
      <c r="CH36" cm="1">
        <f t="array" aca="1" ref="CH36" ca="1">INDIRECT("'Basin Weights'!O"&amp;MATCH(CH$15,'Basin Weights'!$E:$E,0)+($N36-2022))</f>
        <v>0.18195048999999999</v>
      </c>
      <c r="CI36" cm="1">
        <f t="array" aca="1" ref="CI36" ca="1">INDIRECT("'Basin Weights'!O"&amp;MATCH(CI$15,'Basin Weights'!$E:$E,0)+($N36-2022))</f>
        <v>0.29623263786625298</v>
      </c>
      <c r="CJ36" cm="1">
        <f t="array" aca="1" ref="CJ36" ca="1">INDIRECT("'Basin Weights'!O"&amp;MATCH(CJ$15,'Basin Weights'!$E:$E,0)+($N36-2022))</f>
        <v>0.13233785485267599</v>
      </c>
      <c r="CK36" cm="1">
        <f t="array" aca="1" ref="CK36" ca="1">INDIRECT("'Basin Weights'!O"&amp;MATCH(CK$15,'Basin Weights'!$E:$E,0)+($N36-2022))</f>
        <v>0.132337854851796</v>
      </c>
      <c r="CL36" cm="1">
        <f t="array" aca="1" ref="CL36" ca="1">INDIRECT("'Basin Weights'!O"&amp;MATCH(CL$15,'Basin Weights'!$E:$E,0)+($N36-2022))</f>
        <v>0.12808555610551201</v>
      </c>
      <c r="CN36">
        <f t="shared" ca="1" si="5"/>
        <v>1</v>
      </c>
      <c r="CO36">
        <f t="shared" ca="1" si="24"/>
        <v>1</v>
      </c>
      <c r="CP36">
        <f t="shared" ca="1" si="25"/>
        <v>1</v>
      </c>
      <c r="CQ36">
        <f t="shared" ca="1" si="26"/>
        <v>1</v>
      </c>
      <c r="CR36">
        <f t="shared" ca="1" si="27"/>
        <v>1</v>
      </c>
      <c r="CS36">
        <f t="shared" ca="1" si="28"/>
        <v>0.99999998999999984</v>
      </c>
      <c r="CT36">
        <f t="shared" ca="1" si="29"/>
        <v>1</v>
      </c>
      <c r="CU36">
        <f t="shared" ca="1" si="30"/>
        <v>1.0000000000000009</v>
      </c>
      <c r="CV36">
        <f t="shared" ca="1" si="31"/>
        <v>0.99999999999999989</v>
      </c>
      <c r="CW36">
        <f t="shared" ca="1" si="32"/>
        <v>1</v>
      </c>
    </row>
    <row r="37" spans="2:101" x14ac:dyDescent="0.25">
      <c r="B37">
        <v>2043</v>
      </c>
      <c r="C37" s="69">
        <f>'Gas Supply Commodity Costs'!I23/'Conventional Supply Quantities'!I23</f>
        <v>3.9509405037429088</v>
      </c>
      <c r="D37" s="69">
        <f>'Gas Supply Commodity Costs'!J23/'Conventional Supply Quantities'!J23</f>
        <v>3.8957531810029962</v>
      </c>
      <c r="E37" s="69">
        <f>'Gas Supply Commodity Costs'!K23/'Conventional Supply Quantities'!K23</f>
        <v>3.8803481326164007</v>
      </c>
      <c r="F37" s="69">
        <f>'Gas Supply Commodity Costs'!L23/'Conventional Supply Quantities'!L23</f>
        <v>3.7663326688759811</v>
      </c>
      <c r="G37" s="69">
        <f>'Gas Supply Commodity Costs'!M23/'Conventional Supply Quantities'!M23</f>
        <v>3.8409107091238361</v>
      </c>
      <c r="H37" s="69">
        <f>'Gas Supply Commodity Costs'!N23/'Conventional Supply Quantities'!N23</f>
        <v>3.744898668590706</v>
      </c>
      <c r="I37" s="69">
        <f>'Gas Supply Commodity Costs'!O23/'Conventional Supply Quantities'!O23</f>
        <v>3.4435706033449605</v>
      </c>
      <c r="J37" s="69">
        <f>'Gas Supply Commodity Costs'!P23/'Conventional Supply Quantities'!P23</f>
        <v>3.9042873051699782</v>
      </c>
      <c r="K37" s="69">
        <f>'Gas Supply Commodity Costs'!Q23/'Conventional Supply Quantities'!Q23</f>
        <v>3.904287305222506</v>
      </c>
      <c r="L37" s="69">
        <f>'Gas Supply Commodity Costs'!R23/'Conventional Supply Quantities'!R23</f>
        <v>3.9184057233396383</v>
      </c>
      <c r="N37">
        <v>2043</v>
      </c>
      <c r="O37" s="69">
        <f t="shared" ca="1" si="3"/>
        <v>1.7433379558365172E-2</v>
      </c>
      <c r="P37" s="69">
        <f t="shared" ca="1" si="6"/>
        <v>1.9507869285096572E-2</v>
      </c>
      <c r="Q37" s="69">
        <f t="shared" ca="1" si="7"/>
        <v>2.0091094747929677E-2</v>
      </c>
      <c r="R37" s="69">
        <f t="shared" ca="1" si="8"/>
        <v>2.1656575492690809E-2</v>
      </c>
      <c r="S37" s="69">
        <f t="shared" ca="1" si="9"/>
        <v>2.0977128478202385E-2</v>
      </c>
      <c r="T37" s="69">
        <f t="shared" ca="1" si="10"/>
        <v>2.3432448539145521E-2</v>
      </c>
      <c r="U37" s="69">
        <f t="shared" ca="1" si="11"/>
        <v>2.8831220638614846E-2</v>
      </c>
      <c r="V37" s="69">
        <f t="shared" ca="1" si="12"/>
        <v>1.9385573489508524E-2</v>
      </c>
      <c r="W37" s="69">
        <f t="shared" ca="1" si="13"/>
        <v>1.9385573489310238E-2</v>
      </c>
      <c r="X37" s="69">
        <f t="shared" ca="1" si="14"/>
        <v>1.9063410823860136E-2</v>
      </c>
      <c r="Z37" s="71">
        <f t="shared" ca="1" si="4"/>
        <v>2.1481685648335948E-2</v>
      </c>
      <c r="AA37" s="71">
        <f t="shared" ca="1" si="15"/>
        <v>2.4769866311197142E-2</v>
      </c>
      <c r="AB37" s="71">
        <f t="shared" ca="1" si="16"/>
        <v>2.5720408286733304E-2</v>
      </c>
      <c r="AC37" s="71">
        <f t="shared" ca="1" si="17"/>
        <v>2.8397810283034151E-2</v>
      </c>
      <c r="AD37" s="71">
        <f t="shared" ca="1" si="18"/>
        <v>2.7148196278852094E-2</v>
      </c>
      <c r="AE37" s="71">
        <f t="shared" ca="1" si="19"/>
        <v>3.1140435401798273E-2</v>
      </c>
      <c r="AF37" s="71">
        <f t="shared" ca="1" si="20"/>
        <v>3.5104941539164977E-2</v>
      </c>
      <c r="AG37" s="71">
        <f t="shared" ca="1" si="21"/>
        <v>2.4576148317602776E-2</v>
      </c>
      <c r="AH37" s="71">
        <f t="shared" ca="1" si="22"/>
        <v>2.4576148317282321E-2</v>
      </c>
      <c r="AI37" s="71">
        <f t="shared" ca="1" si="23"/>
        <v>2.4079470222601353E-2</v>
      </c>
      <c r="AK37" cm="1">
        <f t="array" aca="1" ref="AK37" ca="1">INDIRECT("'Basin Weights'!L"&amp;MATCH(AK$15,'Basin Weights'!$E:$E,0)+($N37-2022))*(1-INDIRECT("'Star Road Flow'!J"&amp;MATCH(AK$15,'Star Road Flow'!$E:$E,0)+($N37-2022)))</f>
        <v>0.36301930441613273</v>
      </c>
      <c r="AL37" cm="1">
        <f t="array" aca="1" ref="AL37" ca="1">INDIRECT("'Basin Weights'!L"&amp;MATCH(AL$15,'Basin Weights'!$E:$E,0)+($N37-2022))*(1-INDIRECT("'Star Road Flow'!J"&amp;MATCH(AL$15,'Star Road Flow'!$E:$E,0)+($N37-2022)))</f>
        <v>0.45461434557753111</v>
      </c>
      <c r="AM37" cm="1">
        <f t="array" aca="1" ref="AM37" ca="1">INDIRECT("'Basin Weights'!L"&amp;MATCH(AM$15,'Basin Weights'!$E:$E,0)+($N37-2022))*(1-INDIRECT("'Star Road Flow'!J"&amp;MATCH(AM$15,'Star Road Flow'!$E:$E,0)+($N37-2022)))</f>
        <v>0.48144848274477858</v>
      </c>
      <c r="AN37" cm="1">
        <f t="array" aca="1" ref="AN37" ca="1">INDIRECT("'Basin Weights'!L"&amp;MATCH(AN$15,'Basin Weights'!$E:$E,0)+($N37-2022))*(1-INDIRECT("'Star Road Flow'!J"&amp;MATCH(AN$15,'Star Road Flow'!$E:$E,0)+($N37-2022)))</f>
        <v>0.55836203687539432</v>
      </c>
      <c r="AO37" cm="1">
        <f t="array" aca="1" ref="AO37" ca="1">INDIRECT("'Basin Weights'!L"&amp;MATCH(AO$15,'Basin Weights'!$E:$E,0)+($N37-2022))*(1-INDIRECT("'Star Road Flow'!J"&amp;MATCH(AO$15,'Star Road Flow'!$E:$E,0)+($N37-2022)))</f>
        <v>0.5214771257037889</v>
      </c>
      <c r="AP37" cm="1">
        <f t="array" aca="1" ref="AP37" ca="1">INDIRECT("'Basin Weights'!L"&amp;MATCH(AP$15,'Basin Weights'!$E:$E,0)+($N37-2022))*(1-INDIRECT("'Star Road Flow'!J"&amp;MATCH(AP$15,'Star Road Flow'!$E:$E,0)+($N37-2022)))</f>
        <v>0.63394065933768529</v>
      </c>
      <c r="AQ37" cm="1">
        <f t="array" aca="1" ref="AQ37" ca="1">INDIRECT("'Basin Weights'!L"&amp;MATCH(AQ$15,'Basin Weights'!$E:$E,0)+($N37-2022))*(1-INDIRECT("'Star Road Flow'!J"&amp;MATCH(AQ$15,'Star Road Flow'!$E:$E,0)+($N37-2022)))</f>
        <v>0.67432173589049993</v>
      </c>
      <c r="AR37" cm="1">
        <f t="array" aca="1" ref="AR37" ca="1">INDIRECT("'Basin Weights'!L"&amp;MATCH(AR$15,'Basin Weights'!$E:$E,0)+($N37-2022))*(1-INDIRECT("'Star Road Flow'!J"&amp;MATCH(AR$15,'Star Road Flow'!$E:$E,0)+($N37-2022)))</f>
        <v>0.44924552144281971</v>
      </c>
      <c r="AS37" cm="1">
        <f t="array" aca="1" ref="AS37" ca="1">INDIRECT("'Basin Weights'!L"&amp;MATCH(AS$15,'Basin Weights'!$E:$E,0)+($N37-2022))*(1-INDIRECT("'Star Road Flow'!J"&amp;MATCH(AS$15,'Star Road Flow'!$E:$E,0)+($N37-2022)))</f>
        <v>0.44924552143380864</v>
      </c>
      <c r="AT37" cm="1">
        <f t="array" aca="1" ref="AT37" ca="1">INDIRECT("'Basin Weights'!L"&amp;MATCH(AT$15,'Basin Weights'!$E:$E,0)+($N37-2022))*(1-INDIRECT("'Star Road Flow'!J"&amp;MATCH(AT$15,'Star Road Flow'!$E:$E,0)+($N37-2022)))</f>
        <v>0.43559507031380479</v>
      </c>
      <c r="AV37" cm="1">
        <f t="array" aca="1" ref="AV37" ca="1">INDIRECT("'Basin Weights'!L"&amp;MATCH(AV$15,'Basin Weights'!$E:$E,0)+($N37-2022))*INDIRECT("'Star Road Flow'!J"&amp;MATCH(AV$15,'Star Road Flow'!$E:$E,0)+($N37-2022))</f>
        <v>1.3099215583867296E-2</v>
      </c>
      <c r="AW37" cm="1">
        <f t="array" aca="1" ref="AW37" ca="1">INDIRECT("'Basin Weights'!L"&amp;MATCH(AW$15,'Basin Weights'!$E:$E,0)+($N37-2022))*INDIRECT("'Star Road Flow'!J"&amp;MATCH(AW$15,'Star Road Flow'!$E:$E,0)+($N37-2022))</f>
        <v>1.6586399760577887E-2</v>
      </c>
      <c r="AX37" cm="1">
        <f t="array" aca="1" ref="AX37" ca="1">INDIRECT("'Basin Weights'!L"&amp;MATCH(AX$15,'Basin Weights'!$E:$E,0)+($N37-2022))*INDIRECT("'Star Road Flow'!J"&amp;MATCH(AX$15,'Star Road Flow'!$E:$E,0)+($N37-2022))</f>
        <v>1.7547042310585386E-2</v>
      </c>
      <c r="AY37" cm="1">
        <f t="array" aca="1" ref="AY37" ca="1">INDIRECT("'Basin Weights'!L"&amp;MATCH(AY$15,'Basin Weights'!$E:$E,0)+($N37-2022))*INDIRECT("'Star Road Flow'!J"&amp;MATCH(AY$15,'Star Road Flow'!$E:$E,0)+($N37-2022))</f>
        <v>2.0460243794980626E-2</v>
      </c>
      <c r="AZ37" cm="1">
        <f t="array" aca="1" ref="AZ37" ca="1">INDIRECT("'Basin Weights'!L"&amp;MATCH(AZ$15,'Basin Weights'!$E:$E,0)+($N37-2022))*INDIRECT("'Star Road Flow'!J"&amp;MATCH(AZ$15,'Star Road Flow'!$E:$E,0)+($N37-2022))</f>
        <v>1.9097352630642026E-2</v>
      </c>
      <c r="BA37" cm="1">
        <f t="array" aca="1" ref="BA37" ca="1">INDIRECT("'Basin Weights'!L"&amp;MATCH(BA$15,'Basin Weights'!$E:$E,0)+($N37-2022))*INDIRECT("'Star Road Flow'!J"&amp;MATCH(BA$15,'Star Road Flow'!$E:$E,0)+($N37-2022))</f>
        <v>2.3291500662314699E-2</v>
      </c>
      <c r="BB37" cm="1">
        <f t="array" aca="1" ref="BB37" ca="1">INDIRECT("'Basin Weights'!L"&amp;MATCH(BB$15,'Basin Weights'!$E:$E,0)+($N37-2022))*INDIRECT("'Star Road Flow'!J"&amp;MATCH(BB$15,'Star Road Flow'!$E:$E,0)+($N37-2022))</f>
        <v>4.5158728130162112E-2</v>
      </c>
      <c r="BC37" cm="1">
        <f t="array" aca="1" ref="BC37" ca="1">INDIRECT("'Basin Weights'!L"&amp;MATCH(BC$15,'Basin Weights'!$E:$E,0)+($N37-2022))*INDIRECT("'Star Road Flow'!J"&amp;MATCH(BC$15,'Star Road Flow'!$E:$E,0)+($N37-2022))</f>
        <v>1.6348495436369289E-2</v>
      </c>
      <c r="BD37" cm="1">
        <f t="array" aca="1" ref="BD37" ca="1">INDIRECT("'Basin Weights'!L"&amp;MATCH(BD$15,'Basin Weights'!$E:$E,0)+($N37-2022))*INDIRECT("'Star Road Flow'!J"&amp;MATCH(BD$15,'Star Road Flow'!$E:$E,0)+($N37-2022))</f>
        <v>1.6348495436041367E-2</v>
      </c>
      <c r="BE37" cm="1">
        <f t="array" aca="1" ref="BE37" ca="1">INDIRECT("'Basin Weights'!L"&amp;MATCH(BE$15,'Basin Weights'!$E:$E,0)+($N37-2022))*INDIRECT("'Star Road Flow'!J"&amp;MATCH(BE$15,'Star Road Flow'!$E:$E,0)+($N37-2022))</f>
        <v>1.5803412075146163E-2</v>
      </c>
      <c r="BG37" cm="1">
        <f t="array" aca="1" ref="BG37" ca="1">INDIRECT("'Basin Weights'!M"&amp;MATCH(BG$15,'Basin Weights'!$E:$E,0)+($N37-2022))</f>
        <v>0.30870753000000001</v>
      </c>
      <c r="BH37" cm="1">
        <f t="array" aca="1" ref="BH37" ca="1">INDIRECT("'Basin Weights'!M"&amp;MATCH(BH$15,'Basin Weights'!$E:$E,0)+($N37-2022))</f>
        <v>0.20728619545138499</v>
      </c>
      <c r="BI37" cm="1">
        <f t="array" aca="1" ref="BI37" ca="1">INDIRECT("'Basin Weights'!M"&amp;MATCH(BI$15,'Basin Weights'!$E:$E,0)+($N37-2022))</f>
        <v>0.18830555653800901</v>
      </c>
      <c r="BJ37" cm="1">
        <f t="array" aca="1" ref="BJ37" ca="1">INDIRECT("'Basin Weights'!M"&amp;MATCH(BJ$15,'Basin Weights'!$E:$E,0)+($N37-2022))</f>
        <v>0.13577947057504</v>
      </c>
      <c r="BK37" cm="1">
        <f t="array" aca="1" ref="BK37" ca="1">INDIRECT("'Basin Weights'!M"&amp;MATCH(BK$15,'Basin Weights'!$E:$E,0)+($N37-2022))</f>
        <v>0.151784378871922</v>
      </c>
      <c r="BL37" cm="1">
        <f t="array" aca="1" ref="BL37" ca="1">INDIRECT("'Basin Weights'!M"&amp;MATCH(BL$15,'Basin Weights'!$E:$E,0)+($N37-2022))</f>
        <v>8.6777679999999996E-2</v>
      </c>
      <c r="BM37" cm="1">
        <f t="array" aca="1" ref="BM37" ca="1">INDIRECT("'Basin Weights'!M"&amp;MATCH(BM$15,'Basin Weights'!$E:$E,0)+($N37-2022))</f>
        <v>0</v>
      </c>
      <c r="BN37" cm="1">
        <f t="array" aca="1" ref="BN37" ca="1">INDIRECT("'Basin Weights'!M"&amp;MATCH(BN$15,'Basin Weights'!$E:$E,0)+($N37-2022))</f>
        <v>0.21475003061961201</v>
      </c>
      <c r="BO37" cm="1">
        <f t="array" aca="1" ref="BO37" ca="1">INDIRECT("'Basin Weights'!M"&amp;MATCH(BO$15,'Basin Weights'!$E:$E,0)+($N37-2022))</f>
        <v>0.21475003062867701</v>
      </c>
      <c r="BP37" cm="1">
        <f t="array" aca="1" ref="BP37" ca="1">INDIRECT("'Basin Weights'!M"&amp;MATCH(BP$15,'Basin Weights'!$E:$E,0)+($N37-2022))</f>
        <v>0.231423167087907</v>
      </c>
      <c r="BR37" cm="1">
        <f t="array" aca="1" ref="BR37" ca="1">INDIRECT("'Basin Weights'!N"&amp;MATCH(BR$15,'Basin Weights'!$E:$E,0)+($N37-2022))</f>
        <v>0.20855952</v>
      </c>
      <c r="BS37" cm="1">
        <f t="array" aca="1" ref="BS37" ca="1">INDIRECT("'Basin Weights'!N"&amp;MATCH(BS$15,'Basin Weights'!$E:$E,0)+($N37-2022))</f>
        <v>0.18668420410990999</v>
      </c>
      <c r="BT37" cm="1">
        <f t="array" aca="1" ref="BT37" ca="1">INDIRECT("'Basin Weights'!N"&amp;MATCH(BT$15,'Basin Weights'!$E:$E,0)+($N37-2022))</f>
        <v>0.17004707247773099</v>
      </c>
      <c r="BU37" cm="1">
        <f t="array" aca="1" ref="BU37" ca="1">INDIRECT("'Basin Weights'!N"&amp;MATCH(BU$15,'Basin Weights'!$E:$E,0)+($N37-2022))</f>
        <v>0.122262623235264</v>
      </c>
      <c r="BV37" cm="1">
        <f t="array" aca="1" ref="BV37" ca="1">INDIRECT("'Basin Weights'!N"&amp;MATCH(BV$15,'Basin Weights'!$E:$E,0)+($N37-2022))</f>
        <v>0.15303416121373001</v>
      </c>
      <c r="BW37" cm="1">
        <f t="array" aca="1" ref="BW37" ca="1">INDIRECT("'Basin Weights'!N"&amp;MATCH(BW$15,'Basin Weights'!$E:$E,0)+($N37-2022))</f>
        <v>6.8405359999999998E-2</v>
      </c>
      <c r="BX37" cm="1">
        <f t="array" aca="1" ref="BX37" ca="1">INDIRECT("'Basin Weights'!N"&amp;MATCH(BX$15,'Basin Weights'!$E:$E,0)+($N37-2022))</f>
        <v>0</v>
      </c>
      <c r="BY37" cm="1">
        <f t="array" aca="1" ref="BY37" ca="1">INDIRECT("'Basin Weights'!N"&amp;MATCH(BY$15,'Basin Weights'!$E:$E,0)+($N37-2022))</f>
        <v>0.18649190191561901</v>
      </c>
      <c r="BZ37" cm="1">
        <f t="array" aca="1" ref="BZ37" ca="1">INDIRECT("'Basin Weights'!N"&amp;MATCH(BZ$15,'Basin Weights'!$E:$E,0)+($N37-2022))</f>
        <v>0.18649190191856399</v>
      </c>
      <c r="CA37" cm="1">
        <f t="array" aca="1" ref="CA37" ca="1">INDIRECT("'Basin Weights'!N"&amp;MATCH(CA$15,'Basin Weights'!$E:$E,0)+($N37-2022))</f>
        <v>0.18845418913600701</v>
      </c>
      <c r="CC37" cm="1">
        <f t="array" aca="1" ref="CC37" ca="1">INDIRECT("'Basin Weights'!O"&amp;MATCH(CC$15,'Basin Weights'!$E:$E,0)+($N37-2022))</f>
        <v>0.10661443</v>
      </c>
      <c r="CD37" cm="1">
        <f t="array" aca="1" ref="CD37" ca="1">INDIRECT("'Basin Weights'!O"&amp;MATCH(CD$15,'Basin Weights'!$E:$E,0)+($N37-2022))</f>
        <v>0.134828855100596</v>
      </c>
      <c r="CE37" cm="1">
        <f t="array" aca="1" ref="CE37" ca="1">INDIRECT("'Basin Weights'!O"&amp;MATCH(CE$15,'Basin Weights'!$E:$E,0)+($N37-2022))</f>
        <v>0.14265184592889599</v>
      </c>
      <c r="CF37" cm="1">
        <f t="array" aca="1" ref="CF37" ca="1">INDIRECT("'Basin Weights'!O"&amp;MATCH(CF$15,'Basin Weights'!$E:$E,0)+($N37-2022))</f>
        <v>0.16313562551932101</v>
      </c>
      <c r="CG37" cm="1">
        <f t="array" aca="1" ref="CG37" ca="1">INDIRECT("'Basin Weights'!O"&amp;MATCH(CG$15,'Basin Weights'!$E:$E,0)+($N37-2022))</f>
        <v>0.15460698157991601</v>
      </c>
      <c r="CH37" cm="1">
        <f t="array" aca="1" ref="CH37" ca="1">INDIRECT("'Basin Weights'!O"&amp;MATCH(CH$15,'Basin Weights'!$E:$E,0)+($N37-2022))</f>
        <v>0.18758480999999999</v>
      </c>
      <c r="CI37" cm="1">
        <f t="array" aca="1" ref="CI37" ca="1">INDIRECT("'Basin Weights'!O"&amp;MATCH(CI$15,'Basin Weights'!$E:$E,0)+($N37-2022))</f>
        <v>0.28051953597933799</v>
      </c>
      <c r="CJ37" cm="1">
        <f t="array" aca="1" ref="CJ37" ca="1">INDIRECT("'Basin Weights'!O"&amp;MATCH(CJ$15,'Basin Weights'!$E:$E,0)+($N37-2022))</f>
        <v>0.13316405058558001</v>
      </c>
      <c r="CK37" cm="1">
        <f t="array" aca="1" ref="CK37" ca="1">INDIRECT("'Basin Weights'!O"&amp;MATCH(CK$15,'Basin Weights'!$E:$E,0)+($N37-2022))</f>
        <v>0.133164050582909</v>
      </c>
      <c r="CL37" cm="1">
        <f t="array" aca="1" ref="CL37" ca="1">INDIRECT("'Basin Weights'!O"&amp;MATCH(CL$15,'Basin Weights'!$E:$E,0)+($N37-2022))</f>
        <v>0.12872416138713499</v>
      </c>
      <c r="CN37">
        <f t="shared" ca="1" si="5"/>
        <v>1</v>
      </c>
      <c r="CO37">
        <f t="shared" ca="1" si="24"/>
        <v>0.99999999999999989</v>
      </c>
      <c r="CP37">
        <f t="shared" ca="1" si="25"/>
        <v>1</v>
      </c>
      <c r="CQ37">
        <f t="shared" ca="1" si="26"/>
        <v>1</v>
      </c>
      <c r="CR37">
        <f t="shared" ca="1" si="27"/>
        <v>0.999999999999999</v>
      </c>
      <c r="CS37">
        <f t="shared" ca="1" si="28"/>
        <v>1.0000000099999999</v>
      </c>
      <c r="CT37">
        <f t="shared" ca="1" si="29"/>
        <v>1</v>
      </c>
      <c r="CU37">
        <f t="shared" ca="1" si="30"/>
        <v>1</v>
      </c>
      <c r="CV37">
        <f t="shared" ca="1" si="31"/>
        <v>1</v>
      </c>
      <c r="CW37">
        <f t="shared" ca="1" si="32"/>
        <v>1</v>
      </c>
    </row>
    <row r="38" spans="2:101" x14ac:dyDescent="0.25">
      <c r="B38">
        <v>2044</v>
      </c>
      <c r="C38" s="69">
        <f>'Gas Supply Commodity Costs'!I24/'Conventional Supply Quantities'!I24</f>
        <v>4.1490768801440261</v>
      </c>
      <c r="D38" s="69">
        <f>'Gas Supply Commodity Costs'!J24/'Conventional Supply Quantities'!J24</f>
        <v>4.0844934303960621</v>
      </c>
      <c r="E38" s="69">
        <f>'Gas Supply Commodity Costs'!K24/'Conventional Supply Quantities'!K24</f>
        <v>4.0675410368690814</v>
      </c>
      <c r="F38" s="69">
        <f>'Gas Supply Commodity Costs'!L24/'Conventional Supply Quantities'!L24</f>
        <v>3.9501614352162226</v>
      </c>
      <c r="G38" s="69">
        <f>'Gas Supply Commodity Costs'!M24/'Conventional Supply Quantities'!M24</f>
        <v>4.0229692962044714</v>
      </c>
      <c r="H38" s="69">
        <f>'Gas Supply Commodity Costs'!N24/'Conventional Supply Quantities'!N24</f>
        <v>3.9286210930275356</v>
      </c>
      <c r="I38" s="69">
        <f>'Gas Supply Commodity Costs'!O24/'Conventional Supply Quantities'!O24</f>
        <v>3.6472830040770128</v>
      </c>
      <c r="J38" s="69">
        <f>'Gas Supply Commodity Costs'!P24/'Conventional Supply Quantities'!P24</f>
        <v>4.0949919948151656</v>
      </c>
      <c r="K38" s="69">
        <f>'Gas Supply Commodity Costs'!Q24/'Conventional Supply Quantities'!Q24</f>
        <v>4.0949919947910995</v>
      </c>
      <c r="L38" s="69">
        <f>'Gas Supply Commodity Costs'!R24/'Conventional Supply Quantities'!R24</f>
        <v>4.1113524473943039</v>
      </c>
      <c r="N38">
        <v>2044</v>
      </c>
      <c r="O38" s="69">
        <f t="shared" ca="1" si="3"/>
        <v>1.7530849561430775E-2</v>
      </c>
      <c r="P38" s="69">
        <f t="shared" ca="1" si="6"/>
        <v>1.9790802836950991E-2</v>
      </c>
      <c r="Q38" s="69">
        <f t="shared" ca="1" si="7"/>
        <v>2.0411730827200866E-2</v>
      </c>
      <c r="R38" s="69">
        <f t="shared" ca="1" si="8"/>
        <v>2.195289398631467E-2</v>
      </c>
      <c r="S38" s="69">
        <f t="shared" ca="1" si="9"/>
        <v>2.1367717979782784E-2</v>
      </c>
      <c r="T38" s="69">
        <f t="shared" ca="1" si="10"/>
        <v>2.3938587845484856E-2</v>
      </c>
      <c r="U38" s="69">
        <f t="shared" ca="1" si="11"/>
        <v>3.0984870823508891E-2</v>
      </c>
      <c r="V38" s="69">
        <f t="shared" ca="1" si="12"/>
        <v>1.9627943914830848E-2</v>
      </c>
      <c r="W38" s="69">
        <f t="shared" ca="1" si="13"/>
        <v>1.9627943914864773E-2</v>
      </c>
      <c r="X38" s="69">
        <f t="shared" ca="1" si="14"/>
        <v>1.9255922320352885E-2</v>
      </c>
      <c r="Z38" s="71">
        <f t="shared" ca="1" si="4"/>
        <v>2.2096013866467441E-2</v>
      </c>
      <c r="AA38" s="71">
        <f t="shared" ca="1" si="15"/>
        <v>2.5893913035641064E-2</v>
      </c>
      <c r="AB38" s="71">
        <f t="shared" ca="1" si="16"/>
        <v>2.693739572935467E-2</v>
      </c>
      <c r="AC38" s="71">
        <f t="shared" ca="1" si="17"/>
        <v>2.8875835127641671E-2</v>
      </c>
      <c r="AD38" s="71">
        <f t="shared" ca="1" si="18"/>
        <v>2.8433863219199659E-2</v>
      </c>
      <c r="AE38" s="71">
        <f t="shared" ca="1" si="19"/>
        <v>3.1729093683675685E-2</v>
      </c>
      <c r="AF38" s="71">
        <f t="shared" ca="1" si="20"/>
        <v>3.5057888685696592E-2</v>
      </c>
      <c r="AG38" s="71">
        <f t="shared" ca="1" si="21"/>
        <v>2.562022515328162E-2</v>
      </c>
      <c r="AH38" s="71">
        <f t="shared" ca="1" si="22"/>
        <v>2.5620225153338588E-2</v>
      </c>
      <c r="AI38" s="71">
        <f t="shared" ca="1" si="23"/>
        <v>2.4995034951485015E-2</v>
      </c>
      <c r="AK38" cm="1">
        <f t="array" aca="1" ref="AK38" ca="1">INDIRECT("'Basin Weights'!L"&amp;MATCH(AK$15,'Basin Weights'!$E:$E,0)+($N38-2022))*(1-INDIRECT("'Star Road Flow'!J"&amp;MATCH(AK$15,'Star Road Flow'!$E:$E,0)+($N38-2022)))</f>
        <v>0.38632438586813406</v>
      </c>
      <c r="AL38" cm="1">
        <f t="array" aca="1" ref="AL38" ca="1">INDIRECT("'Basin Weights'!L"&amp;MATCH(AL$15,'Basin Weights'!$E:$E,0)+($N38-2022))*(1-INDIRECT("'Star Road Flow'!J"&amp;MATCH(AL$15,'Star Road Flow'!$E:$E,0)+($N38-2022)))</f>
        <v>0.49503952039064059</v>
      </c>
      <c r="AM38" cm="1">
        <f t="array" aca="1" ref="AM38" ca="1">INDIRECT("'Basin Weights'!L"&amp;MATCH(AM$15,'Basin Weights'!$E:$E,0)+($N38-2022))*(1-INDIRECT("'Star Road Flow'!J"&amp;MATCH(AM$15,'Star Road Flow'!$E:$E,0)+($N38-2022)))</f>
        <v>0.52490928850889906</v>
      </c>
      <c r="AN38" cm="1">
        <f t="array" aca="1" ref="AN38" ca="1">INDIRECT("'Basin Weights'!L"&amp;MATCH(AN$15,'Basin Weights'!$E:$E,0)+($N38-2022))*(1-INDIRECT("'Star Road Flow'!J"&amp;MATCH(AN$15,'Star Road Flow'!$E:$E,0)+($N38-2022)))</f>
        <v>0.5717496812195485</v>
      </c>
      <c r="AO38" cm="1">
        <f t="array" aca="1" ref="AO38" ca="1">INDIRECT("'Basin Weights'!L"&amp;MATCH(AO$15,'Basin Weights'!$E:$E,0)+($N38-2022))*(1-INDIRECT("'Star Road Flow'!J"&amp;MATCH(AO$15,'Star Road Flow'!$E:$E,0)+($N38-2022)))</f>
        <v>0.56635007808952453</v>
      </c>
      <c r="AP38" cm="1">
        <f t="array" aca="1" ref="AP38" ca="1">INDIRECT("'Basin Weights'!L"&amp;MATCH(AP$15,'Basin Weights'!$E:$E,0)+($N38-2022))*(1-INDIRECT("'Star Road Flow'!J"&amp;MATCH(AP$15,'Star Road Flow'!$E:$E,0)+($N38-2022)))</f>
        <v>0.64767926874459225</v>
      </c>
      <c r="AQ38" cm="1">
        <f t="array" aca="1" ref="AQ38" ca="1">INDIRECT("'Basin Weights'!L"&amp;MATCH(AQ$15,'Basin Weights'!$E:$E,0)+($N38-2022))*(1-INDIRECT("'Star Road Flow'!J"&amp;MATCH(AQ$15,'Star Road Flow'!$E:$E,0)+($N38-2022)))</f>
        <v>0.63087450831564718</v>
      </c>
      <c r="AR38" cm="1">
        <f t="array" aca="1" ref="AR38" ca="1">INDIRECT("'Basin Weights'!L"&amp;MATCH(AR$15,'Basin Weights'!$E:$E,0)+($N38-2022))*(1-INDIRECT("'Star Road Flow'!J"&amp;MATCH(AR$15,'Star Road Flow'!$E:$E,0)+($N38-2022)))</f>
        <v>0.48720518482177799</v>
      </c>
      <c r="AS38" cm="1">
        <f t="array" aca="1" ref="AS38" ca="1">INDIRECT("'Basin Weights'!L"&amp;MATCH(AS$15,'Basin Weights'!$E:$E,0)+($N38-2022))*(1-INDIRECT("'Star Road Flow'!J"&amp;MATCH(AS$15,'Star Road Flow'!$E:$E,0)+($N38-2022)))</f>
        <v>0.48720518482340813</v>
      </c>
      <c r="AT38" cm="1">
        <f t="array" aca="1" ref="AT38" ca="1">INDIRECT("'Basin Weights'!L"&amp;MATCH(AT$15,'Basin Weights'!$E:$E,0)+($N38-2022))*(1-INDIRECT("'Star Road Flow'!J"&amp;MATCH(AT$15,'Star Road Flow'!$E:$E,0)+($N38-2022)))</f>
        <v>0.46930906975444275</v>
      </c>
      <c r="AV38" cm="1">
        <f t="array" aca="1" ref="AV38" ca="1">INDIRECT("'Basin Weights'!L"&amp;MATCH(AV$15,'Basin Weights'!$E:$E,0)+($N38-2022))*INDIRECT("'Star Road Flow'!J"&amp;MATCH(AV$15,'Star Road Flow'!$E:$E,0)+($N38-2022))</f>
        <v>1.3015784131865932E-2</v>
      </c>
      <c r="AW38" cm="1">
        <f t="array" aca="1" ref="AW38" ca="1">INDIRECT("'Basin Weights'!L"&amp;MATCH(AW$15,'Basin Weights'!$E:$E,0)+($N38-2022))*INDIRECT("'Star Road Flow'!J"&amp;MATCH(AW$15,'Star Road Flow'!$E:$E,0)+($N38-2022))</f>
        <v>1.6678542100488455E-2</v>
      </c>
      <c r="AX38" cm="1">
        <f t="array" aca="1" ref="AX38" ca="1">INDIRECT("'Basin Weights'!L"&amp;MATCH(AX$15,'Basin Weights'!$E:$E,0)+($N38-2022))*INDIRECT("'Star Road Flow'!J"&amp;MATCH(AX$15,'Star Road Flow'!$E:$E,0)+($N38-2022))</f>
        <v>1.7684894451304972E-2</v>
      </c>
      <c r="AY38" cm="1">
        <f t="array" aca="1" ref="AY38" ca="1">INDIRECT("'Basin Weights'!L"&amp;MATCH(AY$15,'Basin Weights'!$E:$E,0)+($N38-2022))*INDIRECT("'Star Road Flow'!J"&amp;MATCH(AY$15,'Star Road Flow'!$E:$E,0)+($N38-2022))</f>
        <v>2.100482990319754E-2</v>
      </c>
      <c r="AZ38" cm="1">
        <f t="array" aca="1" ref="AZ38" ca="1">INDIRECT("'Basin Weights'!L"&amp;MATCH(AZ$15,'Basin Weights'!$E:$E,0)+($N38-2022))*INDIRECT("'Star Road Flow'!J"&amp;MATCH(AZ$15,'Star Road Flow'!$E:$E,0)+($N38-2022))</f>
        <v>1.9290770372787508E-2</v>
      </c>
      <c r="BA38" cm="1">
        <f t="array" aca="1" ref="BA38" ca="1">INDIRECT("'Basin Weights'!L"&amp;MATCH(BA$15,'Basin Weights'!$E:$E,0)+($N38-2022))*INDIRECT("'Star Road Flow'!J"&amp;MATCH(BA$15,'Star Road Flow'!$E:$E,0)+($N38-2022))</f>
        <v>2.3983441255407682E-2</v>
      </c>
      <c r="BB38" cm="1">
        <f t="array" aca="1" ref="BB38" ca="1">INDIRECT("'Basin Weights'!L"&amp;MATCH(BB$15,'Basin Weights'!$E:$E,0)+($N38-2022))*INDIRECT("'Star Road Flow'!J"&amp;MATCH(BB$15,'Star Road Flow'!$E:$E,0)+($N38-2022))</f>
        <v>4.501778669919683E-2</v>
      </c>
      <c r="BC38" cm="1">
        <f t="array" aca="1" ref="BC38" ca="1">INDIRECT("'Basin Weights'!L"&amp;MATCH(BC$15,'Basin Weights'!$E:$E,0)+($N38-2022))*INDIRECT("'Star Road Flow'!J"&amp;MATCH(BC$15,'Star Road Flow'!$E:$E,0)+($N38-2022))</f>
        <v>1.6414592879804984E-2</v>
      </c>
      <c r="BD38" cm="1">
        <f t="array" aca="1" ref="BD38" ca="1">INDIRECT("'Basin Weights'!L"&amp;MATCH(BD$15,'Basin Weights'!$E:$E,0)+($N38-2022))*INDIRECT("'Star Road Flow'!J"&amp;MATCH(BD$15,'Star Road Flow'!$E:$E,0)+($N38-2022))</f>
        <v>1.6414592879859906E-2</v>
      </c>
      <c r="BE38" cm="1">
        <f t="array" aca="1" ref="BE38" ca="1">INDIRECT("'Basin Weights'!L"&amp;MATCH(BE$15,'Basin Weights'!$E:$E,0)+($N38-2022))*INDIRECT("'Star Road Flow'!J"&amp;MATCH(BE$15,'Star Road Flow'!$E:$E,0)+($N38-2022))</f>
        <v>1.5811648879798273E-2</v>
      </c>
      <c r="BG38" cm="1">
        <f t="array" aca="1" ref="BG38" ca="1">INDIRECT("'Basin Weights'!M"&amp;MATCH(BG$15,'Basin Weights'!$E:$E,0)+($N38-2022))</f>
        <v>0.27817222000000003</v>
      </c>
      <c r="BH38" cm="1">
        <f t="array" aca="1" ref="BH38" ca="1">INDIRECT("'Basin Weights'!M"&amp;MATCH(BH$15,'Basin Weights'!$E:$E,0)+($N38-2022))</f>
        <v>0.15234825859332801</v>
      </c>
      <c r="BI38" cm="1">
        <f t="array" aca="1" ref="BI38" ca="1">INDIRECT("'Basin Weights'!M"&amp;MATCH(BI$15,'Basin Weights'!$E:$E,0)+($N38-2022))</f>
        <v>0.115197672161304</v>
      </c>
      <c r="BJ38" cm="1">
        <f t="array" aca="1" ref="BJ38" ca="1">INDIRECT("'Basin Weights'!M"&amp;MATCH(BJ$15,'Basin Weights'!$E:$E,0)+($N38-2022))</f>
        <v>8.9280533164215803E-2</v>
      </c>
      <c r="BK38" cm="1">
        <f t="array" aca="1" ref="BK38" ca="1">INDIRECT("'Basin Weights'!M"&amp;MATCH(BK$15,'Basin Weights'!$E:$E,0)+($N38-2022))</f>
        <v>7.9374714607413396E-2</v>
      </c>
      <c r="BL38" cm="1">
        <f t="array" aca="1" ref="BL38" ca="1">INDIRECT("'Basin Weights'!M"&amp;MATCH(BL$15,'Basin Weights'!$E:$E,0)+($N38-2022))</f>
        <v>1.7121239999999999E-2</v>
      </c>
      <c r="BM38" cm="1">
        <f t="array" aca="1" ref="BM38" ca="1">INDIRECT("'Basin Weights'!M"&amp;MATCH(BM$15,'Basin Weights'!$E:$E,0)+($N38-2022))</f>
        <v>0</v>
      </c>
      <c r="BN38" cm="1">
        <f t="array" aca="1" ref="BN38" ca="1">INDIRECT("'Basin Weights'!M"&amp;MATCH(BN$15,'Basin Weights'!$E:$E,0)+($N38-2022))</f>
        <v>0.15938097041961899</v>
      </c>
      <c r="BO38" cm="1">
        <f t="array" aca="1" ref="BO38" ca="1">INDIRECT("'Basin Weights'!M"&amp;MATCH(BO$15,'Basin Weights'!$E:$E,0)+($N38-2022))</f>
        <v>0.15938097042015301</v>
      </c>
      <c r="BP38" cm="1">
        <f t="array" aca="1" ref="BP38" ca="1">INDIRECT("'Basin Weights'!M"&amp;MATCH(BP$15,'Basin Weights'!$E:$E,0)+($N38-2022))</f>
        <v>0.181866975678458</v>
      </c>
      <c r="BR38" cm="1">
        <f t="array" aca="1" ref="BR38" ca="1">INDIRECT("'Basin Weights'!N"&amp;MATCH(BR$15,'Basin Weights'!$E:$E,0)+($N38-2022))</f>
        <v>0.21646962</v>
      </c>
      <c r="BS38" cm="1">
        <f t="array" aca="1" ref="BS38" ca="1">INDIRECT("'Basin Weights'!N"&amp;MATCH(BS$15,'Basin Weights'!$E:$E,0)+($N38-2022))</f>
        <v>0.20008128609950601</v>
      </c>
      <c r="BT38" cm="1">
        <f t="array" aca="1" ref="BT38" ca="1">INDIRECT("'Basin Weights'!N"&amp;MATCH(BT$15,'Basin Weights'!$E:$E,0)+($N38-2022))</f>
        <v>0.19815867020417599</v>
      </c>
      <c r="BU38" cm="1">
        <f t="array" aca="1" ref="BU38" ca="1">INDIRECT("'Basin Weights'!N"&amp;MATCH(BU$15,'Basin Weights'!$E:$E,0)+($N38-2022))</f>
        <v>0.15083255120837899</v>
      </c>
      <c r="BV38" cm="1">
        <f t="array" aca="1" ref="BV38" ca="1">INDIRECT("'Basin Weights'!N"&amp;MATCH(BV$15,'Basin Weights'!$E:$E,0)+($N38-2022))</f>
        <v>0.17785455719504401</v>
      </c>
      <c r="BW38" cm="1">
        <f t="array" aca="1" ref="BW38" ca="1">INDIRECT("'Basin Weights'!N"&amp;MATCH(BW$15,'Basin Weights'!$E:$E,0)+($N38-2022))</f>
        <v>0.11586276</v>
      </c>
      <c r="BX38" cm="1">
        <f t="array" aca="1" ref="BX38" ca="1">INDIRECT("'Basin Weights'!N"&amp;MATCH(BX$15,'Basin Weights'!$E:$E,0)+($N38-2022))</f>
        <v>0</v>
      </c>
      <c r="BY38" cm="1">
        <f t="array" aca="1" ref="BY38" ca="1">INDIRECT("'Basin Weights'!N"&amp;MATCH(BY$15,'Basin Weights'!$E:$E,0)+($N38-2022))</f>
        <v>0.20329681515579001</v>
      </c>
      <c r="BZ38" cm="1">
        <f t="array" aca="1" ref="BZ38" ca="1">INDIRECT("'Basin Weights'!N"&amp;MATCH(BZ$15,'Basin Weights'!$E:$E,0)+($N38-2022))</f>
        <v>0.20329681515312301</v>
      </c>
      <c r="CA38" cm="1">
        <f t="array" aca="1" ref="CA38" ca="1">INDIRECT("'Basin Weights'!N"&amp;MATCH(CA$15,'Basin Weights'!$E:$E,0)+($N38-2022))</f>
        <v>0.20422105272612701</v>
      </c>
      <c r="CC38" cm="1">
        <f t="array" aca="1" ref="CC38" ca="1">INDIRECT("'Basin Weights'!O"&amp;MATCH(CC$15,'Basin Weights'!$E:$E,0)+($N38-2022))</f>
        <v>0.10601798</v>
      </c>
      <c r="CD38" cm="1">
        <f t="array" aca="1" ref="CD38" ca="1">INDIRECT("'Basin Weights'!O"&amp;MATCH(CD$15,'Basin Weights'!$E:$E,0)+($N38-2022))</f>
        <v>0.135852392816037</v>
      </c>
      <c r="CE38" cm="1">
        <f t="array" aca="1" ref="CE38" ca="1">INDIRECT("'Basin Weights'!O"&amp;MATCH(CE$15,'Basin Weights'!$E:$E,0)+($N38-2022))</f>
        <v>0.144049474674316</v>
      </c>
      <c r="CF38" cm="1">
        <f t="array" aca="1" ref="CF38" ca="1">INDIRECT("'Basin Weights'!O"&amp;MATCH(CF$15,'Basin Weights'!$E:$E,0)+($N38-2022))</f>
        <v>0.16713240450465899</v>
      </c>
      <c r="CG38" cm="1">
        <f t="array" aca="1" ref="CG38" ca="1">INDIRECT("'Basin Weights'!O"&amp;MATCH(CG$15,'Basin Weights'!$E:$E,0)+($N38-2022))</f>
        <v>0.15712987973522999</v>
      </c>
      <c r="CH38" cm="1">
        <f t="array" aca="1" ref="CH38" ca="1">INDIRECT("'Basin Weights'!O"&amp;MATCH(CH$15,'Basin Weights'!$E:$E,0)+($N38-2022))</f>
        <v>0.19535327999999999</v>
      </c>
      <c r="CI38" cm="1">
        <f t="array" aca="1" ref="CI38" ca="1">INDIRECT("'Basin Weights'!O"&amp;MATCH(CI$15,'Basin Weights'!$E:$E,0)+($N38-2022))</f>
        <v>0.32410770498515501</v>
      </c>
      <c r="CJ38" cm="1">
        <f t="array" aca="1" ref="CJ38" ca="1">INDIRECT("'Basin Weights'!O"&amp;MATCH(CJ$15,'Basin Weights'!$E:$E,0)+($N38-2022))</f>
        <v>0.13370243672300799</v>
      </c>
      <c r="CK38" cm="1">
        <f t="array" aca="1" ref="CK38" ca="1">INDIRECT("'Basin Weights'!O"&amp;MATCH(CK$15,'Basin Weights'!$E:$E,0)+($N38-2022))</f>
        <v>0.133702436723456</v>
      </c>
      <c r="CL38" cm="1">
        <f t="array" aca="1" ref="CL38" ca="1">INDIRECT("'Basin Weights'!O"&amp;MATCH(CL$15,'Basin Weights'!$E:$E,0)+($N38-2022))</f>
        <v>0.128791252961174</v>
      </c>
      <c r="CN38">
        <f t="shared" ca="1" si="5"/>
        <v>0.99999998999999984</v>
      </c>
      <c r="CO38">
        <f t="shared" ca="1" si="24"/>
        <v>1</v>
      </c>
      <c r="CP38">
        <f t="shared" ca="1" si="25"/>
        <v>1</v>
      </c>
      <c r="CQ38">
        <f t="shared" ca="1" si="26"/>
        <v>0.99999999999999978</v>
      </c>
      <c r="CR38">
        <f t="shared" ca="1" si="27"/>
        <v>0.99999999999999944</v>
      </c>
      <c r="CS38">
        <f t="shared" ca="1" si="28"/>
        <v>0.99999998999999984</v>
      </c>
      <c r="CT38">
        <f t="shared" ca="1" si="29"/>
        <v>0.999999999999999</v>
      </c>
      <c r="CU38">
        <f t="shared" ca="1" si="30"/>
        <v>0.99999999999999989</v>
      </c>
      <c r="CV38">
        <f t="shared" ca="1" si="31"/>
        <v>1</v>
      </c>
      <c r="CW38">
        <f t="shared" ca="1" si="32"/>
        <v>1</v>
      </c>
    </row>
    <row r="39" spans="2:101" x14ac:dyDescent="0.25">
      <c r="B39">
        <v>2045</v>
      </c>
      <c r="C39" s="69">
        <f>'Gas Supply Commodity Costs'!I25/'Conventional Supply Quantities'!I25</f>
        <v>4.2477143145703815</v>
      </c>
      <c r="D39" s="69">
        <f>'Gas Supply Commodity Costs'!J25/'Conventional Supply Quantities'!J25</f>
        <v>4.1794968554436078</v>
      </c>
      <c r="E39" s="69">
        <f>'Gas Supply Commodity Costs'!K25/'Conventional Supply Quantities'!K25</f>
        <v>4.1603816517039016</v>
      </c>
      <c r="F39" s="69">
        <f>'Gas Supply Commodity Costs'!L25/'Conventional Supply Quantities'!L25</f>
        <v>4.0463162121279188</v>
      </c>
      <c r="G39" s="69">
        <f>'Gas Supply Commodity Costs'!M25/'Conventional Supply Quantities'!M25</f>
        <v>4.1162897818866853</v>
      </c>
      <c r="H39" s="69">
        <f>'Gas Supply Commodity Costs'!N25/'Conventional Supply Quantities'!N25</f>
        <v>4.0280424318304906</v>
      </c>
      <c r="I39" s="69">
        <f>'Gas Supply Commodity Costs'!O25/'Conventional Supply Quantities'!O25</f>
        <v>3.7042426896185447</v>
      </c>
      <c r="J39" s="69">
        <f>'Gas Supply Commodity Costs'!P25/'Conventional Supply Quantities'!P25</f>
        <v>4.1875574281948182</v>
      </c>
      <c r="K39" s="69">
        <f>'Gas Supply Commodity Costs'!Q25/'Conventional Supply Quantities'!Q25</f>
        <v>4.1875574281765635</v>
      </c>
      <c r="L39" s="69">
        <f>'Gas Supply Commodity Costs'!R25/'Conventional Supply Quantities'!R25</f>
        <v>4.2057107776092151</v>
      </c>
      <c r="N39">
        <v>2045</v>
      </c>
      <c r="O39" s="69">
        <f t="shared" ca="1" si="3"/>
        <v>1.7536931611050459E-2</v>
      </c>
      <c r="P39" s="69">
        <f t="shared" ca="1" si="6"/>
        <v>1.9887645460352751E-2</v>
      </c>
      <c r="Q39" s="69">
        <f t="shared" ca="1" si="7"/>
        <v>2.0572112040498879E-2</v>
      </c>
      <c r="R39" s="69">
        <f t="shared" ca="1" si="8"/>
        <v>2.2085663279778654E-2</v>
      </c>
      <c r="S39" s="69">
        <f t="shared" ca="1" si="9"/>
        <v>2.1515221961090993E-2</v>
      </c>
      <c r="T39" s="69">
        <f t="shared" ca="1" si="10"/>
        <v>2.3982419800398107E-2</v>
      </c>
      <c r="U39" s="69">
        <f t="shared" ca="1" si="11"/>
        <v>3.143044897223584E-2</v>
      </c>
      <c r="V39" s="69">
        <f t="shared" ca="1" si="12"/>
        <v>1.9747465413201638E-2</v>
      </c>
      <c r="W39" s="69">
        <f t="shared" ca="1" si="13"/>
        <v>1.974746541330609E-2</v>
      </c>
      <c r="X39" s="69">
        <f t="shared" ca="1" si="14"/>
        <v>1.9357976668666715E-2</v>
      </c>
      <c r="Z39" s="71">
        <f t="shared" ca="1" si="4"/>
        <v>2.2104281922360039E-2</v>
      </c>
      <c r="AA39" s="71">
        <f t="shared" ca="1" si="15"/>
        <v>2.6054135820998324E-2</v>
      </c>
      <c r="AB39" s="71">
        <f t="shared" ca="1" si="16"/>
        <v>2.7204230199979879E-2</v>
      </c>
      <c r="AC39" s="71">
        <f t="shared" ca="1" si="17"/>
        <v>2.9141237041986044E-2</v>
      </c>
      <c r="AD39" s="71">
        <f t="shared" ca="1" si="18"/>
        <v>2.8556087279627648E-2</v>
      </c>
      <c r="AE39" s="71">
        <f t="shared" ca="1" si="19"/>
        <v>3.1986563275433436E-2</v>
      </c>
      <c r="AF39" s="71">
        <f t="shared" ca="1" si="20"/>
        <v>3.4991548106158142E-2</v>
      </c>
      <c r="AG39" s="71">
        <f t="shared" ca="1" si="21"/>
        <v>2.5818594322040974E-2</v>
      </c>
      <c r="AH39" s="71">
        <f t="shared" ca="1" si="22"/>
        <v>2.5818594322216438E-2</v>
      </c>
      <c r="AI39" s="71">
        <f t="shared" ca="1" si="23"/>
        <v>2.5164144815287046E-2</v>
      </c>
      <c r="AK39" cm="1">
        <f t="array" aca="1" ref="AK39" ca="1">INDIRECT("'Basin Weights'!L"&amp;MATCH(AK$15,'Basin Weights'!$E:$E,0)+($N39-2022))*(1-INDIRECT("'Star Road Flow'!J"&amp;MATCH(AK$15,'Star Road Flow'!$E:$E,0)+($N39-2022)))</f>
        <v>0.38653629787516314</v>
      </c>
      <c r="AL39" cm="1">
        <f t="array" aca="1" ref="AL39" ca="1">INDIRECT("'Basin Weights'!L"&amp;MATCH(AL$15,'Basin Weights'!$E:$E,0)+($N39-2022))*(1-INDIRECT("'Star Road Flow'!J"&amp;MATCH(AL$15,'Star Road Flow'!$E:$E,0)+($N39-2022)))</f>
        <v>0.49959391909202611</v>
      </c>
      <c r="AM39" cm="1">
        <f t="array" aca="1" ref="AM39" ca="1">INDIRECT("'Basin Weights'!L"&amp;MATCH(AM$15,'Basin Weights'!$E:$E,0)+($N39-2022))*(1-INDIRECT("'Star Road Flow'!J"&amp;MATCH(AM$15,'Star Road Flow'!$E:$E,0)+($N39-2022)))</f>
        <v>0.53251334655688265</v>
      </c>
      <c r="AN39" cm="1">
        <f t="array" aca="1" ref="AN39" ca="1">INDIRECT("'Basin Weights'!L"&amp;MATCH(AN$15,'Basin Weights'!$E:$E,0)+($N39-2022))*(1-INDIRECT("'Star Road Flow'!J"&amp;MATCH(AN$15,'Star Road Flow'!$E:$E,0)+($N39-2022)))</f>
        <v>0.57984135931922076</v>
      </c>
      <c r="AO39" cm="1">
        <f t="array" aca="1" ref="AO39" ca="1">INDIRECT("'Basin Weights'!L"&amp;MATCH(AO$15,'Basin Weights'!$E:$E,0)+($N39-2022))*(1-INDIRECT("'Star Road Flow'!J"&amp;MATCH(AO$15,'Star Road Flow'!$E:$E,0)+($N39-2022)))</f>
        <v>0.56825565102383602</v>
      </c>
      <c r="AP39" cm="1">
        <f t="array" aca="1" ref="AP39" ca="1">INDIRECT("'Basin Weights'!L"&amp;MATCH(AP$15,'Basin Weights'!$E:$E,0)+($N39-2022))*(1-INDIRECT("'Star Road Flow'!J"&amp;MATCH(AP$15,'Star Road Flow'!$E:$E,0)+($N39-2022)))</f>
        <v>0.65706133085646745</v>
      </c>
      <c r="AQ39" cm="1">
        <f t="array" aca="1" ref="AQ39" ca="1">INDIRECT("'Basin Weights'!L"&amp;MATCH(AQ$15,'Basin Weights'!$E:$E,0)+($N39-2022))*(1-INDIRECT("'Star Road Flow'!J"&amp;MATCH(AQ$15,'Star Road Flow'!$E:$E,0)+($N39-2022)))</f>
        <v>0.61254884050691871</v>
      </c>
      <c r="AR39" cm="1">
        <f t="array" aca="1" ref="AR39" ca="1">INDIRECT("'Basin Weights'!L"&amp;MATCH(AR$15,'Basin Weights'!$E:$E,0)+($N39-2022))*(1-INDIRECT("'Star Road Flow'!J"&amp;MATCH(AR$15,'Star Road Flow'!$E:$E,0)+($N39-2022)))</f>
        <v>0.49285195823073102</v>
      </c>
      <c r="AS39" cm="1">
        <f t="array" aca="1" ref="AS39" ca="1">INDIRECT("'Basin Weights'!L"&amp;MATCH(AS$15,'Basin Weights'!$E:$E,0)+($N39-2022))*(1-INDIRECT("'Star Road Flow'!J"&amp;MATCH(AS$15,'Star Road Flow'!$E:$E,0)+($N39-2022)))</f>
        <v>0.49285195823575284</v>
      </c>
      <c r="AT39" cm="1">
        <f t="array" aca="1" ref="AT39" ca="1">INDIRECT("'Basin Weights'!L"&amp;MATCH(AT$15,'Basin Weights'!$E:$E,0)+($N39-2022))*(1-INDIRECT("'Star Road Flow'!J"&amp;MATCH(AT$15,'Star Road Flow'!$E:$E,0)+($N39-2022)))</f>
        <v>0.47411949291247191</v>
      </c>
      <c r="AV39" cm="1">
        <f t="array" aca="1" ref="AV39" ca="1">INDIRECT("'Basin Weights'!L"&amp;MATCH(AV$15,'Basin Weights'!$E:$E,0)+($N39-2022))*INDIRECT("'Star Road Flow'!J"&amp;MATCH(AV$15,'Star Road Flow'!$E:$E,0)+($N39-2022))</f>
        <v>1.3026642124836866E-2</v>
      </c>
      <c r="AW39" cm="1">
        <f t="array" aca="1" ref="AW39" ca="1">INDIRECT("'Basin Weights'!L"&amp;MATCH(AW$15,'Basin Weights'!$E:$E,0)+($N39-2022))*INDIRECT("'Star Road Flow'!J"&amp;MATCH(AW$15,'Star Road Flow'!$E:$E,0)+($N39-2022))</f>
        <v>1.6836791855077943E-2</v>
      </c>
      <c r="AX39" cm="1">
        <f t="array" aca="1" ref="AX39" ca="1">INDIRECT("'Basin Weights'!L"&amp;MATCH(AX$15,'Basin Weights'!$E:$E,0)+($N39-2022))*INDIRECT("'Star Road Flow'!J"&amp;MATCH(AX$15,'Star Road Flow'!$E:$E,0)+($N39-2022))</f>
        <v>1.7946207976918354E-2</v>
      </c>
      <c r="AY39" cm="1">
        <f t="array" aca="1" ref="AY39" ca="1">INDIRECT("'Basin Weights'!L"&amp;MATCH(AY$15,'Basin Weights'!$E:$E,0)+($N39-2022))*INDIRECT("'Star Road Flow'!J"&amp;MATCH(AY$15,'Star Road Flow'!$E:$E,0)+($N39-2022))</f>
        <v>2.1250536019169305E-2</v>
      </c>
      <c r="AZ39" cm="1">
        <f t="array" aca="1" ref="AZ39" ca="1">INDIRECT("'Basin Weights'!L"&amp;MATCH(AZ$15,'Basin Weights'!$E:$E,0)+($N39-2022))*INDIRECT("'Star Road Flow'!J"&amp;MATCH(AZ$15,'Star Road Flow'!$E:$E,0)+($N39-2022))</f>
        <v>1.9594307836222041E-2</v>
      </c>
      <c r="BA39" cm="1">
        <f t="array" aca="1" ref="BA39" ca="1">INDIRECT("'Basin Weights'!L"&amp;MATCH(BA$15,'Basin Weights'!$E:$E,0)+($N39-2022))*INDIRECT("'Star Road Flow'!J"&amp;MATCH(BA$15,'Star Road Flow'!$E:$E,0)+($N39-2022))</f>
        <v>2.4360749143532642E-2</v>
      </c>
      <c r="BB39" cm="1">
        <f t="array" aca="1" ref="BB39" ca="1">INDIRECT("'Basin Weights'!L"&amp;MATCH(BB$15,'Basin Weights'!$E:$E,0)+($N39-2022))*INDIRECT("'Star Road Flow'!J"&amp;MATCH(BB$15,'Star Road Flow'!$E:$E,0)+($N39-2022))</f>
        <v>5.3824488634528302E-2</v>
      </c>
      <c r="BC39" cm="1">
        <f t="array" aca="1" ref="BC39" ca="1">INDIRECT("'Basin Weights'!L"&amp;MATCH(BC$15,'Basin Weights'!$E:$E,0)+($N39-2022))*INDIRECT("'Star Road Flow'!J"&amp;MATCH(BC$15,'Star Road Flow'!$E:$E,0)+($N39-2022))</f>
        <v>1.6609581339939953E-2</v>
      </c>
      <c r="BD39" cm="1">
        <f t="array" aca="1" ref="BD39" ca="1">INDIRECT("'Basin Weights'!L"&amp;MATCH(BD$15,'Basin Weights'!$E:$E,0)+($N39-2022))*INDIRECT("'Star Road Flow'!J"&amp;MATCH(BD$15,'Star Road Flow'!$E:$E,0)+($N39-2022))</f>
        <v>1.6609581340109193E-2</v>
      </c>
      <c r="BE39" cm="1">
        <f t="array" aca="1" ref="BE39" ca="1">INDIRECT("'Basin Weights'!L"&amp;MATCH(BE$15,'Basin Weights'!$E:$E,0)+($N39-2022))*INDIRECT("'Star Road Flow'!J"&amp;MATCH(BE$15,'Star Road Flow'!$E:$E,0)+($N39-2022))</f>
        <v>1.597827938160307E-2</v>
      </c>
      <c r="BG39" cm="1">
        <f t="array" aca="1" ref="BG39" ca="1">INDIRECT("'Basin Weights'!M"&amp;MATCH(BG$15,'Basin Weights'!$E:$E,0)+($N39-2022))</f>
        <v>0.30065867000000002</v>
      </c>
      <c r="BH39" cm="1">
        <f t="array" aca="1" ref="BH39" ca="1">INDIRECT("'Basin Weights'!M"&amp;MATCH(BH$15,'Basin Weights'!$E:$E,0)+($N39-2022))</f>
        <v>0.18393664338120899</v>
      </c>
      <c r="BI39" cm="1">
        <f t="array" aca="1" ref="BI39" ca="1">INDIRECT("'Basin Weights'!M"&amp;MATCH(BI$15,'Basin Weights'!$E:$E,0)+($N39-2022))</f>
        <v>0.145669648999493</v>
      </c>
      <c r="BJ39" cm="1">
        <f t="array" aca="1" ref="BJ39" ca="1">INDIRECT("'Basin Weights'!M"&amp;MATCH(BJ$15,'Basin Weights'!$E:$E,0)+($N39-2022))</f>
        <v>8.0048366045276306E-2</v>
      </c>
      <c r="BK39" cm="1">
        <f t="array" aca="1" ref="BK39" ca="1">INDIRECT("'Basin Weights'!M"&amp;MATCH(BK$15,'Basin Weights'!$E:$E,0)+($N39-2022))</f>
        <v>0.107963719488072</v>
      </c>
      <c r="BL39" cm="1">
        <f t="array" aca="1" ref="BL39" ca="1">INDIRECT("'Basin Weights'!M"&amp;MATCH(BL$15,'Basin Weights'!$E:$E,0)+($N39-2022))</f>
        <v>8.6043000000000005E-3</v>
      </c>
      <c r="BM39" cm="1">
        <f t="array" aca="1" ref="BM39" ca="1">INDIRECT("'Basin Weights'!M"&amp;MATCH(BM$15,'Basin Weights'!$E:$E,0)+($N39-2022))</f>
        <v>0</v>
      </c>
      <c r="BN39" cm="1">
        <f t="array" aca="1" ref="BN39" ca="1">INDIRECT("'Basin Weights'!M"&amp;MATCH(BN$15,'Basin Weights'!$E:$E,0)+($N39-2022))</f>
        <v>0.18831913856765201</v>
      </c>
      <c r="BO39" cm="1">
        <f t="array" aca="1" ref="BO39" ca="1">INDIRECT("'Basin Weights'!M"&amp;MATCH(BO$15,'Basin Weights'!$E:$E,0)+($N39-2022))</f>
        <v>0.18831913856277799</v>
      </c>
      <c r="BP39" cm="1">
        <f t="array" aca="1" ref="BP39" ca="1">INDIRECT("'Basin Weights'!M"&amp;MATCH(BP$15,'Basin Weights'!$E:$E,0)+($N39-2022))</f>
        <v>0.209373286182509</v>
      </c>
      <c r="BR39" cm="1">
        <f t="array" aca="1" ref="BR39" ca="1">INDIRECT("'Basin Weights'!N"&amp;MATCH(BR$15,'Basin Weights'!$E:$E,0)+($N39-2022))</f>
        <v>0.19367197</v>
      </c>
      <c r="BS39" cm="1">
        <f t="array" aca="1" ref="BS39" ca="1">INDIRECT("'Basin Weights'!N"&amp;MATCH(BS$15,'Basin Weights'!$E:$E,0)+($N39-2022))</f>
        <v>0.16249125483090299</v>
      </c>
      <c r="BT39" cm="1">
        <f t="array" aca="1" ref="BT39" ca="1">INDIRECT("'Basin Weights'!N"&amp;MATCH(BT$15,'Basin Weights'!$E:$E,0)+($N39-2022))</f>
        <v>0.15769283433134301</v>
      </c>
      <c r="BU39" cm="1">
        <f t="array" aca="1" ref="BU39" ca="1">INDIRECT("'Basin Weights'!N"&amp;MATCH(BU$15,'Basin Weights'!$E:$E,0)+($N39-2022))</f>
        <v>0.15014973558474601</v>
      </c>
      <c r="BV39" cm="1">
        <f t="array" aca="1" ref="BV39" ca="1">INDIRECT("'Basin Weights'!N"&amp;MATCH(BV$15,'Basin Weights'!$E:$E,0)+($N39-2022))</f>
        <v>0.14458402613521501</v>
      </c>
      <c r="BW39" cm="1">
        <f t="array" aca="1" ref="BW39" ca="1">INDIRECT("'Basin Weights'!N"&amp;MATCH(BW$15,'Basin Weights'!$E:$E,0)+($N39-2022))</f>
        <v>0.11479787</v>
      </c>
      <c r="BX39" cm="1">
        <f t="array" aca="1" ref="BX39" ca="1">INDIRECT("'Basin Weights'!N"&amp;MATCH(BX$15,'Basin Weights'!$E:$E,0)+($N39-2022))</f>
        <v>0</v>
      </c>
      <c r="BY39" cm="1">
        <f t="array" aca="1" ref="BY39" ca="1">INDIRECT("'Basin Weights'!N"&amp;MATCH(BY$15,'Basin Weights'!$E:$E,0)+($N39-2022))</f>
        <v>0.16692863787335499</v>
      </c>
      <c r="BZ39" cm="1">
        <f t="array" aca="1" ref="BZ39" ca="1">INDIRECT("'Basin Weights'!N"&amp;MATCH(BZ$15,'Basin Weights'!$E:$E,0)+($N39-2022))</f>
        <v>0.16692863787166001</v>
      </c>
      <c r="CA39" cm="1">
        <f t="array" aca="1" ref="CA39" ca="1">INDIRECT("'Basin Weights'!N"&amp;MATCH(CA$15,'Basin Weights'!$E:$E,0)+($N39-2022))</f>
        <v>0.170380426503626</v>
      </c>
      <c r="CC39" cm="1">
        <f t="array" aca="1" ref="CC39" ca="1">INDIRECT("'Basin Weights'!O"&amp;MATCH(CC$15,'Basin Weights'!$E:$E,0)+($N39-2022))</f>
        <v>0.10610643</v>
      </c>
      <c r="CD39" cm="1">
        <f t="array" aca="1" ref="CD39" ca="1">INDIRECT("'Basin Weights'!O"&amp;MATCH(CD$15,'Basin Weights'!$E:$E,0)+($N39-2022))</f>
        <v>0.137141390840785</v>
      </c>
      <c r="CE39" cm="1">
        <f t="array" aca="1" ref="CE39" ca="1">INDIRECT("'Basin Weights'!O"&amp;MATCH(CE$15,'Basin Weights'!$E:$E,0)+($N39-2022))</f>
        <v>0.14617796213536299</v>
      </c>
      <c r="CF39" cm="1">
        <f t="array" aca="1" ref="CF39" ca="1">INDIRECT("'Basin Weights'!O"&amp;MATCH(CF$15,'Basin Weights'!$E:$E,0)+($N39-2022))</f>
        <v>0.16871000303158801</v>
      </c>
      <c r="CG39" cm="1">
        <f t="array" aca="1" ref="CG39" ca="1">INDIRECT("'Basin Weights'!O"&amp;MATCH(CG$15,'Basin Weights'!$E:$E,0)+($N39-2022))</f>
        <v>0.159602295516656</v>
      </c>
      <c r="CH39" cm="1">
        <f t="array" aca="1" ref="CH39" ca="1">INDIRECT("'Basin Weights'!O"&amp;MATCH(CH$15,'Basin Weights'!$E:$E,0)+($N39-2022))</f>
        <v>0.19517575000000001</v>
      </c>
      <c r="CI39" cm="1">
        <f t="array" aca="1" ref="CI39" ca="1">INDIRECT("'Basin Weights'!O"&amp;MATCH(CI$15,'Basin Weights'!$E:$E,0)+($N39-2022))</f>
        <v>0.33362667085855302</v>
      </c>
      <c r="CJ39" cm="1">
        <f t="array" aca="1" ref="CJ39" ca="1">INDIRECT("'Basin Weights'!O"&amp;MATCH(CJ$15,'Basin Weights'!$E:$E,0)+($N39-2022))</f>
        <v>0.135290683988322</v>
      </c>
      <c r="CK39" cm="1">
        <f t="array" aca="1" ref="CK39" ca="1">INDIRECT("'Basin Weights'!O"&amp;MATCH(CK$15,'Basin Weights'!$E:$E,0)+($N39-2022))</f>
        <v>0.13529068398970101</v>
      </c>
      <c r="CL39" cm="1">
        <f t="array" aca="1" ref="CL39" ca="1">INDIRECT("'Basin Weights'!O"&amp;MATCH(CL$15,'Basin Weights'!$E:$E,0)+($N39-2022))</f>
        <v>0.130148515019789</v>
      </c>
      <c r="CN39">
        <f t="shared" ca="1" si="5"/>
        <v>1.0000000099999999</v>
      </c>
      <c r="CO39">
        <f t="shared" ca="1" si="24"/>
        <v>1.0000000000000009</v>
      </c>
      <c r="CP39">
        <f t="shared" ca="1" si="25"/>
        <v>1</v>
      </c>
      <c r="CQ39">
        <f t="shared" ca="1" si="26"/>
        <v>1.0000000000000004</v>
      </c>
      <c r="CR39">
        <f t="shared" ca="1" si="27"/>
        <v>1.0000000000000009</v>
      </c>
      <c r="CS39">
        <f t="shared" ca="1" si="28"/>
        <v>1</v>
      </c>
      <c r="CT39">
        <f t="shared" ca="1" si="29"/>
        <v>1</v>
      </c>
      <c r="CU39">
        <f t="shared" ca="1" si="30"/>
        <v>1</v>
      </c>
      <c r="CV39">
        <f t="shared" ca="1" si="31"/>
        <v>1.0000000000000011</v>
      </c>
      <c r="CW39">
        <f t="shared" ca="1" si="32"/>
        <v>0.999999999999999</v>
      </c>
    </row>
    <row r="40" spans="2:101" x14ac:dyDescent="0.25">
      <c r="B40">
        <v>2046</v>
      </c>
      <c r="C40" s="69">
        <f>'Gas Supply Commodity Costs'!I26/'Conventional Supply Quantities'!I26</f>
        <v>4.2952060926700346</v>
      </c>
      <c r="D40" s="69">
        <f>'Gas Supply Commodity Costs'!J26/'Conventional Supply Quantities'!J26</f>
        <v>4.2236782297364108</v>
      </c>
      <c r="E40" s="69">
        <f>'Gas Supply Commodity Costs'!K26/'Conventional Supply Quantities'!K26</f>
        <v>4.20193038174693</v>
      </c>
      <c r="F40" s="69">
        <f>'Gas Supply Commodity Costs'!L26/'Conventional Supply Quantities'!L26</f>
        <v>4.0842935244163057</v>
      </c>
      <c r="G40" s="69">
        <f>'Gas Supply Commodity Costs'!M26/'Conventional Supply Quantities'!M26</f>
        <v>4.1560442184660618</v>
      </c>
      <c r="H40" s="69">
        <f>'Gas Supply Commodity Costs'!N26/'Conventional Supply Quantities'!N26</f>
        <v>4.0499394968297784</v>
      </c>
      <c r="I40" s="69">
        <f>'Gas Supply Commodity Costs'!O26/'Conventional Supply Quantities'!O26</f>
        <v>3.7609473941015636</v>
      </c>
      <c r="J40" s="69">
        <f>'Gas Supply Commodity Costs'!P26/'Conventional Supply Quantities'!P26</f>
        <v>4.2314922494557967</v>
      </c>
      <c r="K40" s="69">
        <f>'Gas Supply Commodity Costs'!Q26/'Conventional Supply Quantities'!Q26</f>
        <v>4.2314922494813354</v>
      </c>
      <c r="L40" s="69">
        <f>'Gas Supply Commodity Costs'!R26/'Conventional Supply Quantities'!R26</f>
        <v>4.2502675586419416</v>
      </c>
      <c r="N40">
        <v>2046</v>
      </c>
      <c r="O40" s="69">
        <f t="shared" ca="1" si="3"/>
        <v>1.7378592547405463E-2</v>
      </c>
      <c r="P40" s="69">
        <f t="shared" ca="1" si="6"/>
        <v>1.9732668416292287E-2</v>
      </c>
      <c r="Q40" s="69">
        <f t="shared" ca="1" si="7"/>
        <v>2.0465976200862417E-2</v>
      </c>
      <c r="R40" s="69">
        <f t="shared" ca="1" si="8"/>
        <v>2.2254091744444947E-2</v>
      </c>
      <c r="S40" s="69">
        <f t="shared" ca="1" si="9"/>
        <v>2.1405034949675873E-2</v>
      </c>
      <c r="T40" s="69">
        <f t="shared" ca="1" si="10"/>
        <v>2.4483622641540144E-2</v>
      </c>
      <c r="U40" s="69">
        <f t="shared" ca="1" si="11"/>
        <v>3.1618618912644211E-2</v>
      </c>
      <c r="V40" s="69">
        <f t="shared" ca="1" si="12"/>
        <v>1.9598341708195414E-2</v>
      </c>
      <c r="W40" s="69">
        <f t="shared" ca="1" si="13"/>
        <v>1.9598341708402817E-2</v>
      </c>
      <c r="X40" s="69">
        <f t="shared" ca="1" si="14"/>
        <v>1.9209012723694921E-2</v>
      </c>
      <c r="Z40" s="71">
        <f t="shared" ca="1" si="4"/>
        <v>2.1397005207824376E-2</v>
      </c>
      <c r="AA40" s="71">
        <f t="shared" ca="1" si="15"/>
        <v>2.5130030316364405E-2</v>
      </c>
      <c r="AB40" s="71">
        <f t="shared" ca="1" si="16"/>
        <v>2.6322968367931989E-2</v>
      </c>
      <c r="AC40" s="71">
        <f t="shared" ca="1" si="17"/>
        <v>2.9266540912746858E-2</v>
      </c>
      <c r="AD40" s="71">
        <f t="shared" ca="1" si="18"/>
        <v>2.7859473271456835E-2</v>
      </c>
      <c r="AE40" s="71">
        <f t="shared" ca="1" si="19"/>
        <v>3.2369725215366657E-2</v>
      </c>
      <c r="AF40" s="71">
        <f t="shared" ca="1" si="20"/>
        <v>3.4980546360580789E-2</v>
      </c>
      <c r="AG40" s="71">
        <f t="shared" ca="1" si="21"/>
        <v>2.4916288759310578E-2</v>
      </c>
      <c r="AH40" s="71">
        <f t="shared" ca="1" si="22"/>
        <v>2.4916288759645661E-2</v>
      </c>
      <c r="AI40" s="71">
        <f t="shared" ca="1" si="23"/>
        <v>2.4293212254510421E-2</v>
      </c>
      <c r="AK40" cm="1">
        <f t="array" aca="1" ref="AK40" ca="1">INDIRECT("'Basin Weights'!L"&amp;MATCH(AK$15,'Basin Weights'!$E:$E,0)+($N40-2022))*(1-INDIRECT("'Star Road Flow'!J"&amp;MATCH(AK$15,'Star Road Flow'!$E:$E,0)+($N40-2022)))</f>
        <v>0.36068906550195085</v>
      </c>
      <c r="AL40" cm="1">
        <f t="array" aca="1" ref="AL40" ca="1">INDIRECT("'Basin Weights'!L"&amp;MATCH(AL$15,'Basin Weights'!$E:$E,0)+($N40-2022))*(1-INDIRECT("'Star Road Flow'!J"&amp;MATCH(AL$15,'Star Road Flow'!$E:$E,0)+($N40-2022)))</f>
        <v>0.4646972058007966</v>
      </c>
      <c r="AM40" cm="1">
        <f t="array" aca="1" ref="AM40" ca="1">INDIRECT("'Basin Weights'!L"&amp;MATCH(AM$15,'Basin Weights'!$E:$E,0)+($N40-2022))*(1-INDIRECT("'Star Road Flow'!J"&amp;MATCH(AM$15,'Star Road Flow'!$E:$E,0)+($N40-2022)))</f>
        <v>0.4983437596971555</v>
      </c>
      <c r="AN40" cm="1">
        <f t="array" aca="1" ref="AN40" ca="1">INDIRECT("'Basin Weights'!L"&amp;MATCH(AN$15,'Basin Weights'!$E:$E,0)+($N40-2022))*(1-INDIRECT("'Star Road Flow'!J"&amp;MATCH(AN$15,'Star Road Flow'!$E:$E,0)+($N40-2022)))</f>
        <v>0.58138503912313033</v>
      </c>
      <c r="AO40" cm="1">
        <f t="array" aca="1" ref="AO40" ca="1">INDIRECT("'Basin Weights'!L"&amp;MATCH(AO$15,'Basin Weights'!$E:$E,0)+($N40-2022))*(1-INDIRECT("'Star Road Flow'!J"&amp;MATCH(AO$15,'Star Road Flow'!$E:$E,0)+($N40-2022)))</f>
        <v>0.54169322879982362</v>
      </c>
      <c r="AP40" cm="1">
        <f t="array" aca="1" ref="AP40" ca="1">INDIRECT("'Basin Weights'!L"&amp;MATCH(AP$15,'Basin Weights'!$E:$E,0)+($N40-2022))*(1-INDIRECT("'Star Road Flow'!J"&amp;MATCH(AP$15,'Star Road Flow'!$E:$E,0)+($N40-2022)))</f>
        <v>0.6621477566214784</v>
      </c>
      <c r="AQ40" cm="1">
        <f t="array" aca="1" ref="AQ40" ca="1">INDIRECT("'Basin Weights'!L"&amp;MATCH(AQ$15,'Basin Weights'!$E:$E,0)+($N40-2022))*(1-INDIRECT("'Star Road Flow'!J"&amp;MATCH(AQ$15,'Star Road Flow'!$E:$E,0)+($N40-2022)))</f>
        <v>0.6076161880308848</v>
      </c>
      <c r="AR40" cm="1">
        <f t="array" aca="1" ref="AR40" ca="1">INDIRECT("'Basin Weights'!L"&amp;MATCH(AR$15,'Basin Weights'!$E:$E,0)+($N40-2022))*(1-INDIRECT("'Star Road Flow'!J"&amp;MATCH(AR$15,'Star Road Flow'!$E:$E,0)+($N40-2022)))</f>
        <v>0.45873373097558523</v>
      </c>
      <c r="AS40" cm="1">
        <f t="array" aca="1" ref="AS40" ca="1">INDIRECT("'Basin Weights'!L"&amp;MATCH(AS$15,'Basin Weights'!$E:$E,0)+($N40-2022))*(1-INDIRECT("'Star Road Flow'!J"&amp;MATCH(AS$15,'Star Road Flow'!$E:$E,0)+($N40-2022)))</f>
        <v>0.45873373098500553</v>
      </c>
      <c r="AT40" cm="1">
        <f t="array" aca="1" ref="AT40" ca="1">INDIRECT("'Basin Weights'!L"&amp;MATCH(AT$15,'Basin Weights'!$E:$E,0)+($N40-2022))*(1-INDIRECT("'Star Road Flow'!J"&amp;MATCH(AT$15,'Star Road Flow'!$E:$E,0)+($N40-2022)))</f>
        <v>0.4412999280354753</v>
      </c>
      <c r="AV40" cm="1">
        <f t="array" aca="1" ref="AV40" ca="1">INDIRECT("'Basin Weights'!L"&amp;MATCH(AV$15,'Basin Weights'!$E:$E,0)+($N40-2022))*INDIRECT("'Star Road Flow'!J"&amp;MATCH(AV$15,'Star Road Flow'!$E:$E,0)+($N40-2022))</f>
        <v>1.3006564498049194E-2</v>
      </c>
      <c r="AW40" cm="1">
        <f t="array" aca="1" ref="AW40" ca="1">INDIRECT("'Basin Weights'!L"&amp;MATCH(AW$15,'Basin Weights'!$E:$E,0)+($N40-2022))*INDIRECT("'Star Road Flow'!J"&amp;MATCH(AW$15,'Star Road Flow'!$E:$E,0)+($N40-2022))</f>
        <v>1.6964217607881367E-2</v>
      </c>
      <c r="AX40" cm="1">
        <f t="array" aca="1" ref="AX40" ca="1">INDIRECT("'Basin Weights'!L"&amp;MATCH(AX$15,'Basin Weights'!$E:$E,0)+($N40-2022))*INDIRECT("'Star Road Flow'!J"&amp;MATCH(AX$15,'Star Road Flow'!$E:$E,0)+($N40-2022))</f>
        <v>1.8175262071831483E-2</v>
      </c>
      <c r="AY40" cm="1">
        <f t="array" aca="1" ref="AY40" ca="1">INDIRECT("'Basin Weights'!L"&amp;MATCH(AY$15,'Basin Weights'!$E:$E,0)+($N40-2022))*INDIRECT("'Star Road Flow'!J"&amp;MATCH(AY$15,'Star Road Flow'!$E:$E,0)+($N40-2022))</f>
        <v>2.1658924875849663E-2</v>
      </c>
      <c r="AZ40" cm="1">
        <f t="array" aca="1" ref="AZ40" ca="1">INDIRECT("'Basin Weights'!L"&amp;MATCH(AZ$15,'Basin Weights'!$E:$E,0)+($N40-2022))*INDIRECT("'Star Road Flow'!J"&amp;MATCH(AZ$15,'Star Road Flow'!$E:$E,0)+($N40-2022))</f>
        <v>1.9851510905584336E-2</v>
      </c>
      <c r="BA40" cm="1">
        <f t="array" aca="1" ref="BA40" ca="1">INDIRECT("'Basin Weights'!L"&amp;MATCH(BA$15,'Basin Weights'!$E:$E,0)+($N40-2022))*INDIRECT("'Star Road Flow'!J"&amp;MATCH(BA$15,'Star Road Flow'!$E:$E,0)+($N40-2022))</f>
        <v>2.5485303378521614E-2</v>
      </c>
      <c r="BB40" cm="1">
        <f t="array" aca="1" ref="BB40" ca="1">INDIRECT("'Basin Weights'!L"&amp;MATCH(BB$15,'Basin Weights'!$E:$E,0)+($N40-2022))*INDIRECT("'Star Road Flow'!J"&amp;MATCH(BB$15,'Star Road Flow'!$E:$E,0)+($N40-2022))</f>
        <v>5.4887766257281215E-2</v>
      </c>
      <c r="BC40" cm="1">
        <f t="array" aca="1" ref="BC40" ca="1">INDIRECT("'Basin Weights'!L"&amp;MATCH(BC$15,'Basin Weights'!$E:$E,0)+($N40-2022))*INDIRECT("'Star Road Flow'!J"&amp;MATCH(BC$15,'Star Road Flow'!$E:$E,0)+($N40-2022))</f>
        <v>1.6736842530676796E-2</v>
      </c>
      <c r="BD40" cm="1">
        <f t="array" aca="1" ref="BD40" ca="1">INDIRECT("'Basin Weights'!L"&amp;MATCH(BD$15,'Basin Weights'!$E:$E,0)+($N40-2022))*INDIRECT("'Star Road Flow'!J"&amp;MATCH(BD$15,'Star Road Flow'!$E:$E,0)+($N40-2022))</f>
        <v>1.6736842531020497E-2</v>
      </c>
      <c r="BE40" cm="1">
        <f t="array" aca="1" ref="BE40" ca="1">INDIRECT("'Basin Weights'!L"&amp;MATCH(BE$15,'Basin Weights'!$E:$E,0)+($N40-2022))*INDIRECT("'Star Road Flow'!J"&amp;MATCH(BE$15,'Star Road Flow'!$E:$E,0)+($N40-2022))</f>
        <v>1.6081953224325707E-2</v>
      </c>
      <c r="BG40" cm="1">
        <f t="array" aca="1" ref="BG40" ca="1">INDIRECT("'Basin Weights'!M"&amp;MATCH(BG$15,'Basin Weights'!$E:$E,0)+($N40-2022))</f>
        <v>0.33439207999999998</v>
      </c>
      <c r="BH40" cm="1">
        <f t="array" aca="1" ref="BH40" ca="1">INDIRECT("'Basin Weights'!M"&amp;MATCH(BH$15,'Basin Weights'!$E:$E,0)+($N40-2022))</f>
        <v>0.26037172281458099</v>
      </c>
      <c r="BI40" cm="1">
        <f t="array" aca="1" ref="BI40" ca="1">INDIRECT("'Basin Weights'!M"&amp;MATCH(BI$15,'Basin Weights'!$E:$E,0)+($N40-2022))</f>
        <v>0.242977087445686</v>
      </c>
      <c r="BJ40" cm="1">
        <f t="array" aca="1" ref="BJ40" ca="1">INDIRECT("'Basin Weights'!M"&amp;MATCH(BJ$15,'Basin Weights'!$E:$E,0)+($N40-2022))</f>
        <v>0.170032441193813</v>
      </c>
      <c r="BK40" cm="1">
        <f t="array" aca="1" ref="BK40" ca="1">INDIRECT("'Basin Weights'!M"&amp;MATCH(BK$15,'Basin Weights'!$E:$E,0)+($N40-2022))</f>
        <v>0.19530658858907801</v>
      </c>
      <c r="BL40" cm="1">
        <f t="array" aca="1" ref="BL40" ca="1">INDIRECT("'Basin Weights'!M"&amp;MATCH(BL$15,'Basin Weights'!$E:$E,0)+($N40-2022))</f>
        <v>9.2603560000000001E-2</v>
      </c>
      <c r="BM40" cm="1">
        <f t="array" aca="1" ref="BM40" ca="1">INDIRECT("'Basin Weights'!M"&amp;MATCH(BM$15,'Basin Weights'!$E:$E,0)+($N40-2022))</f>
        <v>0</v>
      </c>
      <c r="BN40" cm="1">
        <f t="array" aca="1" ref="BN40" ca="1">INDIRECT("'Basin Weights'!M"&amp;MATCH(BN$15,'Basin Weights'!$E:$E,0)+($N40-2022))</f>
        <v>0.27560845271234102</v>
      </c>
      <c r="BO40" cm="1">
        <f t="array" aca="1" ref="BO40" ca="1">INDIRECT("'Basin Weights'!M"&amp;MATCH(BO$15,'Basin Weights'!$E:$E,0)+($N40-2022))</f>
        <v>0.27560845270088902</v>
      </c>
      <c r="BP40" cm="1">
        <f t="array" aca="1" ref="BP40" ca="1">INDIRECT("'Basin Weights'!M"&amp;MATCH(BP$15,'Basin Weights'!$E:$E,0)+($N40-2022))</f>
        <v>0.28990637344866799</v>
      </c>
      <c r="BR40" cm="1">
        <f t="array" aca="1" ref="BR40" ca="1">INDIRECT("'Basin Weights'!N"&amp;MATCH(BR$15,'Basin Weights'!$E:$E,0)+($N40-2022))</f>
        <v>0.18605200999999999</v>
      </c>
      <c r="BS40" cm="1">
        <f t="array" aca="1" ref="BS40" ca="1">INDIRECT("'Basin Weights'!N"&amp;MATCH(BS$15,'Basin Weights'!$E:$E,0)+($N40-2022))</f>
        <v>0.12009659460390899</v>
      </c>
      <c r="BT40" cm="1">
        <f t="array" aca="1" ref="BT40" ca="1">INDIRECT("'Basin Weights'!N"&amp;MATCH(BT$15,'Basin Weights'!$E:$E,0)+($N40-2022))</f>
        <v>9.2788246917014303E-2</v>
      </c>
      <c r="BU40" cm="1">
        <f t="array" aca="1" ref="BU40" ca="1">INDIRECT("'Basin Weights'!N"&amp;MATCH(BU$15,'Basin Weights'!$E:$E,0)+($N40-2022))</f>
        <v>5.5329221430787501E-2</v>
      </c>
      <c r="BV40" cm="1">
        <f t="array" aca="1" ref="BV40" ca="1">INDIRECT("'Basin Weights'!N"&amp;MATCH(BV$15,'Basin Weights'!$E:$E,0)+($N40-2022))</f>
        <v>8.2858332835310494E-2</v>
      </c>
      <c r="BW40" cm="1">
        <f t="array" aca="1" ref="BW40" ca="1">INDIRECT("'Basin Weights'!N"&amp;MATCH(BW$15,'Basin Weights'!$E:$E,0)+($N40-2022))</f>
        <v>1.6049979999999998E-2</v>
      </c>
      <c r="BX40" cm="1">
        <f t="array" aca="1" ref="BX40" ca="1">INDIRECT("'Basin Weights'!N"&amp;MATCH(BX$15,'Basin Weights'!$E:$E,0)+($N40-2022))</f>
        <v>0</v>
      </c>
      <c r="BY40" cm="1">
        <f t="array" aca="1" ref="BY40" ca="1">INDIRECT("'Basin Weights'!N"&amp;MATCH(BY$15,'Basin Weights'!$E:$E,0)+($N40-2022))</f>
        <v>0.11287425276964599</v>
      </c>
      <c r="BZ40" cm="1">
        <f t="array" aca="1" ref="BZ40" ca="1">INDIRECT("'Basin Weights'!N"&amp;MATCH(BZ$15,'Basin Weights'!$E:$E,0)+($N40-2022))</f>
        <v>0.112874252768542</v>
      </c>
      <c r="CA40" cm="1">
        <f t="array" aca="1" ref="CA40" ca="1">INDIRECT("'Basin Weights'!N"&amp;MATCH(CA$15,'Basin Weights'!$E:$E,0)+($N40-2022))</f>
        <v>0.12193531515210899</v>
      </c>
      <c r="CC40" cm="1">
        <f t="array" aca="1" ref="CC40" ca="1">INDIRECT("'Basin Weights'!O"&amp;MATCH(CC$15,'Basin Weights'!$E:$E,0)+($N40-2022))</f>
        <v>0.10586028</v>
      </c>
      <c r="CD40" cm="1">
        <f t="array" aca="1" ref="CD40" ca="1">INDIRECT("'Basin Weights'!O"&amp;MATCH(CD$15,'Basin Weights'!$E:$E,0)+($N40-2022))</f>
        <v>0.13787025917283199</v>
      </c>
      <c r="CE40" cm="1">
        <f t="array" aca="1" ref="CE40" ca="1">INDIRECT("'Basin Weights'!O"&amp;MATCH(CE$15,'Basin Weights'!$E:$E,0)+($N40-2022))</f>
        <v>0.14771564386831301</v>
      </c>
      <c r="CF40" cm="1">
        <f t="array" aca="1" ref="CF40" ca="1">INDIRECT("'Basin Weights'!O"&amp;MATCH(CF$15,'Basin Weights'!$E:$E,0)+($N40-2022))</f>
        <v>0.171594373376419</v>
      </c>
      <c r="CG40" cm="1">
        <f t="array" aca="1" ref="CG40" ca="1">INDIRECT("'Basin Weights'!O"&amp;MATCH(CG$15,'Basin Weights'!$E:$E,0)+($N40-2022))</f>
        <v>0.160290338870204</v>
      </c>
      <c r="CH40" cm="1">
        <f t="array" aca="1" ref="CH40" ca="1">INDIRECT("'Basin Weights'!O"&amp;MATCH(CH$15,'Basin Weights'!$E:$E,0)+($N40-2022))</f>
        <v>0.20371338999999999</v>
      </c>
      <c r="CI40" cm="1">
        <f t="array" aca="1" ref="CI40" ca="1">INDIRECT("'Basin Weights'!O"&amp;MATCH(CI$15,'Basin Weights'!$E:$E,0)+($N40-2022))</f>
        <v>0.337496045711834</v>
      </c>
      <c r="CJ40" cm="1">
        <f t="array" aca="1" ref="CJ40" ca="1">INDIRECT("'Basin Weights'!O"&amp;MATCH(CJ$15,'Basin Weights'!$E:$E,0)+($N40-2022))</f>
        <v>0.13604672101175</v>
      </c>
      <c r="CK40" cm="1">
        <f t="array" aca="1" ref="CK40" ca="1">INDIRECT("'Basin Weights'!O"&amp;MATCH(CK$15,'Basin Weights'!$E:$E,0)+($N40-2022))</f>
        <v>0.13604672101454399</v>
      </c>
      <c r="CL40" cm="1">
        <f t="array" aca="1" ref="CL40" ca="1">INDIRECT("'Basin Weights'!O"&amp;MATCH(CL$15,'Basin Weights'!$E:$E,0)+($N40-2022))</f>
        <v>0.130776430139421</v>
      </c>
      <c r="CN40">
        <f t="shared" ca="1" si="5"/>
        <v>1</v>
      </c>
      <c r="CO40">
        <f t="shared" ca="1" si="24"/>
        <v>1</v>
      </c>
      <c r="CP40">
        <f t="shared" ca="1" si="25"/>
        <v>1.0000000000000004</v>
      </c>
      <c r="CQ40">
        <f t="shared" ca="1" si="26"/>
        <v>0.99999999999999944</v>
      </c>
      <c r="CR40">
        <f t="shared" ca="1" si="27"/>
        <v>1.0000000000000004</v>
      </c>
      <c r="CS40">
        <f t="shared" ca="1" si="28"/>
        <v>0.99999999000000006</v>
      </c>
      <c r="CT40">
        <f t="shared" ca="1" si="29"/>
        <v>1</v>
      </c>
      <c r="CU40">
        <f t="shared" ca="1" si="30"/>
        <v>0.999999999999999</v>
      </c>
      <c r="CV40">
        <f t="shared" ca="1" si="31"/>
        <v>1.0000000000000011</v>
      </c>
      <c r="CW40">
        <f t="shared" ca="1" si="32"/>
        <v>0.99999999999999889</v>
      </c>
    </row>
    <row r="41" spans="2:101" x14ac:dyDescent="0.25">
      <c r="B41">
        <v>2047</v>
      </c>
      <c r="C41" s="69">
        <f>'Gas Supply Commodity Costs'!I27/'Conventional Supply Quantities'!I27</f>
        <v>4.3863703562199339</v>
      </c>
      <c r="D41" s="69">
        <f>'Gas Supply Commodity Costs'!J27/'Conventional Supply Quantities'!J27</f>
        <v>4.3083894733952288</v>
      </c>
      <c r="E41" s="69">
        <f>'Gas Supply Commodity Costs'!K27/'Conventional Supply Quantities'!K27</f>
        <v>4.2830031538858107</v>
      </c>
      <c r="F41" s="69">
        <f>'Gas Supply Commodity Costs'!L27/'Conventional Supply Quantities'!L27</f>
        <v>4.1580591449495437</v>
      </c>
      <c r="G41" s="69">
        <f>'Gas Supply Commodity Costs'!M27/'Conventional Supply Quantities'!M27</f>
        <v>4.2380923101005799</v>
      </c>
      <c r="H41" s="69">
        <f>'Gas Supply Commodity Costs'!N27/'Conventional Supply Quantities'!N27</f>
        <v>4.101818540794623</v>
      </c>
      <c r="I41" s="69">
        <f>'Gas Supply Commodity Costs'!O27/'Conventional Supply Quantities'!O27</f>
        <v>3.845384223761481</v>
      </c>
      <c r="J41" s="69">
        <f>'Gas Supply Commodity Costs'!P27/'Conventional Supply Quantities'!P27</f>
        <v>4.3166236323455101</v>
      </c>
      <c r="K41" s="69">
        <f>'Gas Supply Commodity Costs'!Q27/'Conventional Supply Quantities'!Q27</f>
        <v>4.3166236323043803</v>
      </c>
      <c r="L41" s="69">
        <f>'Gas Supply Commodity Costs'!R27/'Conventional Supply Quantities'!R27</f>
        <v>4.3367526681559747</v>
      </c>
      <c r="N41">
        <v>2047</v>
      </c>
      <c r="O41" s="69">
        <f t="shared" ca="1" si="3"/>
        <v>1.7501886449325699E-2</v>
      </c>
      <c r="P41" s="69">
        <f t="shared" ca="1" si="6"/>
        <v>2.0024358031604635E-2</v>
      </c>
      <c r="Q41" s="69">
        <f t="shared" ca="1" si="7"/>
        <v>2.0819515396912801E-2</v>
      </c>
      <c r="R41" s="69">
        <f t="shared" ca="1" si="8"/>
        <v>2.2634217604302988E-2</v>
      </c>
      <c r="S41" s="69">
        <f t="shared" ca="1" si="9"/>
        <v>2.1768880529380599E-2</v>
      </c>
      <c r="T41" s="69">
        <f t="shared" ca="1" si="10"/>
        <v>2.5485237196142103E-2</v>
      </c>
      <c r="U41" s="69">
        <f t="shared" ca="1" si="11"/>
        <v>3.3716480296310539E-2</v>
      </c>
      <c r="V41" s="69">
        <f t="shared" ca="1" si="12"/>
        <v>1.9884700594054117E-2</v>
      </c>
      <c r="W41" s="69">
        <f t="shared" ca="1" si="13"/>
        <v>1.9884700594125622E-2</v>
      </c>
      <c r="X41" s="69">
        <f t="shared" ca="1" si="14"/>
        <v>1.9468464602433923E-2</v>
      </c>
      <c r="Z41" s="71">
        <f t="shared" ca="1" si="4"/>
        <v>2.2045396990512226E-2</v>
      </c>
      <c r="AA41" s="71">
        <f t="shared" ca="1" si="15"/>
        <v>2.6283850995257568E-2</v>
      </c>
      <c r="AB41" s="71">
        <f t="shared" ca="1" si="16"/>
        <v>2.7585728356554706E-2</v>
      </c>
      <c r="AC41" s="71">
        <f t="shared" ca="1" si="17"/>
        <v>2.9208518120636909E-2</v>
      </c>
      <c r="AD41" s="71">
        <f t="shared" ca="1" si="18"/>
        <v>2.8852192451265021E-2</v>
      </c>
      <c r="AE41" s="71">
        <f t="shared" ca="1" si="19"/>
        <v>3.2629252269544821E-2</v>
      </c>
      <c r="AF41" s="71">
        <f t="shared" ca="1" si="20"/>
        <v>3.4805288308891402E-2</v>
      </c>
      <c r="AG41" s="71">
        <f t="shared" ca="1" si="21"/>
        <v>2.6049187625899965E-2</v>
      </c>
      <c r="AH41" s="71">
        <f t="shared" ca="1" si="22"/>
        <v>2.6049187626020091E-2</v>
      </c>
      <c r="AI41" s="71">
        <f t="shared" ca="1" si="23"/>
        <v>2.534979529882677E-2</v>
      </c>
      <c r="AK41" cm="1">
        <f t="array" aca="1" ref="AK41" ca="1">INDIRECT("'Basin Weights'!L"&amp;MATCH(AK$15,'Basin Weights'!$E:$E,0)+($N41-2022))*(1-INDIRECT("'Star Road Flow'!J"&amp;MATCH(AK$15,'Star Road Flow'!$E:$E,0)+($N41-2022)))</f>
        <v>0.38485082975917878</v>
      </c>
      <c r="AL41" cm="1">
        <f t="array" aca="1" ref="AL41" ca="1">INDIRECT("'Basin Weights'!L"&amp;MATCH(AL$15,'Basin Weights'!$E:$E,0)+($N41-2022))*(1-INDIRECT("'Star Road Flow'!J"&amp;MATCH(AL$15,'Star Road Flow'!$E:$E,0)+($N41-2022)))</f>
        <v>0.50616911166300504</v>
      </c>
      <c r="AM41" cm="1">
        <f t="array" aca="1" ref="AM41" ca="1">INDIRECT("'Basin Weights'!L"&amp;MATCH(AM$15,'Basin Weights'!$E:$E,0)+($N41-2022))*(1-INDIRECT("'Star Road Flow'!J"&amp;MATCH(AM$15,'Star Road Flow'!$E:$E,0)+($N41-2022)))</f>
        <v>0.54299930690373255</v>
      </c>
      <c r="AN41" cm="1">
        <f t="array" aca="1" ref="AN41" ca="1">INDIRECT("'Basin Weights'!L"&amp;MATCH(AN$15,'Basin Weights'!$E:$E,0)+($N41-2022))*(1-INDIRECT("'Star Road Flow'!J"&amp;MATCH(AN$15,'Star Road Flow'!$E:$E,0)+($N41-2022)))</f>
        <v>0.5708113464660165</v>
      </c>
      <c r="AO41" cm="1">
        <f t="array" aca="1" ref="AO41" ca="1">INDIRECT("'Basin Weights'!L"&amp;MATCH(AO$15,'Basin Weights'!$E:$E,0)+($N41-2022))*(1-INDIRECT("'Star Road Flow'!J"&amp;MATCH(AO$15,'Star Road Flow'!$E:$E,0)+($N41-2022)))</f>
        <v>0.57508135624793044</v>
      </c>
      <c r="AP41" cm="1">
        <f t="array" aca="1" ref="AP41" ca="1">INDIRECT("'Basin Weights'!L"&amp;MATCH(AP$15,'Basin Weights'!$E:$E,0)+($N41-2022))*(1-INDIRECT("'Star Road Flow'!J"&amp;MATCH(AP$15,'Star Road Flow'!$E:$E,0)+($N41-2022)))</f>
        <v>0.65143801647932253</v>
      </c>
      <c r="AQ41" cm="1">
        <f t="array" aca="1" ref="AQ41" ca="1">INDIRECT("'Basin Weights'!L"&amp;MATCH(AQ$15,'Basin Weights'!$E:$E,0)+($N41-2022))*(1-INDIRECT("'Star Road Flow'!J"&amp;MATCH(AQ$15,'Star Road Flow'!$E:$E,0)+($N41-2022)))</f>
        <v>0.5439468791402462</v>
      </c>
      <c r="AR41" cm="1">
        <f t="array" aca="1" ref="AR41" ca="1">INDIRECT("'Basin Weights'!L"&amp;MATCH(AR$15,'Basin Weights'!$E:$E,0)+($N41-2022))*(1-INDIRECT("'Star Road Flow'!J"&amp;MATCH(AR$15,'Star Road Flow'!$E:$E,0)+($N41-2022)))</f>
        <v>0.49945228571601968</v>
      </c>
      <c r="AS41" cm="1">
        <f t="array" aca="1" ref="AS41" ca="1">INDIRECT("'Basin Weights'!L"&amp;MATCH(AS$15,'Basin Weights'!$E:$E,0)+($N41-2022))*(1-INDIRECT("'Star Road Flow'!J"&amp;MATCH(AS$15,'Star Road Flow'!$E:$E,0)+($N41-2022)))</f>
        <v>0.49945228571945771</v>
      </c>
      <c r="AT41" cm="1">
        <f t="array" aca="1" ref="AT41" ca="1">INDIRECT("'Basin Weights'!L"&amp;MATCH(AT$15,'Basin Weights'!$E:$E,0)+($N41-2022))*(1-INDIRECT("'Star Road Flow'!J"&amp;MATCH(AT$15,'Star Road Flow'!$E:$E,0)+($N41-2022)))</f>
        <v>0.47943341126420985</v>
      </c>
      <c r="AV41" cm="1">
        <f t="array" aca="1" ref="AV41" ca="1">INDIRECT("'Basin Weights'!L"&amp;MATCH(AV$15,'Basin Weights'!$E:$E,0)+($N41-2022))*INDIRECT("'Star Road Flow'!J"&amp;MATCH(AV$15,'Star Road Flow'!$E:$E,0)+($N41-2022))</f>
        <v>1.2969840240821198E-2</v>
      </c>
      <c r="AW41" cm="1">
        <f t="array" aca="1" ref="AW41" ca="1">INDIRECT("'Basin Weights'!L"&amp;MATCH(AW$15,'Basin Weights'!$E:$E,0)+($N41-2022))*INDIRECT("'Star Road Flow'!J"&amp;MATCH(AW$15,'Star Road Flow'!$E:$E,0)+($N41-2022))</f>
        <v>1.7058382119678896E-2</v>
      </c>
      <c r="AX41" cm="1">
        <f t="array" aca="1" ref="AX41" ca="1">INDIRECT("'Basin Weights'!L"&amp;MATCH(AX$15,'Basin Weights'!$E:$E,0)+($N41-2022))*INDIRECT("'Star Road Flow'!J"&amp;MATCH(AX$15,'Star Road Flow'!$E:$E,0)+($N41-2022))</f>
        <v>1.8364763034437431E-2</v>
      </c>
      <c r="AY41" cm="1">
        <f t="array" aca="1" ref="AY41" ca="1">INDIRECT("'Basin Weights'!L"&amp;MATCH(AY$15,'Basin Weights'!$E:$E,0)+($N41-2022))*INDIRECT("'Star Road Flow'!J"&amp;MATCH(AY$15,'Star Road Flow'!$E:$E,0)+($N41-2022))</f>
        <v>2.273120666648553E-2</v>
      </c>
      <c r="AZ41" cm="1">
        <f t="array" aca="1" ref="AZ41" ca="1">INDIRECT("'Basin Weights'!L"&amp;MATCH(AZ$15,'Basin Weights'!$E:$E,0)+($N41-2022))*INDIRECT("'Star Road Flow'!J"&amp;MATCH(AZ$15,'Star Road Flow'!$E:$E,0)+($N41-2022))</f>
        <v>2.0072208534814447E-2</v>
      </c>
      <c r="BA41" cm="1">
        <f t="array" aca="1" ref="BA41" ca="1">INDIRECT("'Basin Weights'!L"&amp;MATCH(BA$15,'Basin Weights'!$E:$E,0)+($N41-2022))*INDIRECT("'Star Road Flow'!J"&amp;MATCH(BA$15,'Star Road Flow'!$E:$E,0)+($N41-2022))</f>
        <v>2.7951233520677413E-2</v>
      </c>
      <c r="BB41" cm="1">
        <f t="array" aca="1" ref="BB41" ca="1">INDIRECT("'Basin Weights'!L"&amp;MATCH(BB$15,'Basin Weights'!$E:$E,0)+($N41-2022))*INDIRECT("'Star Road Flow'!J"&amp;MATCH(BB$15,'Star Road Flow'!$E:$E,0)+($N41-2022))</f>
        <v>7.4952947780867821E-2</v>
      </c>
      <c r="BC41" cm="1">
        <f t="array" aca="1" ref="BC41" ca="1">INDIRECT("'Basin Weights'!L"&amp;MATCH(BC$15,'Basin Weights'!$E:$E,0)+($N41-2022))*INDIRECT("'Star Road Flow'!J"&amp;MATCH(BC$15,'Star Road Flow'!$E:$E,0)+($N41-2022))</f>
        <v>1.6832018675140354E-2</v>
      </c>
      <c r="BD41" cm="1">
        <f t="array" aca="1" ref="BD41" ca="1">INDIRECT("'Basin Weights'!L"&amp;MATCH(BD$15,'Basin Weights'!$E:$E,0)+($N41-2022))*INDIRECT("'Star Road Flow'!J"&amp;MATCH(BD$15,'Star Road Flow'!$E:$E,0)+($N41-2022))</f>
        <v>1.683201867525622E-2</v>
      </c>
      <c r="BE41" cm="1">
        <f t="array" aca="1" ref="BE41" ca="1">INDIRECT("'Basin Weights'!L"&amp;MATCH(BE$15,'Basin Weights'!$E:$E,0)+($N41-2022))*INDIRECT("'Star Road Flow'!J"&amp;MATCH(BE$15,'Star Road Flow'!$E:$E,0)+($N41-2022))</f>
        <v>1.6157363501333136E-2</v>
      </c>
      <c r="BG41" cm="1">
        <f t="array" aca="1" ref="BG41" ca="1">INDIRECT("'Basin Weights'!M"&amp;MATCH(BG$15,'Basin Weights'!$E:$E,0)+($N41-2022))</f>
        <v>0.30982661</v>
      </c>
      <c r="BH41" cm="1">
        <f t="array" aca="1" ref="BH41" ca="1">INDIRECT("'Basin Weights'!M"&amp;MATCH(BH$15,'Basin Weights'!$E:$E,0)+($N41-2022))</f>
        <v>0.177353546292876</v>
      </c>
      <c r="BI41" cm="1">
        <f t="array" aca="1" ref="BI41" ca="1">INDIRECT("'Basin Weights'!M"&amp;MATCH(BI$15,'Basin Weights'!$E:$E,0)+($N41-2022))</f>
        <v>0.13574269169356401</v>
      </c>
      <c r="BJ41" cm="1">
        <f t="array" aca="1" ref="BJ41" ca="1">INDIRECT("'Basin Weights'!M"&amp;MATCH(BJ$15,'Basin Weights'!$E:$E,0)+($N41-2022))</f>
        <v>9.7362818590863404E-2</v>
      </c>
      <c r="BK41" cm="1">
        <f t="array" aca="1" ref="BK41" ca="1">INDIRECT("'Basin Weights'!M"&amp;MATCH(BK$15,'Basin Weights'!$E:$E,0)+($N41-2022))</f>
        <v>0.11035443838952699</v>
      </c>
      <c r="BL41" cm="1">
        <f t="array" aca="1" ref="BL41" ca="1">INDIRECT("'Basin Weights'!M"&amp;MATCH(BL$15,'Basin Weights'!$E:$E,0)+($N41-2022))</f>
        <v>9.5731120000000003E-2</v>
      </c>
      <c r="BM41" cm="1">
        <f t="array" aca="1" ref="BM41" ca="1">INDIRECT("'Basin Weights'!M"&amp;MATCH(BM$15,'Basin Weights'!$E:$E,0)+($N41-2022))</f>
        <v>0</v>
      </c>
      <c r="BN41" cm="1">
        <f t="array" aca="1" ref="BN41" ca="1">INDIRECT("'Basin Weights'!M"&amp;MATCH(BN$15,'Basin Weights'!$E:$E,0)+($N41-2022))</f>
        <v>0.18681497379423101</v>
      </c>
      <c r="BO41" cm="1">
        <f t="array" aca="1" ref="BO41" ca="1">INDIRECT("'Basin Weights'!M"&amp;MATCH(BO$15,'Basin Weights'!$E:$E,0)+($N41-2022))</f>
        <v>0.18681497378863399</v>
      </c>
      <c r="BP41" cm="1">
        <f t="array" aca="1" ref="BP41" ca="1">INDIRECT("'Basin Weights'!M"&amp;MATCH(BP$15,'Basin Weights'!$E:$E,0)+($N41-2022))</f>
        <v>0.21631605525888001</v>
      </c>
      <c r="BR41" cm="1">
        <f t="array" aca="1" ref="BR41" ca="1">INDIRECT("'Basin Weights'!N"&amp;MATCH(BR$15,'Basin Weights'!$E:$E,0)+($N41-2022))</f>
        <v>0.18670897</v>
      </c>
      <c r="BS41" cm="1">
        <f t="array" aca="1" ref="BS41" ca="1">INDIRECT("'Basin Weights'!N"&amp;MATCH(BS$15,'Basin Weights'!$E:$E,0)+($N41-2022))</f>
        <v>0.16047264108159201</v>
      </c>
      <c r="BT41" cm="1">
        <f t="array" aca="1" ref="BT41" ca="1">INDIRECT("'Basin Weights'!N"&amp;MATCH(BT$15,'Basin Weights'!$E:$E,0)+($N41-2022))</f>
        <v>0.15330600306362099</v>
      </c>
      <c r="BU41" cm="1">
        <f t="array" aca="1" ref="BU41" ca="1">INDIRECT("'Basin Weights'!N"&amp;MATCH(BU$15,'Basin Weights'!$E:$E,0)+($N41-2022))</f>
        <v>0.12956687035977801</v>
      </c>
      <c r="BV41" cm="1">
        <f t="array" aca="1" ref="BV41" ca="1">INDIRECT("'Basin Weights'!N"&amp;MATCH(BV$15,'Basin Weights'!$E:$E,0)+($N41-2022))</f>
        <v>0.13099703772782301</v>
      </c>
      <c r="BW41" cm="1">
        <f t="array" aca="1" ref="BW41" ca="1">INDIRECT("'Basin Weights'!N"&amp;MATCH(BW$15,'Basin Weights'!$E:$E,0)+($N41-2022))</f>
        <v>1.9901599999999999E-3</v>
      </c>
      <c r="BX41" cm="1">
        <f t="array" aca="1" ref="BX41" ca="1">INDIRECT("'Basin Weights'!N"&amp;MATCH(BX$15,'Basin Weights'!$E:$E,0)+($N41-2022))</f>
        <v>0</v>
      </c>
      <c r="BY41" cm="1">
        <f t="array" aca="1" ref="BY41" ca="1">INDIRECT("'Basin Weights'!N"&amp;MATCH(BY$15,'Basin Weights'!$E:$E,0)+($N41-2022))</f>
        <v>0.15979821014635301</v>
      </c>
      <c r="BZ41" cm="1">
        <f t="array" aca="1" ref="BZ41" ca="1">INDIRECT("'Basin Weights'!N"&amp;MATCH(BZ$15,'Basin Weights'!$E:$E,0)+($N41-2022))</f>
        <v>0.15979821014745299</v>
      </c>
      <c r="CA41" cm="1">
        <f t="array" aca="1" ref="CA41" ca="1">INDIRECT("'Basin Weights'!N"&amp;MATCH(CA$15,'Basin Weights'!$E:$E,0)+($N41-2022))</f>
        <v>0.15648595394738399</v>
      </c>
      <c r="CC41" cm="1">
        <f t="array" aca="1" ref="CC41" ca="1">INDIRECT("'Basin Weights'!O"&amp;MATCH(CC$15,'Basin Weights'!$E:$E,0)+($N41-2022))</f>
        <v>0.10564374999999999</v>
      </c>
      <c r="CD41" cm="1">
        <f t="array" aca="1" ref="CD41" ca="1">INDIRECT("'Basin Weights'!O"&amp;MATCH(CD$15,'Basin Weights'!$E:$E,0)+($N41-2022))</f>
        <v>0.138946318842849</v>
      </c>
      <c r="CE41" cm="1">
        <f t="array" aca="1" ref="CE41" ca="1">INDIRECT("'Basin Weights'!O"&amp;MATCH(CE$15,'Basin Weights'!$E:$E,0)+($N41-2022))</f>
        <v>0.14958723530464499</v>
      </c>
      <c r="CF41" cm="1">
        <f t="array" aca="1" ref="CF41" ca="1">INDIRECT("'Basin Weights'!O"&amp;MATCH(CF$15,'Basin Weights'!$E:$E,0)+($N41-2022))</f>
        <v>0.17952775791685699</v>
      </c>
      <c r="CG41" cm="1">
        <f t="array" aca="1" ref="CG41" ca="1">INDIRECT("'Basin Weights'!O"&amp;MATCH(CG$15,'Basin Weights'!$E:$E,0)+($N41-2022))</f>
        <v>0.163494959099904</v>
      </c>
      <c r="CH41" cm="1">
        <f t="array" aca="1" ref="CH41" ca="1">INDIRECT("'Basin Weights'!O"&amp;MATCH(CH$15,'Basin Weights'!$E:$E,0)+($N41-2022))</f>
        <v>0.22288947000000001</v>
      </c>
      <c r="CI41" cm="1">
        <f t="array" aca="1" ref="CI41" ca="1">INDIRECT("'Basin Weights'!O"&amp;MATCH(CI$15,'Basin Weights'!$E:$E,0)+($N41-2022))</f>
        <v>0.381100173078886</v>
      </c>
      <c r="CJ41" cm="1">
        <f t="array" aca="1" ref="CJ41" ca="1">INDIRECT("'Basin Weights'!O"&amp;MATCH(CJ$15,'Basin Weights'!$E:$E,0)+($N41-2022))</f>
        <v>0.13710251166825499</v>
      </c>
      <c r="CK41" cm="1">
        <f t="array" aca="1" ref="CK41" ca="1">INDIRECT("'Basin Weights'!O"&amp;MATCH(CK$15,'Basin Weights'!$E:$E,0)+($N41-2022))</f>
        <v>0.13710251166919901</v>
      </c>
      <c r="CL41" cm="1">
        <f t="array" aca="1" ref="CL41" ca="1">INDIRECT("'Basin Weights'!O"&amp;MATCH(CL$15,'Basin Weights'!$E:$E,0)+($N41-2022))</f>
        <v>0.131607216028193</v>
      </c>
      <c r="CN41">
        <f t="shared" ca="1" si="5"/>
        <v>1</v>
      </c>
      <c r="CO41">
        <f t="shared" ca="1" si="24"/>
        <v>1.0000000000000009</v>
      </c>
      <c r="CP41">
        <f t="shared" ca="1" si="25"/>
        <v>1</v>
      </c>
      <c r="CQ41">
        <f t="shared" ca="1" si="26"/>
        <v>1.0000000000000004</v>
      </c>
      <c r="CR41">
        <f t="shared" ca="1" si="27"/>
        <v>0.99999999999999889</v>
      </c>
      <c r="CS41">
        <f t="shared" ca="1" si="28"/>
        <v>1</v>
      </c>
      <c r="CT41">
        <f t="shared" ca="1" si="29"/>
        <v>1</v>
      </c>
      <c r="CU41">
        <f t="shared" ca="1" si="30"/>
        <v>0.99999999999999911</v>
      </c>
      <c r="CV41">
        <f t="shared" ca="1" si="31"/>
        <v>1</v>
      </c>
      <c r="CW41">
        <f t="shared" ca="1" si="32"/>
        <v>1</v>
      </c>
    </row>
    <row r="42" spans="2:101" x14ac:dyDescent="0.25">
      <c r="B42">
        <v>2048</v>
      </c>
      <c r="C42" s="69">
        <f>'Gas Supply Commodity Costs'!I28/'Conventional Supply Quantities'!I28</f>
        <v>4.583820141488169</v>
      </c>
      <c r="D42" s="69">
        <f>'Gas Supply Commodity Costs'!J28/'Conventional Supply Quantities'!J28</f>
        <v>4.4956149277769688</v>
      </c>
      <c r="E42" s="69">
        <f>'Gas Supply Commodity Costs'!K28/'Conventional Supply Quantities'!K28</f>
        <v>4.4650241416477208</v>
      </c>
      <c r="F42" s="69">
        <f>'Gas Supply Commodity Costs'!L28/'Conventional Supply Quantities'!L28</f>
        <v>4.3684905145509285</v>
      </c>
      <c r="G42" s="69">
        <f>'Gas Supply Commodity Costs'!M28/'Conventional Supply Quantities'!M28</f>
        <v>4.4170088239199563</v>
      </c>
      <c r="H42" s="69">
        <f>'Gas Supply Commodity Costs'!N28/'Conventional Supply Quantities'!N28</f>
        <v>4.3359416786868739</v>
      </c>
      <c r="I42" s="69">
        <f>'Gas Supply Commodity Costs'!O28/'Conventional Supply Quantities'!O28</f>
        <v>4.0200192012816442</v>
      </c>
      <c r="J42" s="69">
        <f>'Gas Supply Commodity Costs'!P28/'Conventional Supply Quantities'!P28</f>
        <v>4.5040565525454301</v>
      </c>
      <c r="K42" s="69">
        <f>'Gas Supply Commodity Costs'!Q28/'Conventional Supply Quantities'!Q28</f>
        <v>4.5040565526092013</v>
      </c>
      <c r="L42" s="69">
        <f>'Gas Supply Commodity Costs'!R28/'Conventional Supply Quantities'!R28</f>
        <v>4.5251694861386591</v>
      </c>
      <c r="N42">
        <v>2048</v>
      </c>
      <c r="O42" s="69">
        <f t="shared" ca="1" si="3"/>
        <v>1.7458153991368099E-2</v>
      </c>
      <c r="P42" s="69">
        <f t="shared" ca="1" si="6"/>
        <v>2.0062277934307808E-2</v>
      </c>
      <c r="Q42" s="69">
        <f t="shared" ca="1" si="7"/>
        <v>2.0914912460253905E-2</v>
      </c>
      <c r="R42" s="69">
        <f t="shared" ca="1" si="8"/>
        <v>2.2346458681326911E-2</v>
      </c>
      <c r="S42" s="69">
        <f t="shared" ca="1" si="9"/>
        <v>2.1874322032903522E-2</v>
      </c>
      <c r="T42" s="69">
        <f t="shared" ca="1" si="10"/>
        <v>2.480947983485788E-2</v>
      </c>
      <c r="U42" s="69">
        <f t="shared" ca="1" si="11"/>
        <v>3.3125013551351577E-2</v>
      </c>
      <c r="V42" s="69">
        <f t="shared" ca="1" si="12"/>
        <v>1.992293057437923E-2</v>
      </c>
      <c r="W42" s="69">
        <f t="shared" ca="1" si="13"/>
        <v>1.9922930574343328E-2</v>
      </c>
      <c r="X42" s="69">
        <f t="shared" ca="1" si="14"/>
        <v>1.9500825975961814E-2</v>
      </c>
      <c r="Z42" s="71">
        <f t="shared" ca="1" si="4"/>
        <v>2.1973847285139722E-2</v>
      </c>
      <c r="AA42" s="71">
        <f t="shared" ca="1" si="15"/>
        <v>2.6350132710569959E-2</v>
      </c>
      <c r="AB42" s="71">
        <f t="shared" ca="1" si="16"/>
        <v>2.7753937143316136E-2</v>
      </c>
      <c r="AC42" s="71">
        <f t="shared" ca="1" si="17"/>
        <v>2.9618159527615463E-2</v>
      </c>
      <c r="AD42" s="71">
        <f t="shared" ca="1" si="18"/>
        <v>2.9021247905371358E-2</v>
      </c>
      <c r="AE42" s="71">
        <f t="shared" ca="1" si="19"/>
        <v>3.3331123699000847E-2</v>
      </c>
      <c r="AF42" s="71">
        <f t="shared" ca="1" si="20"/>
        <v>3.4786532435308229E-2</v>
      </c>
      <c r="AG42" s="71">
        <f t="shared" ca="1" si="21"/>
        <v>2.6115956508524954E-2</v>
      </c>
      <c r="AH42" s="71">
        <f t="shared" ca="1" si="22"/>
        <v>2.6115956508464624E-2</v>
      </c>
      <c r="AI42" s="71">
        <f t="shared" ca="1" si="23"/>
        <v>2.5406600753426489E-2</v>
      </c>
      <c r="AK42" cm="1">
        <f t="array" aca="1" ref="AK42" ca="1">INDIRECT("'Basin Weights'!L"&amp;MATCH(AK$15,'Basin Weights'!$E:$E,0)+($N42-2022))*(1-INDIRECT("'Star Road Flow'!J"&amp;MATCH(AK$15,'Star Road Flow'!$E:$E,0)+($N42-2022)))</f>
        <v>0.38282735548860719</v>
      </c>
      <c r="AL42" cm="1">
        <f t="array" aca="1" ref="AL42" ca="1">INDIRECT("'Basin Weights'!L"&amp;MATCH(AL$15,'Basin Weights'!$E:$E,0)+($N42-2022))*(1-INDIRECT("'Star Road Flow'!J"&amp;MATCH(AL$15,'Star Road Flow'!$E:$E,0)+($N42-2022)))</f>
        <v>0.50809884181801945</v>
      </c>
      <c r="AM42" cm="1">
        <f t="array" aca="1" ref="AM42" ca="1">INDIRECT("'Basin Weights'!L"&amp;MATCH(AM$15,'Basin Weights'!$E:$E,0)+($N42-2022))*(1-INDIRECT("'Star Road Flow'!J"&amp;MATCH(AM$15,'Star Road Flow'!$E:$E,0)+($N42-2022)))</f>
        <v>0.54791434963103658</v>
      </c>
      <c r="AN42" cm="1">
        <f t="array" aca="1" ref="AN42" ca="1">INDIRECT("'Basin Weights'!L"&amp;MATCH(AN$15,'Basin Weights'!$E:$E,0)+($N42-2022))*(1-INDIRECT("'Star Road Flow'!J"&amp;MATCH(AN$15,'Star Road Flow'!$E:$E,0)+($N42-2022)))</f>
        <v>0.59382993120610417</v>
      </c>
      <c r="AO42" cm="1">
        <f t="array" aca="1" ref="AO42" ca="1">INDIRECT("'Basin Weights'!L"&amp;MATCH(AO$15,'Basin Weights'!$E:$E,0)+($N42-2022))*(1-INDIRECT("'Star Road Flow'!J"&amp;MATCH(AO$15,'Star Road Flow'!$E:$E,0)+($N42-2022)))</f>
        <v>0.5798173671128114</v>
      </c>
      <c r="AP42" cm="1">
        <f t="array" aca="1" ref="AP42" ca="1">INDIRECT("'Basin Weights'!L"&amp;MATCH(AP$15,'Basin Weights'!$E:$E,0)+($N42-2022))*(1-INDIRECT("'Star Road Flow'!J"&amp;MATCH(AP$15,'Star Road Flow'!$E:$E,0)+($N42-2022)))</f>
        <v>0.69480721887781305</v>
      </c>
      <c r="AQ42" cm="1">
        <f t="array" aca="1" ref="AQ42" ca="1">INDIRECT("'Basin Weights'!L"&amp;MATCH(AQ$15,'Basin Weights'!$E:$E,0)+($N42-2022))*(1-INDIRECT("'Star Road Flow'!J"&amp;MATCH(AQ$15,'Star Road Flow'!$E:$E,0)+($N42-2022)))</f>
        <v>0.55065389991393277</v>
      </c>
      <c r="AR42" cm="1">
        <f t="array" aca="1" ref="AR42" ca="1">INDIRECT("'Basin Weights'!L"&amp;MATCH(AR$15,'Basin Weights'!$E:$E,0)+($N42-2022))*(1-INDIRECT("'Star Road Flow'!J"&amp;MATCH(AR$15,'Star Road Flow'!$E:$E,0)+($N42-2022)))</f>
        <v>0.50139553097631773</v>
      </c>
      <c r="AS42" cm="1">
        <f t="array" aca="1" ref="AS42" ca="1">INDIRECT("'Basin Weights'!L"&amp;MATCH(AS$15,'Basin Weights'!$E:$E,0)+($N42-2022))*(1-INDIRECT("'Star Road Flow'!J"&amp;MATCH(AS$15,'Star Road Flow'!$E:$E,0)+($N42-2022)))</f>
        <v>0.50139553097459089</v>
      </c>
      <c r="AT42" cm="1">
        <f t="array" aca="1" ref="AT42" ca="1">INDIRECT("'Basin Weights'!L"&amp;MATCH(AT$15,'Basin Weights'!$E:$E,0)+($N42-2022))*(1-INDIRECT("'Star Road Flow'!J"&amp;MATCH(AT$15,'Star Road Flow'!$E:$E,0)+($N42-2022)))</f>
        <v>0.48109017081482203</v>
      </c>
      <c r="AV42" cm="1">
        <f t="array" aca="1" ref="AV42" ca="1">INDIRECT("'Basin Weights'!L"&amp;MATCH(AV$15,'Basin Weights'!$E:$E,0)+($N42-2022))*INDIRECT("'Star Road Flow'!J"&amp;MATCH(AV$15,'Star Road Flow'!$E:$E,0)+($N42-2022))</f>
        <v>1.2897964511392801E-2</v>
      </c>
      <c r="AW42" cm="1">
        <f t="array" aca="1" ref="AW42" ca="1">INDIRECT("'Basin Weights'!L"&amp;MATCH(AW$15,'Basin Weights'!$E:$E,0)+($N42-2022))*INDIRECT("'Star Road Flow'!J"&amp;MATCH(AW$15,'Star Road Flow'!$E:$E,0)+($N42-2022))</f>
        <v>1.7118528067787537E-2</v>
      </c>
      <c r="AX42" cm="1">
        <f t="array" aca="1" ref="AX42" ca="1">INDIRECT("'Basin Weights'!L"&amp;MATCH(AX$15,'Basin Weights'!$E:$E,0)+($N42-2022))*INDIRECT("'Star Road Flow'!J"&amp;MATCH(AX$15,'Star Road Flow'!$E:$E,0)+($N42-2022))</f>
        <v>1.8515325976351357E-2</v>
      </c>
      <c r="AY42" cm="1">
        <f t="array" aca="1" ref="AY42" ca="1">INDIRECT("'Basin Weights'!L"&amp;MATCH(AY$15,'Basin Weights'!$E:$E,0)+($N42-2022))*INDIRECT("'Star Road Flow'!J"&amp;MATCH(AY$15,'Star Road Flow'!$E:$E,0)+($N42-2022))</f>
        <v>2.1846379821161884E-2</v>
      </c>
      <c r="AZ42" cm="1">
        <f t="array" aca="1" ref="AZ42" ca="1">INDIRECT("'Basin Weights'!L"&amp;MATCH(AZ$15,'Basin Weights'!$E:$E,0)+($N42-2022))*INDIRECT("'Star Road Flow'!J"&amp;MATCH(AZ$15,'Star Road Flow'!$E:$E,0)+($N42-2022))</f>
        <v>2.024727718512067E-2</v>
      </c>
      <c r="BA42" cm="1">
        <f t="array" aca="1" ref="BA42" ca="1">INDIRECT("'Basin Weights'!L"&amp;MATCH(BA$15,'Basin Weights'!$E:$E,0)+($N42-2022))*INDIRECT("'Star Road Flow'!J"&amp;MATCH(BA$15,'Star Road Flow'!$E:$E,0)+($N42-2022))</f>
        <v>2.5935271122186996E-2</v>
      </c>
      <c r="BB42" cm="1">
        <f t="array" aca="1" ref="BB42" ca="1">INDIRECT("'Basin Weights'!L"&amp;MATCH(BB$15,'Basin Weights'!$E:$E,0)+($N42-2022))*INDIRECT("'Star Road Flow'!J"&amp;MATCH(BB$15,'Star Road Flow'!$E:$E,0)+($N42-2022))</f>
        <v>7.9936471128355252E-2</v>
      </c>
      <c r="BC42" cm="1">
        <f t="array" aca="1" ref="BC42" ca="1">INDIRECT("'Basin Weights'!L"&amp;MATCH(BC$15,'Basin Weights'!$E:$E,0)+($N42-2022))*INDIRECT("'Star Road Flow'!J"&amp;MATCH(BC$15,'Star Road Flow'!$E:$E,0)+($N42-2022))</f>
        <v>1.6892684579579244E-2</v>
      </c>
      <c r="BD42" cm="1">
        <f t="array" aca="1" ref="BD42" ca="1">INDIRECT("'Basin Weights'!L"&amp;MATCH(BD$15,'Basin Weights'!$E:$E,0)+($N42-2022))*INDIRECT("'Star Road Flow'!J"&amp;MATCH(BD$15,'Star Road Flow'!$E:$E,0)+($N42-2022))</f>
        <v>1.6892684579521065E-2</v>
      </c>
      <c r="BE42" cm="1">
        <f t="array" aca="1" ref="BE42" ca="1">INDIRECT("'Basin Weights'!L"&amp;MATCH(BE$15,'Basin Weights'!$E:$E,0)+($N42-2022))*INDIRECT("'Star Road Flow'!J"&amp;MATCH(BE$15,'Star Road Flow'!$E:$E,0)+($N42-2022))</f>
        <v>1.6208569897075017E-2</v>
      </c>
      <c r="BG42" cm="1">
        <f t="array" aca="1" ref="BG42" ca="1">INDIRECT("'Basin Weights'!M"&amp;MATCH(BG$15,'Basin Weights'!$E:$E,0)+($N42-2022))</f>
        <v>0.33333175999999998</v>
      </c>
      <c r="BH42" cm="1">
        <f t="array" aca="1" ref="BH42" ca="1">INDIRECT("'Basin Weights'!M"&amp;MATCH(BH$15,'Basin Weights'!$E:$E,0)+($N42-2022))</f>
        <v>0.21885032741265301</v>
      </c>
      <c r="BI42" cm="1">
        <f t="array" aca="1" ref="BI42" ca="1">INDIRECT("'Basin Weights'!M"&amp;MATCH(BI$15,'Basin Weights'!$E:$E,0)+($N42-2022))</f>
        <v>0.170864647848567</v>
      </c>
      <c r="BJ42" cm="1">
        <f t="array" aca="1" ref="BJ42" ca="1">INDIRECT("'Basin Weights'!M"&amp;MATCH(BJ$15,'Basin Weights'!$E:$E,0)+($N42-2022))</f>
        <v>0.122792055790256</v>
      </c>
      <c r="BK42" cm="1">
        <f t="array" aca="1" ref="BK42" ca="1">INDIRECT("'Basin Weights'!M"&amp;MATCH(BK$15,'Basin Weights'!$E:$E,0)+($N42-2022))</f>
        <v>0.122286376408288</v>
      </c>
      <c r="BL42" cm="1">
        <f t="array" aca="1" ref="BL42" ca="1">INDIRECT("'Basin Weights'!M"&amp;MATCH(BL$15,'Basin Weights'!$E:$E,0)+($N42-2022))</f>
        <v>7.4603600000000001E-3</v>
      </c>
      <c r="BM42" cm="1">
        <f t="array" aca="1" ref="BM42" ca="1">INDIRECT("'Basin Weights'!M"&amp;MATCH(BM$15,'Basin Weights'!$E:$E,0)+($N42-2022))</f>
        <v>0</v>
      </c>
      <c r="BN42" cm="1">
        <f t="array" aca="1" ref="BN42" ca="1">INDIRECT("'Basin Weights'!M"&amp;MATCH(BN$15,'Basin Weights'!$E:$E,0)+($N42-2022))</f>
        <v>0.22033558490927399</v>
      </c>
      <c r="BO42" cm="1">
        <f t="array" aca="1" ref="BO42" ca="1">INDIRECT("'Basin Weights'!M"&amp;MATCH(BO$15,'Basin Weights'!$E:$E,0)+($N42-2022))</f>
        <v>0.22033558490851499</v>
      </c>
      <c r="BP42" cm="1">
        <f t="array" aca="1" ref="BP42" ca="1">INDIRECT("'Basin Weights'!M"&amp;MATCH(BP$15,'Basin Weights'!$E:$E,0)+($N42-2022))</f>
        <v>0.245011213849471</v>
      </c>
      <c r="BR42" cm="1">
        <f t="array" aca="1" ref="BR42" ca="1">INDIRECT("'Basin Weights'!N"&amp;MATCH(BR$15,'Basin Weights'!$E:$E,0)+($N42-2022))</f>
        <v>0.16588462000000001</v>
      </c>
      <c r="BS42" cm="1">
        <f t="array" aca="1" ref="BS42" ca="1">INDIRECT("'Basin Weights'!N"&amp;MATCH(BS$15,'Basin Weights'!$E:$E,0)+($N42-2022))</f>
        <v>0.11649607467359401</v>
      </c>
      <c r="BT42" cm="1">
        <f t="array" aca="1" ref="BT42" ca="1">INDIRECT("'Basin Weights'!N"&amp;MATCH(BT$15,'Basin Weights'!$E:$E,0)+($N42-2022))</f>
        <v>0.111892054915204</v>
      </c>
      <c r="BU42" cm="1">
        <f t="array" aca="1" ref="BU42" ca="1">INDIRECT("'Basin Weights'!N"&amp;MATCH(BU$15,'Basin Weights'!$E:$E,0)+($N42-2022))</f>
        <v>8.9534520399324496E-2</v>
      </c>
      <c r="BV42" cm="1">
        <f t="array" aca="1" ref="BV42" ca="1">INDIRECT("'Basin Weights'!N"&amp;MATCH(BV$15,'Basin Weights'!$E:$E,0)+($N42-2022))</f>
        <v>0.11272802654917199</v>
      </c>
      <c r="BW42" cm="1">
        <f t="array" aca="1" ref="BW42" ca="1">INDIRECT("'Basin Weights'!N"&amp;MATCH(BW$15,'Basin Weights'!$E:$E,0)+($N42-2022))</f>
        <v>6.5507319999999994E-2</v>
      </c>
      <c r="BX42" cm="1">
        <f t="array" aca="1" ref="BX42" ca="1">INDIRECT("'Basin Weights'!N"&amp;MATCH(BX$15,'Basin Weights'!$E:$E,0)+($N42-2022))</f>
        <v>0</v>
      </c>
      <c r="BY42" cm="1">
        <f t="array" aca="1" ref="BY42" ca="1">INDIRECT("'Basin Weights'!N"&amp;MATCH(BY$15,'Basin Weights'!$E:$E,0)+($N42-2022))</f>
        <v>0.123779543460483</v>
      </c>
      <c r="BZ42" cm="1">
        <f t="array" aca="1" ref="BZ42" ca="1">INDIRECT("'Basin Weights'!N"&amp;MATCH(BZ$15,'Basin Weights'!$E:$E,0)+($N42-2022))</f>
        <v>0.12377954346350099</v>
      </c>
      <c r="CA42" cm="1">
        <f t="array" aca="1" ref="CA42" ca="1">INDIRECT("'Basin Weights'!N"&amp;MATCH(CA$15,'Basin Weights'!$E:$E,0)+($N42-2022))</f>
        <v>0.12566573591704899</v>
      </c>
      <c r="CC42" cm="1">
        <f t="array" aca="1" ref="CC42" ca="1">INDIRECT("'Basin Weights'!O"&amp;MATCH(CC$15,'Basin Weights'!$E:$E,0)+($N42-2022))</f>
        <v>0.10505829999999999</v>
      </c>
      <c r="CD42" cm="1">
        <f t="array" aca="1" ref="CD42" ca="1">INDIRECT("'Basin Weights'!O"&amp;MATCH(CD$15,'Basin Weights'!$E:$E,0)+($N42-2022))</f>
        <v>0.139436228027947</v>
      </c>
      <c r="CE42" cm="1">
        <f t="array" aca="1" ref="CE42" ca="1">INDIRECT("'Basin Weights'!O"&amp;MATCH(CE$15,'Basin Weights'!$E:$E,0)+($N42-2022))</f>
        <v>0.15081362162884199</v>
      </c>
      <c r="CF42" cm="1">
        <f t="array" aca="1" ref="CF42" ca="1">INDIRECT("'Basin Weights'!O"&amp;MATCH(CF$15,'Basin Weights'!$E:$E,0)+($N42-2022))</f>
        <v>0.17199711278315399</v>
      </c>
      <c r="CG42" cm="1">
        <f t="array" aca="1" ref="CG42" ca="1">INDIRECT("'Basin Weights'!O"&amp;MATCH(CG$15,'Basin Weights'!$E:$E,0)+($N42-2022))</f>
        <v>0.164920952744608</v>
      </c>
      <c r="CH42" cm="1">
        <f t="array" aca="1" ref="CH42" ca="1">INDIRECT("'Basin Weights'!O"&amp;MATCH(CH$15,'Basin Weights'!$E:$E,0)+($N42-2022))</f>
        <v>0.20628983000000001</v>
      </c>
      <c r="CI42" cm="1">
        <f t="array" aca="1" ref="CI42" ca="1">INDIRECT("'Basin Weights'!O"&amp;MATCH(CI$15,'Basin Weights'!$E:$E,0)+($N42-2022))</f>
        <v>0.36940962895771201</v>
      </c>
      <c r="CJ42" cm="1">
        <f t="array" aca="1" ref="CJ42" ca="1">INDIRECT("'Basin Weights'!O"&amp;MATCH(CJ$15,'Basin Weights'!$E:$E,0)+($N42-2022))</f>
        <v>0.13759665607434601</v>
      </c>
      <c r="CK42" cm="1">
        <f t="array" aca="1" ref="CK42" ca="1">INDIRECT("'Basin Weights'!O"&amp;MATCH(CK$15,'Basin Weights'!$E:$E,0)+($N42-2022))</f>
        <v>0.137596656073872</v>
      </c>
      <c r="CL42" cm="1">
        <f t="array" aca="1" ref="CL42" ca="1">INDIRECT("'Basin Weights'!O"&amp;MATCH(CL$15,'Basin Weights'!$E:$E,0)+($N42-2022))</f>
        <v>0.13202430952158201</v>
      </c>
      <c r="CN42">
        <f t="shared" ca="1" si="5"/>
        <v>1</v>
      </c>
      <c r="CO42">
        <f t="shared" ca="1" si="24"/>
        <v>1.0000000000000009</v>
      </c>
      <c r="CP42">
        <f t="shared" ca="1" si="25"/>
        <v>1.0000000000000009</v>
      </c>
      <c r="CQ42">
        <f t="shared" ca="1" si="26"/>
        <v>1.0000000000000004</v>
      </c>
      <c r="CR42">
        <f t="shared" ca="1" si="27"/>
        <v>1</v>
      </c>
      <c r="CS42">
        <f t="shared" ca="1" si="28"/>
        <v>1</v>
      </c>
      <c r="CT42">
        <f t="shared" ca="1" si="29"/>
        <v>1</v>
      </c>
      <c r="CU42">
        <f t="shared" ca="1" si="30"/>
        <v>1</v>
      </c>
      <c r="CV42">
        <f t="shared" ca="1" si="31"/>
        <v>1</v>
      </c>
      <c r="CW42">
        <f t="shared" ca="1" si="32"/>
        <v>0.99999999999999889</v>
      </c>
    </row>
    <row r="43" spans="2:101" x14ac:dyDescent="0.25">
      <c r="B43">
        <v>2049</v>
      </c>
      <c r="C43" s="69">
        <f>'Gas Supply Commodity Costs'!I29/'Conventional Supply Quantities'!I29</f>
        <v>4.7296387495261412</v>
      </c>
      <c r="D43" s="69">
        <f>'Gas Supply Commodity Costs'!J29/'Conventional Supply Quantities'!J29</f>
        <v>4.6253013412371509</v>
      </c>
      <c r="E43" s="69">
        <f>'Gas Supply Commodity Costs'!K29/'Conventional Supply Quantities'!K29</f>
        <v>4.592016500764295</v>
      </c>
      <c r="F43" s="69">
        <f>'Gas Supply Commodity Costs'!L29/'Conventional Supply Quantities'!L29</f>
        <v>4.4811465810256577</v>
      </c>
      <c r="G43" s="69">
        <f>'Gas Supply Commodity Costs'!M29/'Conventional Supply Quantities'!M29</f>
        <v>4.542813722962026</v>
      </c>
      <c r="H43" s="69">
        <f>'Gas Supply Commodity Costs'!N29/'Conventional Supply Quantities'!N29</f>
        <v>4.4185536369009153</v>
      </c>
      <c r="I43" s="69">
        <f>'Gas Supply Commodity Costs'!O29/'Conventional Supply Quantities'!O29</f>
        <v>4.1722560301501153</v>
      </c>
      <c r="J43" s="69">
        <f>'Gas Supply Commodity Costs'!P29/'Conventional Supply Quantities'!P29</f>
        <v>4.6329607131253399</v>
      </c>
      <c r="K43" s="69">
        <f>'Gas Supply Commodity Costs'!Q29/'Conventional Supply Quantities'!Q29</f>
        <v>4.6329607131738388</v>
      </c>
      <c r="L43" s="69">
        <f>'Gas Supply Commodity Costs'!R29/'Conventional Supply Quantities'!R29</f>
        <v>4.6551278171483848</v>
      </c>
      <c r="N43">
        <v>2049</v>
      </c>
      <c r="O43" s="69">
        <f t="shared" ca="1" si="3"/>
        <v>1.7465187570632673E-2</v>
      </c>
      <c r="P43" s="69">
        <f t="shared" ca="1" si="6"/>
        <v>2.0155359337910041E-2</v>
      </c>
      <c r="Q43" s="69">
        <f t="shared" ca="1" si="7"/>
        <v>2.104637732695476E-2</v>
      </c>
      <c r="R43" s="69">
        <f t="shared" ca="1" si="8"/>
        <v>2.2764067635572642E-2</v>
      </c>
      <c r="S43" s="69">
        <f t="shared" ca="1" si="9"/>
        <v>2.2011943414671699E-2</v>
      </c>
      <c r="T43" s="69">
        <f t="shared" ca="1" si="10"/>
        <v>2.6047994614342408E-2</v>
      </c>
      <c r="U43" s="69">
        <f t="shared" ca="1" si="11"/>
        <v>3.0871369851984673E-2</v>
      </c>
      <c r="V43" s="69">
        <f t="shared" ca="1" si="12"/>
        <v>2.002805714021838E-2</v>
      </c>
      <c r="W43" s="69">
        <f t="shared" ca="1" si="13"/>
        <v>2.0028057140144905E-2</v>
      </c>
      <c r="X43" s="69">
        <f t="shared" ca="1" si="14"/>
        <v>1.9600291602526985E-2</v>
      </c>
      <c r="Z43" s="71">
        <f t="shared" ca="1" si="4"/>
        <v>2.1983731880516309E-2</v>
      </c>
      <c r="AA43" s="71">
        <f t="shared" ca="1" si="15"/>
        <v>2.6499630815191643E-2</v>
      </c>
      <c r="AB43" s="71">
        <f t="shared" ca="1" si="16"/>
        <v>2.7857769063080864E-2</v>
      </c>
      <c r="AC43" s="71">
        <f t="shared" ca="1" si="17"/>
        <v>2.9652610859164503E-2</v>
      </c>
      <c r="AD43" s="71">
        <f t="shared" ca="1" si="18"/>
        <v>2.91371028238992E-2</v>
      </c>
      <c r="AE43" s="71">
        <f t="shared" ca="1" si="19"/>
        <v>3.3860760144964371E-2</v>
      </c>
      <c r="AF43" s="71">
        <f t="shared" ca="1" si="20"/>
        <v>3.4875782047903446E-2</v>
      </c>
      <c r="AG43" s="71">
        <f t="shared" ca="1" si="21"/>
        <v>2.6290066527392107E-2</v>
      </c>
      <c r="AH43" s="71">
        <f t="shared" ca="1" si="22"/>
        <v>2.6290066527268646E-2</v>
      </c>
      <c r="AI43" s="71">
        <f t="shared" ca="1" si="23"/>
        <v>2.5571301353618604E-2</v>
      </c>
      <c r="AK43" cm="1">
        <f t="array" aca="1" ref="AK43" ca="1">INDIRECT("'Basin Weights'!L"&amp;MATCH(AK$15,'Basin Weights'!$E:$E,0)+($N43-2022))*(1-INDIRECT("'Star Road Flow'!J"&amp;MATCH(AK$15,'Star Road Flow'!$E:$E,0)+($N43-2022)))</f>
        <v>0.38308576415452555</v>
      </c>
      <c r="AL43" cm="1">
        <f t="array" aca="1" ref="AL43" ca="1">INDIRECT("'Basin Weights'!L"&amp;MATCH(AL$15,'Basin Weights'!$E:$E,0)+($N43-2022))*(1-INDIRECT("'Star Road Flow'!J"&amp;MATCH(AL$15,'Star Road Flow'!$E:$E,0)+($N43-2022)))</f>
        <v>0.512290413885923</v>
      </c>
      <c r="AM43" cm="1">
        <f t="array" aca="1" ref="AM43" ca="1">INDIRECT("'Basin Weights'!L"&amp;MATCH(AM$15,'Basin Weights'!$E:$E,0)+($N43-2022))*(1-INDIRECT("'Star Road Flow'!J"&amp;MATCH(AM$15,'Star Road Flow'!$E:$E,0)+($N43-2022)))</f>
        <v>0.54940199358554842</v>
      </c>
      <c r="AN43" cm="1">
        <f t="array" aca="1" ref="AN43" ca="1">INDIRECT("'Basin Weights'!L"&amp;MATCH(AN$15,'Basin Weights'!$E:$E,0)+($N43-2022))*(1-INDIRECT("'Star Road Flow'!J"&amp;MATCH(AN$15,'Star Road Flow'!$E:$E,0)+($N43-2022)))</f>
        <v>0.58631572716774472</v>
      </c>
      <c r="AO43" cm="1">
        <f t="array" aca="1" ref="AO43" ca="1">INDIRECT("'Basin Weights'!L"&amp;MATCH(AO$15,'Basin Weights'!$E:$E,0)+($N43-2022))*(1-INDIRECT("'Star Road Flow'!J"&amp;MATCH(AO$15,'Star Road Flow'!$E:$E,0)+($N43-2022)))</f>
        <v>0.58167042915859024</v>
      </c>
      <c r="AP43" cm="1">
        <f t="array" aca="1" ref="AP43" ca="1">INDIRECT("'Basin Weights'!L"&amp;MATCH(AP$15,'Basin Weights'!$E:$E,0)+($N43-2022))*(1-INDIRECT("'Star Road Flow'!J"&amp;MATCH(AP$15,'Star Road Flow'!$E:$E,0)+($N43-2022)))</f>
        <v>0.6901907994080031</v>
      </c>
      <c r="AQ43" cm="1">
        <f t="array" aca="1" ref="AQ43" ca="1">INDIRECT("'Basin Weights'!L"&amp;MATCH(AQ$15,'Basin Weights'!$E:$E,0)+($N43-2022))*(1-INDIRECT("'Star Road Flow'!J"&amp;MATCH(AQ$15,'Star Road Flow'!$E:$E,0)+($N43-2022)))</f>
        <v>0.60271807631585217</v>
      </c>
      <c r="AR43" cm="1">
        <f t="array" aca="1" ref="AR43" ca="1">INDIRECT("'Basin Weights'!L"&amp;MATCH(AR$15,'Basin Weights'!$E:$E,0)+($N43-2022))*(1-INDIRECT("'Star Road Flow'!J"&amp;MATCH(AR$15,'Star Road Flow'!$E:$E,0)+($N43-2022)))</f>
        <v>0.50634702033119605</v>
      </c>
      <c r="AS43" cm="1">
        <f t="array" aca="1" ref="AS43" ca="1">INDIRECT("'Basin Weights'!L"&amp;MATCH(AS$15,'Basin Weights'!$E:$E,0)+($N43-2022))*(1-INDIRECT("'Star Road Flow'!J"&amp;MATCH(AS$15,'Star Road Flow'!$E:$E,0)+($N43-2022)))</f>
        <v>0.5063470203276621</v>
      </c>
      <c r="AT43" cm="1">
        <f t="array" aca="1" ref="AT43" ca="1">INDIRECT("'Basin Weights'!L"&amp;MATCH(AT$15,'Basin Weights'!$E:$E,0)+($N43-2022))*(1-INDIRECT("'Star Road Flow'!J"&amp;MATCH(AT$15,'Star Road Flow'!$E:$E,0)+($N43-2022)))</f>
        <v>0.48577363223825115</v>
      </c>
      <c r="AV43" cm="1">
        <f t="array" aca="1" ref="AV43" ca="1">INDIRECT("'Basin Weights'!L"&amp;MATCH(AV$15,'Basin Weights'!$E:$E,0)+($N43-2022))*INDIRECT("'Star Road Flow'!J"&amp;MATCH(AV$15,'Star Road Flow'!$E:$E,0)+($N43-2022))</f>
        <v>1.2910355845474446E-2</v>
      </c>
      <c r="AW43" cm="1">
        <f t="array" aca="1" ref="AW43" ca="1">INDIRECT("'Basin Weights'!L"&amp;MATCH(AW$15,'Basin Weights'!$E:$E,0)+($N43-2022))*INDIRECT("'Star Road Flow'!J"&amp;MATCH(AW$15,'Star Road Flow'!$E:$E,0)+($N43-2022))</f>
        <v>1.7272941498438967E-2</v>
      </c>
      <c r="AX43" cm="1">
        <f t="array" aca="1" ref="AX43" ca="1">INDIRECT("'Basin Weights'!L"&amp;MATCH(AX$15,'Basin Weights'!$E:$E,0)+($N43-2022))*INDIRECT("'Star Road Flow'!J"&amp;MATCH(AX$15,'Star Road Flow'!$E:$E,0)+($N43-2022))</f>
        <v>1.8788475453713496E-2</v>
      </c>
      <c r="AY43" cm="1">
        <f t="array" aca="1" ref="AY43" ca="1">INDIRECT("'Basin Weights'!L"&amp;MATCH(AY$15,'Basin Weights'!$E:$E,0)+($N43-2022))*INDIRECT("'Star Road Flow'!J"&amp;MATCH(AY$15,'Star Road Flow'!$E:$E,0)+($N43-2022))</f>
        <v>2.2915676997379279E-2</v>
      </c>
      <c r="AZ43" cm="1">
        <f t="array" aca="1" ref="AZ43" ca="1">INDIRECT("'Basin Weights'!L"&amp;MATCH(AZ$15,'Basin Weights'!$E:$E,0)+($N43-2022))*INDIRECT("'Star Road Flow'!J"&amp;MATCH(AZ$15,'Star Road Flow'!$E:$E,0)+($N43-2022))</f>
        <v>2.0529544300607733E-2</v>
      </c>
      <c r="BA43" cm="1">
        <f t="array" aca="1" ref="BA43" ca="1">INDIRECT("'Basin Weights'!L"&amp;MATCH(BA$15,'Basin Weights'!$E:$E,0)+($N43-2022))*INDIRECT("'Star Road Flow'!J"&amp;MATCH(BA$15,'Star Road Flow'!$E:$E,0)+($N43-2022))</f>
        <v>2.8870620591996878E-2</v>
      </c>
      <c r="BB43" cm="1">
        <f t="array" aca="1" ref="BB43" ca="1">INDIRECT("'Basin Weights'!L"&amp;MATCH(BB$15,'Basin Weights'!$E:$E,0)+($N43-2022))*INDIRECT("'Star Road Flow'!J"&amp;MATCH(BB$15,'Star Road Flow'!$E:$E,0)+($N43-2022))</f>
        <v>7.3838260115176774E-2</v>
      </c>
      <c r="BC43" cm="1">
        <f t="array" aca="1" ref="BC43" ca="1">INDIRECT("'Basin Weights'!L"&amp;MATCH(BC$15,'Basin Weights'!$E:$E,0)+($N43-2022))*INDIRECT("'Star Road Flow'!J"&amp;MATCH(BC$15,'Star Road Flow'!$E:$E,0)+($N43-2022))</f>
        <v>1.7064377811582009E-2</v>
      </c>
      <c r="BD43" cm="1">
        <f t="array" aca="1" ref="BD43" ca="1">INDIRECT("'Basin Weights'!L"&amp;MATCH(BD$15,'Basin Weights'!$E:$E,0)+($N43-2022))*INDIRECT("'Star Road Flow'!J"&amp;MATCH(BD$15,'Star Road Flow'!$E:$E,0)+($N43-2022))</f>
        <v>1.7064377811462909E-2</v>
      </c>
      <c r="BE43" cm="1">
        <f t="array" aca="1" ref="BE43" ca="1">INDIRECT("'Basin Weights'!L"&amp;MATCH(BE$15,'Basin Weights'!$E:$E,0)+($N43-2022))*INDIRECT("'Star Road Flow'!J"&amp;MATCH(BE$15,'Star Road Flow'!$E:$E,0)+($N43-2022))</f>
        <v>1.6371034998874864E-2</v>
      </c>
      <c r="BG43" cm="1">
        <f t="array" aca="1" ref="BG43" ca="1">INDIRECT("'Basin Weights'!M"&amp;MATCH(BG$15,'Basin Weights'!$E:$E,0)+($N43-2022))</f>
        <v>0.31266292000000001</v>
      </c>
      <c r="BH43" cm="1">
        <f t="array" aca="1" ref="BH43" ca="1">INDIRECT("'Basin Weights'!M"&amp;MATCH(BH$15,'Basin Weights'!$E:$E,0)+($N43-2022))</f>
        <v>0.20037107018459399</v>
      </c>
      <c r="BI43" cm="1">
        <f t="array" aca="1" ref="BI43" ca="1">INDIRECT("'Basin Weights'!M"&amp;MATCH(BI$15,'Basin Weights'!$E:$E,0)+($N43-2022))</f>
        <v>0.15324202217451199</v>
      </c>
      <c r="BJ43" cm="1">
        <f t="array" aca="1" ref="BJ43" ca="1">INDIRECT("'Basin Weights'!M"&amp;MATCH(BJ$15,'Basin Weights'!$E:$E,0)+($N43-2022))</f>
        <v>0.114371601008873</v>
      </c>
      <c r="BK43" cm="1">
        <f t="array" aca="1" ref="BK43" ca="1">INDIRECT("'Basin Weights'!M"&amp;MATCH(BK$15,'Basin Weights'!$E:$E,0)+($N43-2022))</f>
        <v>0.127991555732515</v>
      </c>
      <c r="BL43" cm="1">
        <f t="array" aca="1" ref="BL43" ca="1">INDIRECT("'Basin Weights'!M"&amp;MATCH(BL$15,'Basin Weights'!$E:$E,0)+($N43-2022))</f>
        <v>5.18097E-2</v>
      </c>
      <c r="BM43" cm="1">
        <f t="array" aca="1" ref="BM43" ca="1">INDIRECT("'Basin Weights'!M"&amp;MATCH(BM$15,'Basin Weights'!$E:$E,0)+($N43-2022))</f>
        <v>0</v>
      </c>
      <c r="BN43" cm="1">
        <f t="array" aca="1" ref="BN43" ca="1">INDIRECT("'Basin Weights'!M"&amp;MATCH(BN$15,'Basin Weights'!$E:$E,0)+($N43-2022))</f>
        <v>0.207601354913307</v>
      </c>
      <c r="BO43" cm="1">
        <f t="array" aca="1" ref="BO43" ca="1">INDIRECT("'Basin Weights'!M"&amp;MATCH(BO$15,'Basin Weights'!$E:$E,0)+($N43-2022))</f>
        <v>0.20760135491883699</v>
      </c>
      <c r="BP43" cm="1">
        <f t="array" aca="1" ref="BP43" ca="1">INDIRECT("'Basin Weights'!M"&amp;MATCH(BP$15,'Basin Weights'!$E:$E,0)+($N43-2022))</f>
        <v>0.223319712204334</v>
      </c>
      <c r="BR43" cm="1">
        <f t="array" aca="1" ref="BR43" ca="1">INDIRECT("'Basin Weights'!N"&amp;MATCH(BR$15,'Basin Weights'!$E:$E,0)+($N43-2022))</f>
        <v>0.18618172999999999</v>
      </c>
      <c r="BS43" cm="1">
        <f t="array" aca="1" ref="BS43" ca="1">INDIRECT("'Basin Weights'!N"&amp;MATCH(BS$15,'Basin Weights'!$E:$E,0)+($N43-2022))</f>
        <v>0.12937159654098501</v>
      </c>
      <c r="BT43" cm="1">
        <f t="array" aca="1" ref="BT43" ca="1">INDIRECT("'Basin Weights'!N"&amp;MATCH(BT$15,'Basin Weights'!$E:$E,0)+($N43-2022))</f>
        <v>0.125528991847948</v>
      </c>
      <c r="BU43" cm="1">
        <f t="array" aca="1" ref="BU43" ca="1">INDIRECT("'Basin Weights'!N"&amp;MATCH(BU$15,'Basin Weights'!$E:$E,0)+($N43-2022))</f>
        <v>9.6096346319809595E-2</v>
      </c>
      <c r="BV43" cm="1">
        <f t="array" aca="1" ref="BV43" ca="1">INDIRECT("'Basin Weights'!N"&amp;MATCH(BV$15,'Basin Weights'!$E:$E,0)+($N43-2022))</f>
        <v>0.10258835649298099</v>
      </c>
      <c r="BW43" cm="1">
        <f t="array" aca="1" ref="BW43" ca="1">INDIRECT("'Basin Weights'!N"&amp;MATCH(BW$15,'Basin Weights'!$E:$E,0)+($N43-2022))</f>
        <v>0</v>
      </c>
      <c r="BX43" cm="1">
        <f t="array" aca="1" ref="BX43" ca="1">INDIRECT("'Basin Weights'!N"&amp;MATCH(BX$15,'Basin Weights'!$E:$E,0)+($N43-2022))</f>
        <v>0</v>
      </c>
      <c r="BY43" cm="1">
        <f t="array" aca="1" ref="BY43" ca="1">INDIRECT("'Basin Weights'!N"&amp;MATCH(BY$15,'Basin Weights'!$E:$E,0)+($N43-2022))</f>
        <v>0.12999209115316501</v>
      </c>
      <c r="BZ43" cm="1">
        <f t="array" aca="1" ref="BZ43" ca="1">INDIRECT("'Basin Weights'!N"&amp;MATCH(BZ$15,'Basin Weights'!$E:$E,0)+($N43-2022))</f>
        <v>0.12999209115225799</v>
      </c>
      <c r="CA43" cm="1">
        <f t="array" aca="1" ref="CA43" ca="1">INDIRECT("'Basin Weights'!N"&amp;MATCH(CA$15,'Basin Weights'!$E:$E,0)+($N43-2022))</f>
        <v>0.14118797757679699</v>
      </c>
      <c r="CC43" cm="1">
        <f t="array" aca="1" ref="CC43" ca="1">INDIRECT("'Basin Weights'!O"&amp;MATCH(CC$15,'Basin Weights'!$E:$E,0)+($N43-2022))</f>
        <v>0.10515924</v>
      </c>
      <c r="CD43" cm="1">
        <f t="array" aca="1" ref="CD43" ca="1">INDIRECT("'Basin Weights'!O"&amp;MATCH(CD$15,'Basin Weights'!$E:$E,0)+($N43-2022))</f>
        <v>0.140693977890059</v>
      </c>
      <c r="CE43" cm="1">
        <f t="array" aca="1" ref="CE43" ca="1">INDIRECT("'Basin Weights'!O"&amp;MATCH(CE$15,'Basin Weights'!$E:$E,0)+($N43-2022))</f>
        <v>0.153038516938278</v>
      </c>
      <c r="CF43" cm="1">
        <f t="array" aca="1" ref="CF43" ca="1">INDIRECT("'Basin Weights'!O"&amp;MATCH(CF$15,'Basin Weights'!$E:$E,0)+($N43-2022))</f>
        <v>0.18030064850619301</v>
      </c>
      <c r="CG43" cm="1">
        <f t="array" aca="1" ref="CG43" ca="1">INDIRECT("'Basin Weights'!O"&amp;MATCH(CG$15,'Basin Weights'!$E:$E,0)+($N43-2022))</f>
        <v>0.16722011431530701</v>
      </c>
      <c r="CH43" cm="1">
        <f t="array" aca="1" ref="CH43" ca="1">INDIRECT("'Basin Weights'!O"&amp;MATCH(CH$15,'Basin Weights'!$E:$E,0)+($N43-2022))</f>
        <v>0.22912888000000001</v>
      </c>
      <c r="CI43" cm="1">
        <f t="array" aca="1" ref="CI43" ca="1">INDIRECT("'Basin Weights'!O"&amp;MATCH(CI$15,'Basin Weights'!$E:$E,0)+($N43-2022))</f>
        <v>0.32344366356897097</v>
      </c>
      <c r="CJ43" cm="1">
        <f t="array" aca="1" ref="CJ43" ca="1">INDIRECT("'Basin Weights'!O"&amp;MATCH(CJ$15,'Basin Weights'!$E:$E,0)+($N43-2022))</f>
        <v>0.13899515579075</v>
      </c>
      <c r="CK43" cm="1">
        <f t="array" aca="1" ref="CK43" ca="1">INDIRECT("'Basin Weights'!O"&amp;MATCH(CK$15,'Basin Weights'!$E:$E,0)+($N43-2022))</f>
        <v>0.13899515578978</v>
      </c>
      <c r="CL43" cm="1">
        <f t="array" aca="1" ref="CL43" ca="1">INDIRECT("'Basin Weights'!O"&amp;MATCH(CL$15,'Basin Weights'!$E:$E,0)+($N43-2022))</f>
        <v>0.13334764298174401</v>
      </c>
      <c r="CN43">
        <f t="shared" ca="1" si="5"/>
        <v>1.0000000099999999</v>
      </c>
      <c r="CO43">
        <f t="shared" ca="1" si="24"/>
        <v>1</v>
      </c>
      <c r="CP43">
        <f t="shared" ca="1" si="25"/>
        <v>0.99999999999999989</v>
      </c>
      <c r="CQ43">
        <f t="shared" ca="1" si="26"/>
        <v>0.99999999999999956</v>
      </c>
      <c r="CR43">
        <f t="shared" ca="1" si="27"/>
        <v>1.0000000000000009</v>
      </c>
      <c r="CS43">
        <f t="shared" ca="1" si="28"/>
        <v>1</v>
      </c>
      <c r="CT43">
        <f t="shared" ca="1" si="29"/>
        <v>0.99999999999999989</v>
      </c>
      <c r="CU43">
        <f t="shared" ca="1" si="30"/>
        <v>1</v>
      </c>
      <c r="CV43">
        <f t="shared" ca="1" si="31"/>
        <v>1</v>
      </c>
      <c r="CW43">
        <f t="shared" ca="1" si="32"/>
        <v>1.0000000000000009</v>
      </c>
    </row>
    <row r="44" spans="2:101" x14ac:dyDescent="0.25">
      <c r="B44">
        <v>2050</v>
      </c>
      <c r="C44" s="69">
        <f>'Gas Supply Commodity Costs'!I30/'Conventional Supply Quantities'!I30</f>
        <v>4.960391366336772</v>
      </c>
      <c r="D44" s="69">
        <f>'Gas Supply Commodity Costs'!J30/'Conventional Supply Quantities'!J30</f>
        <v>4.8350110405507563</v>
      </c>
      <c r="E44" s="69">
        <f>'Gas Supply Commodity Costs'!K30/'Conventional Supply Quantities'!K30</f>
        <v>4.816044729105398</v>
      </c>
      <c r="F44" s="69">
        <f>'Gas Supply Commodity Costs'!L30/'Conventional Supply Quantities'!L30</f>
        <v>4.7281821462437508</v>
      </c>
      <c r="G44" s="69">
        <f>'Gas Supply Commodity Costs'!M30/'Conventional Supply Quantities'!M30</f>
        <v>4.7909588249031874</v>
      </c>
      <c r="H44" s="69">
        <f>'Gas Supply Commodity Costs'!N30/'Conventional Supply Quantities'!N30</f>
        <v>4.6338910718139861</v>
      </c>
      <c r="I44" s="69">
        <f>'Gas Supply Commodity Costs'!O30/'Conventional Supply Quantities'!O30</f>
        <v>4.401331617676135</v>
      </c>
      <c r="J44" s="69">
        <f>'Gas Supply Commodity Costs'!P30/'Conventional Supply Quantities'!P30</f>
        <v>4.8379338816265589</v>
      </c>
      <c r="K44" s="69">
        <f>'Gas Supply Commodity Costs'!Q30/'Conventional Supply Quantities'!Q30</f>
        <v>4.8379338816868431</v>
      </c>
      <c r="L44" s="69">
        <f>'Gas Supply Commodity Costs'!R30/'Conventional Supply Quantities'!R30</f>
        <v>4.8502160532915033</v>
      </c>
      <c r="N44">
        <v>2050</v>
      </c>
      <c r="O44" s="69">
        <f t="shared" ca="1" si="3"/>
        <v>1.7654934811637706E-2</v>
      </c>
      <c r="P44" s="69">
        <f t="shared" ca="1" si="6"/>
        <v>2.0586675790314167E-2</v>
      </c>
      <c r="Q44" s="69">
        <f t="shared" ca="1" si="7"/>
        <v>2.1369824665539917E-2</v>
      </c>
      <c r="R44" s="69">
        <f t="shared" ca="1" si="8"/>
        <v>2.3884034208625962E-2</v>
      </c>
      <c r="S44" s="69">
        <f t="shared" ca="1" si="9"/>
        <v>2.2097201774139916E-2</v>
      </c>
      <c r="T44" s="69">
        <f t="shared" ca="1" si="10"/>
        <v>2.7791711819010828E-2</v>
      </c>
      <c r="U44" s="69">
        <f t="shared" ca="1" si="11"/>
        <v>3.7893025600853503E-2</v>
      </c>
      <c r="V44" s="69">
        <f t="shared" ca="1" si="12"/>
        <v>2.051396637970699E-2</v>
      </c>
      <c r="W44" s="69">
        <f t="shared" ca="1" si="13"/>
        <v>2.0513966379626554E-2</v>
      </c>
      <c r="X44" s="69">
        <f t="shared" ca="1" si="14"/>
        <v>2.0167860359303985E-2</v>
      </c>
      <c r="Z44" s="71">
        <f t="shared" ca="1" si="4"/>
        <v>2.2302560580733422E-2</v>
      </c>
      <c r="AA44" s="71">
        <f t="shared" ca="1" si="15"/>
        <v>2.7200651452557959E-2</v>
      </c>
      <c r="AB44" s="71">
        <f t="shared" ca="1" si="16"/>
        <v>2.8346637809758986E-2</v>
      </c>
      <c r="AC44" s="71">
        <f t="shared" ca="1" si="17"/>
        <v>3.0485878078376601E-2</v>
      </c>
      <c r="AD44" s="71">
        <f t="shared" ca="1" si="18"/>
        <v>2.9237448675623542E-2</v>
      </c>
      <c r="AE44" s="71">
        <f t="shared" ca="1" si="19"/>
        <v>3.5106581894150245E-2</v>
      </c>
      <c r="AF44" s="71">
        <f t="shared" ca="1" si="20"/>
        <v>3.4742312768624127E-2</v>
      </c>
      <c r="AG44" s="71">
        <f t="shared" ca="1" si="21"/>
        <v>2.7106529304744584E-2</v>
      </c>
      <c r="AH44" s="71">
        <f t="shared" ca="1" si="22"/>
        <v>2.7106529304609453E-2</v>
      </c>
      <c r="AI44" s="71">
        <f t="shared" ca="1" si="23"/>
        <v>2.6524974850307682E-2</v>
      </c>
      <c r="AK44" cm="1">
        <f t="array" aca="1" ref="AK44" ca="1">INDIRECT("'Basin Weights'!L"&amp;MATCH(AK$15,'Basin Weights'!$E:$E,0)+($N44-2022))*(1-INDIRECT("'Star Road Flow'!J"&amp;MATCH(AK$15,'Star Road Flow'!$E:$E,0)+($N44-2022)))</f>
        <v>0.39221168201346518</v>
      </c>
      <c r="AL44" cm="1">
        <f t="array" aca="1" ref="AL44" ca="1">INDIRECT("'Basin Weights'!L"&amp;MATCH(AL$15,'Basin Weights'!$E:$E,0)+($N44-2022))*(1-INDIRECT("'Star Road Flow'!J"&amp;MATCH(AL$15,'Star Road Flow'!$E:$E,0)+($N44-2022)))</f>
        <v>0.53205524575856811</v>
      </c>
      <c r="AM44" cm="1">
        <f t="array" aca="1" ref="AM44" ca="1">INDIRECT("'Basin Weights'!L"&amp;MATCH(AM$15,'Basin Weights'!$E:$E,0)+($N44-2022))*(1-INDIRECT("'Star Road Flow'!J"&amp;MATCH(AM$15,'Star Road Flow'!$E:$E,0)+($N44-2022)))</f>
        <v>0.56270252476677884</v>
      </c>
      <c r="AN44" cm="1">
        <f t="array" aca="1" ref="AN44" ca="1">INDIRECT("'Basin Weights'!L"&amp;MATCH(AN$15,'Basin Weights'!$E:$E,0)+($N44-2022))*(1-INDIRECT("'Star Road Flow'!J"&amp;MATCH(AN$15,'Star Road Flow'!$E:$E,0)+($N44-2022)))</f>
        <v>0.59749304986873097</v>
      </c>
      <c r="AO44" cm="1">
        <f t="array" aca="1" ref="AO44" ca="1">INDIRECT("'Basin Weights'!L"&amp;MATCH(AO$15,'Basin Weights'!$E:$E,0)+($N44-2022))*(1-INDIRECT("'Star Road Flow'!J"&amp;MATCH(AO$15,'Star Road Flow'!$E:$E,0)+($N44-2022)))</f>
        <v>0.58399854051588673</v>
      </c>
      <c r="AP44" cm="1">
        <f t="array" aca="1" ref="AP44" ca="1">INDIRECT("'Basin Weights'!L"&amp;MATCH(AP$15,'Basin Weights'!$E:$E,0)+($N44-2022))*(1-INDIRECT("'Star Road Flow'!J"&amp;MATCH(AP$15,'Star Road Flow'!$E:$E,0)+($N44-2022)))</f>
        <v>0.7043572378610099</v>
      </c>
      <c r="AQ44" cm="1">
        <f t="array" aca="1" ref="AQ44" ca="1">INDIRECT("'Basin Weights'!L"&amp;MATCH(AQ$15,'Basin Weights'!$E:$E,0)+($N44-2022))*(1-INDIRECT("'Star Road Flow'!J"&amp;MATCH(AQ$15,'Star Road Flow'!$E:$E,0)+($N44-2022)))</f>
        <v>0.46435374158003567</v>
      </c>
      <c r="AR44" cm="1">
        <f t="array" aca="1" ref="AR44" ca="1">INDIRECT("'Basin Weights'!L"&amp;MATCH(AR$15,'Basin Weights'!$E:$E,0)+($N44-2022))*(1-INDIRECT("'Star Road Flow'!J"&amp;MATCH(AR$15,'Star Road Flow'!$E:$E,0)+($N44-2022)))</f>
        <v>0.52971683038157724</v>
      </c>
      <c r="AS44" cm="1">
        <f t="array" aca="1" ref="AS44" ca="1">INDIRECT("'Basin Weights'!L"&amp;MATCH(AS$15,'Basin Weights'!$E:$E,0)+($N44-2022))*(1-INDIRECT("'Star Road Flow'!J"&amp;MATCH(AS$15,'Star Road Flow'!$E:$E,0)+($N44-2022)))</f>
        <v>0.52971683037770967</v>
      </c>
      <c r="AT44" cm="1">
        <f t="array" aca="1" ref="AT44" ca="1">INDIRECT("'Basin Weights'!L"&amp;MATCH(AT$15,'Basin Weights'!$E:$E,0)+($N44-2022))*(1-INDIRECT("'Star Road Flow'!J"&amp;MATCH(AT$15,'Star Road Flow'!$E:$E,0)+($N44-2022)))</f>
        <v>0.51307085764266802</v>
      </c>
      <c r="AV44" cm="1">
        <f t="array" aca="1" ref="AV44" ca="1">INDIRECT("'Basin Weights'!L"&amp;MATCH(AV$15,'Basin Weights'!$E:$E,0)+($N44-2022))*INDIRECT("'Star Road Flow'!J"&amp;MATCH(AV$15,'Star Road Flow'!$E:$E,0)+($N44-2022))</f>
        <v>1.3217907986534837E-2</v>
      </c>
      <c r="AW44" cm="1">
        <f t="array" aca="1" ref="AW44" ca="1">INDIRECT("'Basin Weights'!L"&amp;MATCH(AW$15,'Basin Weights'!$E:$E,0)+($N44-2022))*INDIRECT("'Star Road Flow'!J"&amp;MATCH(AW$15,'Star Road Flow'!$E:$E,0)+($N44-2022))</f>
        <v>1.7984205656749807E-2</v>
      </c>
      <c r="AX44" cm="1">
        <f t="array" aca="1" ref="AX44" ca="1">INDIRECT("'Basin Weights'!L"&amp;MATCH(AX$15,'Basin Weights'!$E:$E,0)+($N44-2022))*INDIRECT("'Star Road Flow'!J"&amp;MATCH(AX$15,'Star Road Flow'!$E:$E,0)+($N44-2022))</f>
        <v>1.9340755509895169E-2</v>
      </c>
      <c r="AY44" cm="1">
        <f t="array" aca="1" ref="AY44" ca="1">INDIRECT("'Basin Weights'!L"&amp;MATCH(AY$15,'Basin Weights'!$E:$E,0)+($N44-2022))*INDIRECT("'Star Road Flow'!J"&amp;MATCH(AY$15,'Star Road Flow'!$E:$E,0)+($N44-2022))</f>
        <v>2.4485864366830996E-2</v>
      </c>
      <c r="AZ44" cm="1">
        <f t="array" aca="1" ref="AZ44" ca="1">INDIRECT("'Basin Weights'!L"&amp;MATCH(AZ$15,'Basin Weights'!$E:$E,0)+($N44-2022))*INDIRECT("'Star Road Flow'!J"&amp;MATCH(AZ$15,'Star Road Flow'!$E:$E,0)+($N44-2022))</f>
        <v>2.0689752701062148E-2</v>
      </c>
      <c r="BA44" cm="1">
        <f t="array" aca="1" ref="BA44" ca="1">INDIRECT("'Basin Weights'!L"&amp;MATCH(BA$15,'Basin Weights'!$E:$E,0)+($N44-2022))*INDIRECT("'Star Road Flow'!J"&amp;MATCH(BA$15,'Star Road Flow'!$E:$E,0)+($N44-2022))</f>
        <v>3.2735872138990041E-2</v>
      </c>
      <c r="BB44" cm="1">
        <f t="array" aca="1" ref="BB44" ca="1">INDIRECT("'Basin Weights'!L"&amp;MATCH(BB$15,'Basin Weights'!$E:$E,0)+($N44-2022))*INDIRECT("'Star Road Flow'!J"&amp;MATCH(BB$15,'Star Road Flow'!$E:$E,0)+($N44-2022))</f>
        <v>7.02662751933473E-2</v>
      </c>
      <c r="BC44" cm="1">
        <f t="array" aca="1" ref="BC44" ca="1">INDIRECT("'Basin Weights'!L"&amp;MATCH(BC$15,'Basin Weights'!$E:$E,0)+($N44-2022))*INDIRECT("'Star Road Flow'!J"&amp;MATCH(BC$15,'Star Road Flow'!$E:$E,0)+($N44-2022))</f>
        <v>1.7851962712987703E-2</v>
      </c>
      <c r="BD44" cm="1">
        <f t="array" aca="1" ref="BD44" ca="1">INDIRECT("'Basin Weights'!L"&amp;MATCH(BD$15,'Basin Weights'!$E:$E,0)+($N44-2022))*INDIRECT("'Star Road Flow'!J"&amp;MATCH(BD$15,'Star Road Flow'!$E:$E,0)+($N44-2022))</f>
        <v>1.7851962712857362E-2</v>
      </c>
      <c r="BE44" cm="1">
        <f t="array" aca="1" ref="BE44" ca="1">INDIRECT("'Basin Weights'!L"&amp;MATCH(BE$15,'Basin Weights'!$E:$E,0)+($N44-2022))*INDIRECT("'Star Road Flow'!J"&amp;MATCH(BE$15,'Star Road Flow'!$E:$E,0)+($N44-2022))</f>
        <v>1.7290977545794964E-2</v>
      </c>
      <c r="BG44" cm="1">
        <f t="array" aca="1" ref="BG44" ca="1">INDIRECT("'Basin Weights'!M"&amp;MATCH(BG$15,'Basin Weights'!$E:$E,0)+($N44-2022))</f>
        <v>0.32748234999999998</v>
      </c>
      <c r="BH44" cm="1">
        <f t="array" aca="1" ref="BH44" ca="1">INDIRECT("'Basin Weights'!M"&amp;MATCH(BH$15,'Basin Weights'!$E:$E,0)+($N44-2022))</f>
        <v>0.22258840533329599</v>
      </c>
      <c r="BI44" cm="1">
        <f t="array" aca="1" ref="BI44" ca="1">INDIRECT("'Basin Weights'!M"&amp;MATCH(BI$15,'Basin Weights'!$E:$E,0)+($N44-2022))</f>
        <v>0.21859491207654499</v>
      </c>
      <c r="BJ44" cm="1">
        <f t="array" aca="1" ref="BJ44" ca="1">INDIRECT("'Basin Weights'!M"&amp;MATCH(BJ$15,'Basin Weights'!$E:$E,0)+($N44-2022))</f>
        <v>0.126638864068605</v>
      </c>
      <c r="BK44" cm="1">
        <f t="array" aca="1" ref="BK44" ca="1">INDIRECT("'Basin Weights'!M"&amp;MATCH(BK$15,'Basin Weights'!$E:$E,0)+($N44-2022))</f>
        <v>0.18327908719512701</v>
      </c>
      <c r="BL44" cm="1">
        <f t="array" aca="1" ref="BL44" ca="1">INDIRECT("'Basin Weights'!M"&amp;MATCH(BL$15,'Basin Weights'!$E:$E,0)+($N44-2022))</f>
        <v>3.71325E-3</v>
      </c>
      <c r="BM44" cm="1">
        <f t="array" aca="1" ref="BM44" ca="1">INDIRECT("'Basin Weights'!M"&amp;MATCH(BM$15,'Basin Weights'!$E:$E,0)+($N44-2022))</f>
        <v>0</v>
      </c>
      <c r="BN44" cm="1">
        <f t="array" aca="1" ref="BN44" ca="1">INDIRECT("'Basin Weights'!M"&amp;MATCH(BN$15,'Basin Weights'!$E:$E,0)+($N44-2022))</f>
        <v>0.22544723715679399</v>
      </c>
      <c r="BO44" cm="1">
        <f t="array" aca="1" ref="BO44" ca="1">INDIRECT("'Basin Weights'!M"&amp;MATCH(BO$15,'Basin Weights'!$E:$E,0)+($N44-2022))</f>
        <v>0.22544723716244899</v>
      </c>
      <c r="BP44" cm="1">
        <f t="array" aca="1" ref="BP44" ca="1">INDIRECT("'Basin Weights'!M"&amp;MATCH(BP$15,'Basin Weights'!$E:$E,0)+($N44-2022))</f>
        <v>0.233672269471323</v>
      </c>
      <c r="BR44" cm="1">
        <f t="array" aca="1" ref="BR44" ca="1">INDIRECT("'Basin Weights'!N"&amp;MATCH(BR$15,'Basin Weights'!$E:$E,0)+($N44-2022))</f>
        <v>0.15942371</v>
      </c>
      <c r="BS44" cm="1">
        <f t="array" aca="1" ref="BS44" ca="1">INDIRECT("'Basin Weights'!N"&amp;MATCH(BS$15,'Basin Weights'!$E:$E,0)+($N44-2022))</f>
        <v>8.0884677101799404E-2</v>
      </c>
      <c r="BT44" cm="1">
        <f t="array" aca="1" ref="BT44" ca="1">INDIRECT("'Basin Weights'!N"&amp;MATCH(BT$15,'Basin Weights'!$E:$E,0)+($N44-2022))</f>
        <v>4.1824781984630799E-2</v>
      </c>
      <c r="BU44" cm="1">
        <f t="array" aca="1" ref="BU44" ca="1">INDIRECT("'Basin Weights'!N"&amp;MATCH(BU$15,'Basin Weights'!$E:$E,0)+($N44-2022))</f>
        <v>5.1936536075216498E-2</v>
      </c>
      <c r="BV44" cm="1">
        <f t="array" aca="1" ref="BV44" ca="1">INDIRECT("'Basin Weights'!N"&amp;MATCH(BV$15,'Basin Weights'!$E:$E,0)+($N44-2022))</f>
        <v>4.35075534117789E-2</v>
      </c>
      <c r="BW44" cm="1">
        <f t="array" aca="1" ref="BW44" ca="1">INDIRECT("'Basin Weights'!N"&amp;MATCH(BW$15,'Basin Weights'!$E:$E,0)+($N44-2022))</f>
        <v>0</v>
      </c>
      <c r="BX44" cm="1">
        <f t="array" aca="1" ref="BX44" ca="1">INDIRECT("'Basin Weights'!N"&amp;MATCH(BX$15,'Basin Weights'!$E:$E,0)+($N44-2022))</f>
        <v>0</v>
      </c>
      <c r="BY44" cm="1">
        <f t="array" aca="1" ref="BY44" ca="1">INDIRECT("'Basin Weights'!N"&amp;MATCH(BY$15,'Basin Weights'!$E:$E,0)+($N44-2022))</f>
        <v>8.1573667312754894E-2</v>
      </c>
      <c r="BZ44" cm="1">
        <f t="array" aca="1" ref="BZ44" ca="1">INDIRECT("'Basin Weights'!N"&amp;MATCH(BZ$15,'Basin Weights'!$E:$E,0)+($N44-2022))</f>
        <v>8.1573667312159301E-2</v>
      </c>
      <c r="CA44" cm="1">
        <f t="array" aca="1" ref="CA44" ca="1">INDIRECT("'Basin Weights'!N"&amp;MATCH(CA$15,'Basin Weights'!$E:$E,0)+($N44-2022))</f>
        <v>9.5125007715181398E-2</v>
      </c>
      <c r="CC44" cm="1">
        <f t="array" aca="1" ref="CC44" ca="1">INDIRECT("'Basin Weights'!O"&amp;MATCH(CC$15,'Basin Weights'!$E:$E,0)+($N44-2022))</f>
        <v>0.10766435000000001</v>
      </c>
      <c r="CD44" cm="1">
        <f t="array" aca="1" ref="CD44" ca="1">INDIRECT("'Basin Weights'!O"&amp;MATCH(CD$15,'Basin Weights'!$E:$E,0)+($N44-2022))</f>
        <v>0.14648746614958699</v>
      </c>
      <c r="CE44" cm="1">
        <f t="array" aca="1" ref="CE44" ca="1">INDIRECT("'Basin Weights'!O"&amp;MATCH(CE$15,'Basin Weights'!$E:$E,0)+($N44-2022))</f>
        <v>0.15753702566215</v>
      </c>
      <c r="CF44" cm="1">
        <f t="array" aca="1" ref="CF44" ca="1">INDIRECT("'Basin Weights'!O"&amp;MATCH(CF$15,'Basin Weights'!$E:$E,0)+($N44-2022))</f>
        <v>0.19944568562061701</v>
      </c>
      <c r="CG44" cm="1">
        <f t="array" aca="1" ref="CG44" ca="1">INDIRECT("'Basin Weights'!O"&amp;MATCH(CG$15,'Basin Weights'!$E:$E,0)+($N44-2022))</f>
        <v>0.16852506617614499</v>
      </c>
      <c r="CH44" cm="1">
        <f t="array" aca="1" ref="CH44" ca="1">INDIRECT("'Basin Weights'!O"&amp;MATCH(CH$15,'Basin Weights'!$E:$E,0)+($N44-2022))</f>
        <v>0.25919365</v>
      </c>
      <c r="CI44" cm="1">
        <f t="array" aca="1" ref="CI44" ca="1">INDIRECT("'Basin Weights'!O"&amp;MATCH(CI$15,'Basin Weights'!$E:$E,0)+($N44-2022))</f>
        <v>0.465379983226617</v>
      </c>
      <c r="CJ44" cm="1">
        <f t="array" aca="1" ref="CJ44" ca="1">INDIRECT("'Basin Weights'!O"&amp;MATCH(CJ$15,'Basin Weights'!$E:$E,0)+($N44-2022))</f>
        <v>0.14541030243588701</v>
      </c>
      <c r="CK44" cm="1">
        <f t="array" aca="1" ref="CK44" ca="1">INDIRECT("'Basin Weights'!O"&amp;MATCH(CK$15,'Basin Weights'!$E:$E,0)+($N44-2022))</f>
        <v>0.145410302434825</v>
      </c>
      <c r="CL44" cm="1">
        <f t="array" aca="1" ref="CL44" ca="1">INDIRECT("'Basin Weights'!O"&amp;MATCH(CL$15,'Basin Weights'!$E:$E,0)+($N44-2022))</f>
        <v>0.140840887625033</v>
      </c>
      <c r="CN44">
        <f t="shared" ca="1" si="5"/>
        <v>1</v>
      </c>
      <c r="CO44">
        <f t="shared" ca="1" si="24"/>
        <v>1.0000000000000002</v>
      </c>
      <c r="CP44">
        <f t="shared" ca="1" si="25"/>
        <v>0.99999999999999978</v>
      </c>
      <c r="CQ44">
        <f t="shared" ca="1" si="26"/>
        <v>1.0000000000000004</v>
      </c>
      <c r="CR44">
        <f t="shared" ca="1" si="27"/>
        <v>0.99999999999999978</v>
      </c>
      <c r="CS44">
        <f t="shared" ca="1" si="28"/>
        <v>1.0000000099999999</v>
      </c>
      <c r="CT44">
        <f t="shared" ca="1" si="29"/>
        <v>1</v>
      </c>
      <c r="CU44">
        <f t="shared" ca="1" si="30"/>
        <v>1.0000000000000009</v>
      </c>
      <c r="CV44">
        <f t="shared" ca="1" si="31"/>
        <v>1.0000000000000004</v>
      </c>
      <c r="CW44">
        <f t="shared" ca="1" si="32"/>
        <v>1.0000000000000004</v>
      </c>
    </row>
    <row r="45" spans="2:101" x14ac:dyDescent="0.25">
      <c r="B45">
        <v>2051</v>
      </c>
      <c r="C45" s="69">
        <f>'Gas Supply Commodity Costs'!I31/'Conventional Supply Quantities'!I31</f>
        <v>4.940226902486561</v>
      </c>
      <c r="D45" s="69">
        <f>'Gas Supply Commodity Costs'!J31/'Conventional Supply Quantities'!J31</f>
        <v>4.8403222110252013</v>
      </c>
      <c r="E45" s="69">
        <f>'Gas Supply Commodity Costs'!K31/'Conventional Supply Quantities'!K31</f>
        <v>4.7931656360622119</v>
      </c>
      <c r="F45" s="69">
        <f>'Gas Supply Commodity Costs'!L31/'Conventional Supply Quantities'!L31</f>
        <v>4.72990333620141</v>
      </c>
      <c r="G45" s="69">
        <f>'Gas Supply Commodity Costs'!M31/'Conventional Supply Quantities'!M31</f>
        <v>4.7528408905907575</v>
      </c>
      <c r="H45" s="69">
        <f>'Gas Supply Commodity Costs'!N31/'Conventional Supply Quantities'!N31</f>
        <v>4.6499733673605377</v>
      </c>
      <c r="I45" s="69">
        <f>'Gas Supply Commodity Costs'!O31/'Conventional Supply Quantities'!O31</f>
        <v>4.4215751312467058</v>
      </c>
      <c r="J45" s="69">
        <f>'Gas Supply Commodity Costs'!P31/'Conventional Supply Quantities'!P31</f>
        <v>4.8470386088098927</v>
      </c>
      <c r="K45" s="69">
        <f>'Gas Supply Commodity Costs'!Q31/'Conventional Supply Quantities'!Q31</f>
        <v>4.847038608876912</v>
      </c>
      <c r="L45" s="69">
        <f>'Gas Supply Commodity Costs'!R31/'Conventional Supply Quantities'!R31</f>
        <v>4.8753605107430724</v>
      </c>
      <c r="N45">
        <v>2051</v>
      </c>
      <c r="O45" s="69">
        <f t="shared" ca="1" si="3"/>
        <v>1.7876298183758341E-2</v>
      </c>
      <c r="P45" s="69">
        <f t="shared" ca="1" si="6"/>
        <v>2.0612435974474982E-2</v>
      </c>
      <c r="Q45" s="69">
        <f t="shared" ca="1" si="7"/>
        <v>2.1815004186408915E-2</v>
      </c>
      <c r="R45" s="69">
        <f t="shared" ca="1" si="8"/>
        <v>2.3758271686038411E-2</v>
      </c>
      <c r="S45" s="69">
        <f t="shared" ca="1" si="9"/>
        <v>2.2877334043665494E-2</v>
      </c>
      <c r="T45" s="69">
        <f t="shared" ca="1" si="10"/>
        <v>2.6219971758982556E-2</v>
      </c>
      <c r="U45" s="69">
        <f t="shared" ca="1" si="11"/>
        <v>3.738124757339948E-2</v>
      </c>
      <c r="V45" s="69">
        <f t="shared" ca="1" si="12"/>
        <v>2.0496244214882012E-2</v>
      </c>
      <c r="W45" s="69">
        <f t="shared" ca="1" si="13"/>
        <v>2.0496244214801881E-2</v>
      </c>
      <c r="X45" s="69">
        <f t="shared" ca="1" si="14"/>
        <v>1.9967205953688155E-2</v>
      </c>
      <c r="Z45" s="71">
        <f t="shared" ca="1" si="4"/>
        <v>2.267451217599532E-2</v>
      </c>
      <c r="AA45" s="71">
        <f t="shared" ca="1" si="15"/>
        <v>2.7243870557724533E-2</v>
      </c>
      <c r="AB45" s="71">
        <f t="shared" ca="1" si="16"/>
        <v>2.908723836669732E-2</v>
      </c>
      <c r="AC45" s="71">
        <f t="shared" ca="1" si="17"/>
        <v>3.0543693752459421E-2</v>
      </c>
      <c r="AD45" s="71">
        <f t="shared" ca="1" si="18"/>
        <v>3.0361338393134575E-2</v>
      </c>
      <c r="AE45" s="71">
        <f t="shared" ca="1" si="19"/>
        <v>3.5268449512323337E-2</v>
      </c>
      <c r="AF45" s="71">
        <f t="shared" ca="1" si="20"/>
        <v>3.4771558556353679E-2</v>
      </c>
      <c r="AG45" s="71">
        <f t="shared" ca="1" si="21"/>
        <v>2.7076751134794755E-2</v>
      </c>
      <c r="AH45" s="71">
        <f t="shared" ca="1" si="22"/>
        <v>2.7076751134660081E-2</v>
      </c>
      <c r="AI45" s="71">
        <f t="shared" ca="1" si="23"/>
        <v>2.618781959582123E-2</v>
      </c>
      <c r="AK45" cm="1">
        <f t="array" aca="1" ref="AK45" ca="1">INDIRECT("'Basin Weights'!L"&amp;MATCH(AK$15,'Basin Weights'!$E:$E,0)+($N45-2022))*(1-INDIRECT("'Star Road Flow'!J"&amp;MATCH(AK$15,'Star Road Flow'!$E:$E,0)+($N45-2022)))</f>
        <v>0.40285813634226408</v>
      </c>
      <c r="AL45" cm="1">
        <f t="array" aca="1" ref="AL45" ca="1">INDIRECT("'Basin Weights'!L"&amp;MATCH(AL$15,'Basin Weights'!$E:$E,0)+($N45-2022))*(1-INDIRECT("'Star Road Flow'!J"&amp;MATCH(AL$15,'Star Road Flow'!$E:$E,0)+($N45-2022)))</f>
        <v>0.53329149018148658</v>
      </c>
      <c r="AM45" cm="1">
        <f t="array" aca="1" ref="AM45" ca="1">INDIRECT("'Basin Weights'!L"&amp;MATCH(AM$15,'Basin Weights'!$E:$E,0)+($N45-2022))*(1-INDIRECT("'Star Road Flow'!J"&amp;MATCH(AM$15,'Star Road Flow'!$E:$E,0)+($N45-2022)))</f>
        <v>0.58380676576372914</v>
      </c>
      <c r="AN45" cm="1">
        <f t="array" aca="1" ref="AN45" ca="1">INDIRECT("'Basin Weights'!L"&amp;MATCH(AN$15,'Basin Weights'!$E:$E,0)+($N45-2022))*(1-INDIRECT("'Star Road Flow'!J"&amp;MATCH(AN$15,'Star Road Flow'!$E:$E,0)+($N45-2022)))</f>
        <v>0.60256044200485048</v>
      </c>
      <c r="AO45" cm="1">
        <f t="array" aca="1" ref="AO45" ca="1">INDIRECT("'Basin Weights'!L"&amp;MATCH(AO$15,'Basin Weights'!$E:$E,0)+($N45-2022))*(1-INDIRECT("'Star Road Flow'!J"&amp;MATCH(AO$15,'Star Road Flow'!$E:$E,0)+($N45-2022)))</f>
        <v>0.61379743272677711</v>
      </c>
      <c r="AP45" cm="1">
        <f t="array" aca="1" ref="AP45" ca="1">INDIRECT("'Basin Weights'!L"&amp;MATCH(AP$15,'Basin Weights'!$E:$E,0)+($N45-2022))*(1-INDIRECT("'Star Road Flow'!J"&amp;MATCH(AP$15,'Star Road Flow'!$E:$E,0)+($N45-2022)))</f>
        <v>0.74455983892234157</v>
      </c>
      <c r="AQ45" cm="1">
        <f t="array" aca="1" ref="AQ45" ca="1">INDIRECT("'Basin Weights'!L"&amp;MATCH(AQ$15,'Basin Weights'!$E:$E,0)+($N45-2022))*(1-INDIRECT("'Star Road Flow'!J"&amp;MATCH(AQ$15,'Star Road Flow'!$E:$E,0)+($N45-2022)))</f>
        <v>0.47765783422931757</v>
      </c>
      <c r="AR45" cm="1">
        <f t="array" aca="1" ref="AR45" ca="1">INDIRECT("'Basin Weights'!L"&amp;MATCH(AR$15,'Basin Weights'!$E:$E,0)+($N45-2022))*(1-INDIRECT("'Star Road Flow'!J"&amp;MATCH(AR$15,'Star Road Flow'!$E:$E,0)+($N45-2022)))</f>
        <v>0.52886448267549835</v>
      </c>
      <c r="AS45" cm="1">
        <f t="array" aca="1" ref="AS45" ca="1">INDIRECT("'Basin Weights'!L"&amp;MATCH(AS$15,'Basin Weights'!$E:$E,0)+($N45-2022))*(1-INDIRECT("'Star Road Flow'!J"&amp;MATCH(AS$15,'Star Road Flow'!$E:$E,0)+($N45-2022)))</f>
        <v>0.52886448267164321</v>
      </c>
      <c r="AT45" cm="1">
        <f t="array" aca="1" ref="AT45" ca="1">INDIRECT("'Basin Weights'!L"&amp;MATCH(AT$15,'Basin Weights'!$E:$E,0)+($N45-2022))*(1-INDIRECT("'Star Road Flow'!J"&amp;MATCH(AT$15,'Star Road Flow'!$E:$E,0)+($N45-2022)))</f>
        <v>0.5034203818666797</v>
      </c>
      <c r="AV45" cm="1">
        <f t="array" aca="1" ref="AV45" ca="1">INDIRECT("'Basin Weights'!L"&amp;MATCH(AV$15,'Basin Weights'!$E:$E,0)+($N45-2022))*INDIRECT("'Star Road Flow'!J"&amp;MATCH(AV$15,'Star Road Flow'!$E:$E,0)+($N45-2022))</f>
        <v>1.3576703657735877E-2</v>
      </c>
      <c r="AW45" cm="1">
        <f t="array" aca="1" ref="AW45" ca="1">INDIRECT("'Basin Weights'!L"&amp;MATCH(AW$15,'Basin Weights'!$E:$E,0)+($N45-2022))*INDIRECT("'Star Road Flow'!J"&amp;MATCH(AW$15,'Star Road Flow'!$E:$E,0)+($N45-2022))</f>
        <v>1.8025992433820439E-2</v>
      </c>
      <c r="AX45" cm="1">
        <f t="array" aca="1" ref="AX45" ca="1">INDIRECT("'Basin Weights'!L"&amp;MATCH(AX$15,'Basin Weights'!$E:$E,0)+($N45-2022))*INDIRECT("'Star Road Flow'!J"&amp;MATCH(AX$15,'Star Road Flow'!$E:$E,0)+($N45-2022))</f>
        <v>2.0066133391419862E-2</v>
      </c>
      <c r="AY45" cm="1">
        <f t="array" aca="1" ref="AY45" ca="1">INDIRECT("'Basin Weights'!L"&amp;MATCH(AY$15,'Basin Weights'!$E:$E,0)+($N45-2022))*INDIRECT("'Star Road Flow'!J"&amp;MATCH(AY$15,'Star Road Flow'!$E:$E,0)+($N45-2022))</f>
        <v>2.4143934295127539E-2</v>
      </c>
      <c r="AZ45" cm="1">
        <f t="array" aca="1" ref="AZ45" ca="1">INDIRECT("'Basin Weights'!L"&amp;MATCH(AZ$15,'Basin Weights'!$E:$E,0)+($N45-2022))*INDIRECT("'Star Road Flow'!J"&amp;MATCH(AZ$15,'Star Road Flow'!$E:$E,0)+($N45-2022))</f>
        <v>2.2050149902557967E-2</v>
      </c>
      <c r="BA45" cm="1">
        <f t="array" aca="1" ref="BA45" ca="1">INDIRECT("'Basin Weights'!L"&amp;MATCH(BA$15,'Basin Weights'!$E:$E,0)+($N45-2022))*INDIRECT("'Star Road Flow'!J"&amp;MATCH(BA$15,'Star Road Flow'!$E:$E,0)+($N45-2022))</f>
        <v>2.8712111077658465E-2</v>
      </c>
      <c r="BB45" cm="1">
        <f t="array" aca="1" ref="BB45" ca="1">INDIRECT("'Basin Weights'!L"&amp;MATCH(BB$15,'Basin Weights'!$E:$E,0)+($N45-2022))*INDIRECT("'Star Road Flow'!J"&amp;MATCH(BB$15,'Star Road Flow'!$E:$E,0)+($N45-2022))</f>
        <v>6.7479988805981397E-2</v>
      </c>
      <c r="BC45" cm="1">
        <f t="array" aca="1" ref="BC45" ca="1">INDIRECT("'Basin Weights'!L"&amp;MATCH(BC$15,'Basin Weights'!$E:$E,0)+($N45-2022))*INDIRECT("'Star Road Flow'!J"&amp;MATCH(BC$15,'Star Road Flow'!$E:$E,0)+($N45-2022))</f>
        <v>1.7823237781864672E-2</v>
      </c>
      <c r="BD45" cm="1">
        <f t="array" aca="1" ref="BD45" ca="1">INDIRECT("'Basin Weights'!L"&amp;MATCH(BD$15,'Basin Weights'!$E:$E,0)+($N45-2022))*INDIRECT("'Star Road Flow'!J"&amp;MATCH(BD$15,'Star Road Flow'!$E:$E,0)+($N45-2022))</f>
        <v>1.7823237781734752E-2</v>
      </c>
      <c r="BE45" cm="1">
        <f t="array" aca="1" ref="BE45" ca="1">INDIRECT("'Basin Weights'!L"&amp;MATCH(BE$15,'Basin Weights'!$E:$E,0)+($N45-2022))*INDIRECT("'Star Road Flow'!J"&amp;MATCH(BE$15,'Star Road Flow'!$E:$E,0)+($N45-2022))</f>
        <v>1.6965747302324249E-2</v>
      </c>
      <c r="BG45" cm="1">
        <f t="array" aca="1" ref="BG45" ca="1">INDIRECT("'Basin Weights'!M"&amp;MATCH(BG$15,'Basin Weights'!$E:$E,0)+($N45-2022))</f>
        <v>0.32894363999999998</v>
      </c>
      <c r="BH45" cm="1">
        <f t="array" aca="1" ref="BH45" ca="1">INDIRECT("'Basin Weights'!M"&amp;MATCH(BH$15,'Basin Weights'!$E:$E,0)+($N45-2022))</f>
        <v>0.22310327733349899</v>
      </c>
      <c r="BI45" cm="1">
        <f t="array" aca="1" ref="BI45" ca="1">INDIRECT("'Basin Weights'!M"&amp;MATCH(BI$15,'Basin Weights'!$E:$E,0)+($N45-2022))</f>
        <v>0.19105864749435</v>
      </c>
      <c r="BJ45" cm="1">
        <f t="array" aca="1" ref="BJ45" ca="1">INDIRECT("'Basin Weights'!M"&amp;MATCH(BJ$15,'Basin Weights'!$E:$E,0)+($N45-2022))</f>
        <v>0.125423800487974</v>
      </c>
      <c r="BK45" cm="1">
        <f t="array" aca="1" ref="BK45" ca="1">INDIRECT("'Basin Weights'!M"&amp;MATCH(BK$15,'Basin Weights'!$E:$E,0)+($N45-2022))</f>
        <v>0.13915788684696201</v>
      </c>
      <c r="BL45" cm="1">
        <f t="array" aca="1" ref="BL45" ca="1">INDIRECT("'Basin Weights'!M"&amp;MATCH(BL$15,'Basin Weights'!$E:$E,0)+($N45-2022))</f>
        <v>0</v>
      </c>
      <c r="BM45" cm="1">
        <f t="array" aca="1" ref="BM45" ca="1">INDIRECT("'Basin Weights'!M"&amp;MATCH(BM$15,'Basin Weights'!$E:$E,0)+($N45-2022))</f>
        <v>0</v>
      </c>
      <c r="BN45" cm="1">
        <f t="array" aca="1" ref="BN45" ca="1">INDIRECT("'Basin Weights'!M"&amp;MATCH(BN$15,'Basin Weights'!$E:$E,0)+($N45-2022))</f>
        <v>0.22943973272106</v>
      </c>
      <c r="BO45" cm="1">
        <f t="array" aca="1" ref="BO45" ca="1">INDIRECT("'Basin Weights'!M"&amp;MATCH(BO$15,'Basin Weights'!$E:$E,0)+($N45-2022))</f>
        <v>0.229439732719388</v>
      </c>
      <c r="BP45" cm="1">
        <f t="array" aca="1" ref="BP45" ca="1">INDIRECT("'Basin Weights'!M"&amp;MATCH(BP$15,'Basin Weights'!$E:$E,0)+($N45-2022))</f>
        <v>0.25282493209339102</v>
      </c>
      <c r="BR45" cm="1">
        <f t="array" aca="1" ref="BR45" ca="1">INDIRECT("'Basin Weights'!N"&amp;MATCH(BR$15,'Basin Weights'!$E:$E,0)+($N45-2022))</f>
        <v>0.14403464999999999</v>
      </c>
      <c r="BS45" cm="1">
        <f t="array" aca="1" ref="BS45" ca="1">INDIRECT("'Basin Weights'!N"&amp;MATCH(BS$15,'Basin Weights'!$E:$E,0)+($N45-2022))</f>
        <v>7.8751406403121907E-2</v>
      </c>
      <c r="BT45" cm="1">
        <f t="array" aca="1" ref="BT45" ca="1">INDIRECT("'Basin Weights'!N"&amp;MATCH(BT$15,'Basin Weights'!$E:$E,0)+($N45-2022))</f>
        <v>4.16229783571175E-2</v>
      </c>
      <c r="BU45" cm="1">
        <f t="array" aca="1" ref="BU45" ca="1">INDIRECT("'Basin Weights'!N"&amp;MATCH(BU$15,'Basin Weights'!$E:$E,0)+($N45-2022))</f>
        <v>5.1211274215958502E-2</v>
      </c>
      <c r="BV45" cm="1">
        <f t="array" aca="1" ref="BV45" ca="1">INDIRECT("'Basin Weights'!N"&amp;MATCH(BV$15,'Basin Weights'!$E:$E,0)+($N45-2022))</f>
        <v>4.5388566875187102E-2</v>
      </c>
      <c r="BW45" cm="1">
        <f t="array" aca="1" ref="BW45" ca="1">INDIRECT("'Basin Weights'!N"&amp;MATCH(BW$15,'Basin Weights'!$E:$E,0)+($N45-2022))</f>
        <v>0</v>
      </c>
      <c r="BX45" cm="1">
        <f t="array" aca="1" ref="BX45" ca="1">INDIRECT("'Basin Weights'!N"&amp;MATCH(BX$15,'Basin Weights'!$E:$E,0)+($N45-2022))</f>
        <v>0</v>
      </c>
      <c r="BY45" cm="1">
        <f t="array" aca="1" ref="BY45" ca="1">INDIRECT("'Basin Weights'!N"&amp;MATCH(BY$15,'Basin Weights'!$E:$E,0)+($N45-2022))</f>
        <v>7.8696218710486002E-2</v>
      </c>
      <c r="BZ45" cm="1">
        <f t="array" aca="1" ref="BZ45" ca="1">INDIRECT("'Basin Weights'!N"&amp;MATCH(BZ$15,'Basin Weights'!$E:$E,0)+($N45-2022))</f>
        <v>7.8696218717201505E-2</v>
      </c>
      <c r="CA45" cm="1">
        <f t="array" aca="1" ref="CA45" ca="1">INDIRECT("'Basin Weights'!N"&amp;MATCH(CA$15,'Basin Weights'!$E:$E,0)+($N45-2022))</f>
        <v>8.85971619596371E-2</v>
      </c>
      <c r="CC45" cm="1">
        <f t="array" aca="1" ref="CC45" ca="1">INDIRECT("'Basin Weights'!O"&amp;MATCH(CC$15,'Basin Weights'!$E:$E,0)+($N45-2022))</f>
        <v>0.11058687</v>
      </c>
      <c r="CD45" cm="1">
        <f t="array" aca="1" ref="CD45" ca="1">INDIRECT("'Basin Weights'!O"&amp;MATCH(CD$15,'Basin Weights'!$E:$E,0)+($N45-2022))</f>
        <v>0.146827833648072</v>
      </c>
      <c r="CE45" cm="1">
        <f t="array" aca="1" ref="CE45" ca="1">INDIRECT("'Basin Weights'!O"&amp;MATCH(CE$15,'Basin Weights'!$E:$E,0)+($N45-2022))</f>
        <v>0.16344547499338299</v>
      </c>
      <c r="CF45" cm="1">
        <f t="array" aca="1" ref="CF45" ca="1">INDIRECT("'Basin Weights'!O"&amp;MATCH(CF$15,'Basin Weights'!$E:$E,0)+($N45-2022))</f>
        <v>0.19666054899608901</v>
      </c>
      <c r="CG45" cm="1">
        <f t="array" aca="1" ref="CG45" ca="1">INDIRECT("'Basin Weights'!O"&amp;MATCH(CG$15,'Basin Weights'!$E:$E,0)+($N45-2022))</f>
        <v>0.179605963648516</v>
      </c>
      <c r="CH45" cm="1">
        <f t="array" aca="1" ref="CH45" ca="1">INDIRECT("'Basin Weights'!O"&amp;MATCH(CH$15,'Basin Weights'!$E:$E,0)+($N45-2022))</f>
        <v>0.22672804999999999</v>
      </c>
      <c r="CI45" cm="1">
        <f t="array" aca="1" ref="CI45" ca="1">INDIRECT("'Basin Weights'!O"&amp;MATCH(CI$15,'Basin Weights'!$E:$E,0)+($N45-2022))</f>
        <v>0.45486217696470099</v>
      </c>
      <c r="CJ45" cm="1">
        <f t="array" aca="1" ref="CJ45" ca="1">INDIRECT("'Basin Weights'!O"&amp;MATCH(CJ$15,'Basin Weights'!$E:$E,0)+($N45-2022))</f>
        <v>0.14517632811109099</v>
      </c>
      <c r="CK45" cm="1">
        <f t="array" aca="1" ref="CK45" ca="1">INDIRECT("'Basin Weights'!O"&amp;MATCH(CK$15,'Basin Weights'!$E:$E,0)+($N45-2022))</f>
        <v>0.145176328110033</v>
      </c>
      <c r="CL45" cm="1">
        <f t="array" aca="1" ref="CL45" ca="1">INDIRECT("'Basin Weights'!O"&amp;MATCH(CL$15,'Basin Weights'!$E:$E,0)+($N45-2022))</f>
        <v>0.13819177677796801</v>
      </c>
      <c r="CN45">
        <f t="shared" ca="1" si="5"/>
        <v>1</v>
      </c>
      <c r="CO45">
        <f t="shared" ca="1" si="24"/>
        <v>0.99999999999999989</v>
      </c>
      <c r="CP45">
        <f t="shared" ca="1" si="25"/>
        <v>0.99999999999999956</v>
      </c>
      <c r="CQ45">
        <f t="shared" ca="1" si="26"/>
        <v>0.99999999999999956</v>
      </c>
      <c r="CR45">
        <f t="shared" ca="1" si="27"/>
        <v>1.0000000000000002</v>
      </c>
      <c r="CS45">
        <f t="shared" ca="1" si="28"/>
        <v>1</v>
      </c>
      <c r="CT45">
        <f t="shared" ca="1" si="29"/>
        <v>1</v>
      </c>
      <c r="CU45">
        <f t="shared" ca="1" si="30"/>
        <v>1</v>
      </c>
      <c r="CV45">
        <f t="shared" ca="1" si="31"/>
        <v>1.0000000000000004</v>
      </c>
      <c r="CW45">
        <f ca="1">CL45+CA45+BP45+BE45+AT45</f>
        <v>1</v>
      </c>
    </row>
    <row r="47" spans="2:101" x14ac:dyDescent="0.25">
      <c r="C47" t="s">
        <v>352</v>
      </c>
    </row>
    <row r="48" spans="2:101" x14ac:dyDescent="0.25">
      <c r="C48" t="s">
        <v>61</v>
      </c>
      <c r="D48" t="s">
        <v>62</v>
      </c>
      <c r="E48" t="s">
        <v>63</v>
      </c>
      <c r="F48" t="s">
        <v>64</v>
      </c>
      <c r="G48" t="s">
        <v>65</v>
      </c>
      <c r="H48" t="s">
        <v>66</v>
      </c>
      <c r="I48" t="s">
        <v>67</v>
      </c>
      <c r="J48" t="s">
        <v>95</v>
      </c>
      <c r="K48" t="s">
        <v>96</v>
      </c>
      <c r="L48" t="s">
        <v>97</v>
      </c>
    </row>
    <row r="49" spans="2:22" x14ac:dyDescent="0.25">
      <c r="B49">
        <v>2022</v>
      </c>
      <c r="C49" s="69">
        <f ca="1">O16+C16*(1/(1-Z16))</f>
        <v>4.5047009327567027</v>
      </c>
      <c r="D49" s="69">
        <f t="shared" ref="D49:L64" ca="1" si="33">P16+D16*(1/(1-AA16))</f>
        <v>4.5024177616033114</v>
      </c>
      <c r="E49" s="69">
        <f t="shared" ca="1" si="33"/>
        <v>4.5019304550489823</v>
      </c>
      <c r="F49" s="69">
        <f t="shared" ca="1" si="33"/>
        <v>4.5024177616131817</v>
      </c>
      <c r="G49" s="69">
        <f t="shared" ca="1" si="33"/>
        <v>4.5024177616221444</v>
      </c>
      <c r="H49" s="69">
        <f t="shared" ca="1" si="33"/>
        <v>4.5056423782424764</v>
      </c>
      <c r="I49" s="69">
        <f t="shared" ca="1" si="33"/>
        <v>4.5056423780954882</v>
      </c>
      <c r="J49" s="69">
        <f t="shared" ca="1" si="33"/>
        <v>4.5024177616349634</v>
      </c>
      <c r="K49" s="69">
        <f t="shared" ca="1" si="33"/>
        <v>4.5024177616193883</v>
      </c>
      <c r="L49" s="69">
        <f t="shared" ca="1" si="33"/>
        <v>4.5024177616352734</v>
      </c>
    </row>
    <row r="50" spans="2:22" x14ac:dyDescent="0.25">
      <c r="B50">
        <v>2023</v>
      </c>
      <c r="C50" s="69">
        <f t="shared" ref="C50:C78" ca="1" si="34">O17+C17*(1/(1-Z17))</f>
        <v>4.1292905945771459</v>
      </c>
      <c r="D50" s="69">
        <f t="shared" ca="1" si="33"/>
        <v>4.1235761295627631</v>
      </c>
      <c r="E50" s="69">
        <f t="shared" ca="1" si="33"/>
        <v>4.1183824226562269</v>
      </c>
      <c r="F50" s="69">
        <f t="shared" ca="1" si="33"/>
        <v>4.1228916624435445</v>
      </c>
      <c r="G50" s="69">
        <f t="shared" ca="1" si="33"/>
        <v>4.1235761295795719</v>
      </c>
      <c r="H50" s="69">
        <f t="shared" ca="1" si="33"/>
        <v>4.128230896009244</v>
      </c>
      <c r="I50" s="69">
        <f t="shared" ca="1" si="33"/>
        <v>4.1255699543684043</v>
      </c>
      <c r="J50" s="69">
        <f t="shared" ca="1" si="33"/>
        <v>4.1235761295718154</v>
      </c>
      <c r="K50" s="69">
        <f t="shared" ca="1" si="33"/>
        <v>4.1235761296000675</v>
      </c>
      <c r="L50" s="69">
        <f t="shared" ca="1" si="33"/>
        <v>4.1235772077644306</v>
      </c>
    </row>
    <row r="51" spans="2:22" x14ac:dyDescent="0.25">
      <c r="B51">
        <v>2024</v>
      </c>
      <c r="C51" s="69">
        <f t="shared" ca="1" si="34"/>
        <v>3.3710728052807855</v>
      </c>
      <c r="D51" s="69">
        <f t="shared" ca="1" si="33"/>
        <v>3.3695812855410625</v>
      </c>
      <c r="E51" s="69">
        <f t="shared" ca="1" si="33"/>
        <v>3.365984353271315</v>
      </c>
      <c r="F51" s="69">
        <f t="shared" ca="1" si="33"/>
        <v>3.3670999784635307</v>
      </c>
      <c r="G51" s="69">
        <f t="shared" ca="1" si="33"/>
        <v>3.3696018081539547</v>
      </c>
      <c r="H51" s="69">
        <f t="shared" ca="1" si="33"/>
        <v>3.3702713618086424</v>
      </c>
      <c r="I51" s="69">
        <f t="shared" ca="1" si="33"/>
        <v>3.360513445553448</v>
      </c>
      <c r="J51" s="69">
        <f t="shared" ca="1" si="33"/>
        <v>3.369581285532238</v>
      </c>
      <c r="K51" s="69">
        <f t="shared" ca="1" si="33"/>
        <v>3.3695812855048137</v>
      </c>
      <c r="L51" s="69">
        <f t="shared" ca="1" si="33"/>
        <v>3.3695679298055468</v>
      </c>
    </row>
    <row r="52" spans="2:22" x14ac:dyDescent="0.25">
      <c r="B52">
        <v>2025</v>
      </c>
      <c r="C52" s="69">
        <f t="shared" ca="1" si="34"/>
        <v>3.3878442598123213</v>
      </c>
      <c r="D52" s="69">
        <f t="shared" ca="1" si="33"/>
        <v>3.3867495054590675</v>
      </c>
      <c r="E52" s="69">
        <f t="shared" ca="1" si="33"/>
        <v>3.3840853985210733</v>
      </c>
      <c r="F52" s="69">
        <f t="shared" ca="1" si="33"/>
        <v>3.3820215456587492</v>
      </c>
      <c r="G52" s="69">
        <f t="shared" ca="1" si="33"/>
        <v>3.3867081029157977</v>
      </c>
      <c r="H52" s="69">
        <f t="shared" ca="1" si="33"/>
        <v>3.3898584988640814</v>
      </c>
      <c r="I52" s="69">
        <f t="shared" ca="1" si="33"/>
        <v>3.3629737729567575</v>
      </c>
      <c r="J52" s="69">
        <f t="shared" ca="1" si="33"/>
        <v>3.3867315231730024</v>
      </c>
      <c r="K52" s="69">
        <f t="shared" ca="1" si="33"/>
        <v>3.3867315231780983</v>
      </c>
      <c r="L52" s="69">
        <f t="shared" ca="1" si="33"/>
        <v>3.3865768854239513</v>
      </c>
    </row>
    <row r="53" spans="2:22" x14ac:dyDescent="0.25">
      <c r="B53">
        <v>2026</v>
      </c>
      <c r="C53" s="69">
        <f t="shared" ca="1" si="34"/>
        <v>3.9342255821981684</v>
      </c>
      <c r="D53" s="69">
        <f t="shared" ca="1" si="33"/>
        <v>3.9412338231571442</v>
      </c>
      <c r="E53" s="69">
        <f t="shared" ca="1" si="33"/>
        <v>3.9421461900979597</v>
      </c>
      <c r="F53" s="69">
        <f t="shared" ca="1" si="33"/>
        <v>3.9409329718526513</v>
      </c>
      <c r="G53" s="69">
        <f t="shared" ca="1" si="33"/>
        <v>3.943267836537323</v>
      </c>
      <c r="H53" s="69">
        <f t="shared" ca="1" si="33"/>
        <v>3.946995542818986</v>
      </c>
      <c r="I53" s="69">
        <f t="shared" ca="1" si="33"/>
        <v>3.9083440246424908</v>
      </c>
      <c r="J53" s="69">
        <f t="shared" ca="1" si="33"/>
        <v>3.937810933628564</v>
      </c>
      <c r="K53" s="69">
        <f t="shared" ca="1" si="33"/>
        <v>3.9378109336345704</v>
      </c>
      <c r="L53" s="69">
        <f t="shared" ca="1" si="33"/>
        <v>3.9381656519151282</v>
      </c>
    </row>
    <row r="54" spans="2:22" x14ac:dyDescent="0.25">
      <c r="B54">
        <v>2027</v>
      </c>
      <c r="C54" s="69">
        <f t="shared" ca="1" si="34"/>
        <v>4.1756969732725722</v>
      </c>
      <c r="D54" s="69">
        <f t="shared" ca="1" si="33"/>
        <v>4.1770601765343471</v>
      </c>
      <c r="E54" s="69">
        <f t="shared" ca="1" si="33"/>
        <v>4.1781414608771588</v>
      </c>
      <c r="F54" s="69">
        <f t="shared" ca="1" si="33"/>
        <v>4.1711837260876905</v>
      </c>
      <c r="G54" s="69">
        <f t="shared" ca="1" si="33"/>
        <v>4.1774780544749639</v>
      </c>
      <c r="H54" s="69">
        <f t="shared" ca="1" si="33"/>
        <v>4.178617788332895</v>
      </c>
      <c r="I54" s="69">
        <f t="shared" ca="1" si="33"/>
        <v>4.1326906405769979</v>
      </c>
      <c r="J54" s="69">
        <f t="shared" ca="1" si="33"/>
        <v>4.1770050244501231</v>
      </c>
      <c r="K54" s="69">
        <f t="shared" ca="1" si="33"/>
        <v>4.1770050244565029</v>
      </c>
      <c r="L54" s="69">
        <f t="shared" ca="1" si="33"/>
        <v>4.1767245359259384</v>
      </c>
    </row>
    <row r="55" spans="2:22" x14ac:dyDescent="0.25">
      <c r="B55">
        <v>2028</v>
      </c>
      <c r="C55" s="69">
        <f t="shared" ca="1" si="34"/>
        <v>4.0481231129412976</v>
      </c>
      <c r="D55" s="69">
        <f t="shared" ca="1" si="33"/>
        <v>4.0386831530791447</v>
      </c>
      <c r="E55" s="69">
        <f t="shared" ca="1" si="33"/>
        <v>4.0390041786022284</v>
      </c>
      <c r="F55" s="69">
        <f t="shared" ca="1" si="33"/>
        <v>4.0149843278368262</v>
      </c>
      <c r="G55" s="69">
        <f t="shared" ca="1" si="33"/>
        <v>4.043867502102243</v>
      </c>
      <c r="H55" s="69">
        <f t="shared" ca="1" si="33"/>
        <v>4.0423048070945926</v>
      </c>
      <c r="I55" s="69">
        <f t="shared" ca="1" si="33"/>
        <v>3.968202695278392</v>
      </c>
      <c r="J55" s="69">
        <f t="shared" ca="1" si="33"/>
        <v>4.046710584549575</v>
      </c>
      <c r="K55" s="69">
        <f t="shared" ca="1" si="33"/>
        <v>4.0467105845678928</v>
      </c>
      <c r="L55" s="69">
        <f t="shared" ca="1" si="33"/>
        <v>4.0435243341398497</v>
      </c>
      <c r="R55" s="1"/>
      <c r="S55" s="1"/>
    </row>
    <row r="56" spans="2:22" x14ac:dyDescent="0.25">
      <c r="B56">
        <v>2029</v>
      </c>
      <c r="C56" s="69">
        <f t="shared" ca="1" si="34"/>
        <v>3.6962575059675138</v>
      </c>
      <c r="D56" s="69">
        <f t="shared" ca="1" si="33"/>
        <v>3.6863635799039818</v>
      </c>
      <c r="E56" s="69">
        <f t="shared" ca="1" si="33"/>
        <v>3.6882187891883529</v>
      </c>
      <c r="F56" s="69">
        <f t="shared" ca="1" si="33"/>
        <v>3.6548791901235518</v>
      </c>
      <c r="G56" s="69">
        <f t="shared" ca="1" si="33"/>
        <v>3.6873873260460148</v>
      </c>
      <c r="H56" s="69">
        <f t="shared" ca="1" si="33"/>
        <v>3.6848995430987261</v>
      </c>
      <c r="I56" s="69">
        <f t="shared" ca="1" si="33"/>
        <v>3.6009532844074661</v>
      </c>
      <c r="J56" s="69">
        <f t="shared" ca="1" si="33"/>
        <v>3.6945520280632915</v>
      </c>
      <c r="K56" s="69">
        <f t="shared" ca="1" si="33"/>
        <v>3.6945520280162993</v>
      </c>
      <c r="L56" s="69">
        <f t="shared" ca="1" si="33"/>
        <v>3.6913775285126258</v>
      </c>
      <c r="R56" s="5"/>
      <c r="S56" s="5"/>
      <c r="U56" s="68"/>
      <c r="V56" s="9"/>
    </row>
    <row r="57" spans="2:22" x14ac:dyDescent="0.25">
      <c r="B57">
        <v>2030</v>
      </c>
      <c r="C57" s="69">
        <f t="shared" ca="1" si="34"/>
        <v>3.4376019099532074</v>
      </c>
      <c r="D57" s="69">
        <f t="shared" ca="1" si="33"/>
        <v>3.4249269062539764</v>
      </c>
      <c r="E57" s="69">
        <f t="shared" ca="1" si="33"/>
        <v>3.4273067880587353</v>
      </c>
      <c r="F57" s="69">
        <f t="shared" ca="1" si="33"/>
        <v>3.3904576012240195</v>
      </c>
      <c r="G57" s="69">
        <f t="shared" ca="1" si="33"/>
        <v>3.4212597606255648</v>
      </c>
      <c r="H57" s="69">
        <f t="shared" ca="1" si="33"/>
        <v>3.4161136097231943</v>
      </c>
      <c r="I57" s="69">
        <f t="shared" ca="1" si="33"/>
        <v>3.3221934126550723</v>
      </c>
      <c r="J57" s="69">
        <f t="shared" ca="1" si="33"/>
        <v>3.4326543329335286</v>
      </c>
      <c r="K57" s="69">
        <f t="shared" ca="1" si="33"/>
        <v>3.4326543328665609</v>
      </c>
      <c r="L57" s="69">
        <f t="shared" ca="1" si="33"/>
        <v>3.4305720124716506</v>
      </c>
    </row>
    <row r="58" spans="2:22" x14ac:dyDescent="0.25">
      <c r="B58">
        <v>2031</v>
      </c>
      <c r="C58" s="69">
        <f t="shared" ca="1" si="34"/>
        <v>3.4580493151148923</v>
      </c>
      <c r="D58" s="69">
        <f t="shared" ca="1" si="33"/>
        <v>3.4436634944844853</v>
      </c>
      <c r="E58" s="69">
        <f t="shared" ca="1" si="33"/>
        <v>3.4468163318612302</v>
      </c>
      <c r="F58" s="69">
        <f t="shared" ca="1" si="33"/>
        <v>3.4073896117918872</v>
      </c>
      <c r="G58" s="69">
        <f t="shared" ca="1" si="33"/>
        <v>3.4365932437312909</v>
      </c>
      <c r="H58" s="69">
        <f t="shared" ca="1" si="33"/>
        <v>3.4303589027195209</v>
      </c>
      <c r="I58" s="69">
        <f t="shared" ca="1" si="33"/>
        <v>3.32714819813107</v>
      </c>
      <c r="J58" s="69">
        <f t="shared" ca="1" si="33"/>
        <v>3.4500274809062472</v>
      </c>
      <c r="K58" s="69">
        <f t="shared" ca="1" si="33"/>
        <v>3.4500274809127847</v>
      </c>
      <c r="L58" s="69">
        <f t="shared" ca="1" si="33"/>
        <v>3.4491189181064241</v>
      </c>
      <c r="R58" s="8"/>
      <c r="S58" s="8"/>
    </row>
    <row r="59" spans="2:22" x14ac:dyDescent="0.25">
      <c r="B59">
        <v>2032</v>
      </c>
      <c r="C59" s="69">
        <f t="shared" ca="1" si="34"/>
        <v>3.5130185968887555</v>
      </c>
      <c r="D59" s="69">
        <f t="shared" ca="1" si="33"/>
        <v>3.492729511996588</v>
      </c>
      <c r="E59" s="69">
        <f t="shared" ca="1" si="33"/>
        <v>3.4954537487556894</v>
      </c>
      <c r="F59" s="69">
        <f t="shared" ca="1" si="33"/>
        <v>3.4489126156594141</v>
      </c>
      <c r="G59" s="69">
        <f t="shared" ca="1" si="33"/>
        <v>3.4796938215694704</v>
      </c>
      <c r="H59" s="69">
        <f t="shared" ca="1" si="33"/>
        <v>3.4695740365617156</v>
      </c>
      <c r="I59" s="69">
        <f t="shared" ca="1" si="33"/>
        <v>3.341678852263875</v>
      </c>
      <c r="J59" s="69">
        <f t="shared" ca="1" si="33"/>
        <v>3.4993363988969715</v>
      </c>
      <c r="K59" s="69">
        <f t="shared" ca="1" si="33"/>
        <v>3.4993363988802169</v>
      </c>
      <c r="L59" s="69">
        <f t="shared" ca="1" si="33"/>
        <v>3.4997156045191238</v>
      </c>
      <c r="R59" s="70"/>
    </row>
    <row r="60" spans="2:22" x14ac:dyDescent="0.25">
      <c r="B60">
        <v>2033</v>
      </c>
      <c r="C60" s="69">
        <f t="shared" ca="1" si="34"/>
        <v>3.5368885437239772</v>
      </c>
      <c r="D60" s="69">
        <f t="shared" ca="1" si="33"/>
        <v>3.513873892863991</v>
      </c>
      <c r="E60" s="69">
        <f t="shared" ca="1" si="33"/>
        <v>3.5165476056867422</v>
      </c>
      <c r="F60" s="69">
        <f t="shared" ca="1" si="33"/>
        <v>3.462958578355098</v>
      </c>
      <c r="G60" s="69">
        <f t="shared" ca="1" si="33"/>
        <v>3.4964228484301119</v>
      </c>
      <c r="H60" s="69">
        <f t="shared" ca="1" si="33"/>
        <v>3.4823297335228705</v>
      </c>
      <c r="I60" s="69">
        <f t="shared" ca="1" si="33"/>
        <v>3.3320505083876251</v>
      </c>
      <c r="J60" s="69">
        <f t="shared" ca="1" si="33"/>
        <v>3.5206274833370124</v>
      </c>
      <c r="K60" s="69">
        <f t="shared" ca="1" si="33"/>
        <v>3.5206274833268072</v>
      </c>
      <c r="L60" s="69">
        <f t="shared" ca="1" si="33"/>
        <v>3.5223651266000275</v>
      </c>
    </row>
    <row r="61" spans="2:22" x14ac:dyDescent="0.25">
      <c r="B61">
        <v>2034</v>
      </c>
      <c r="C61" s="69">
        <f t="shared" ca="1" si="34"/>
        <v>3.5735793671440303</v>
      </c>
      <c r="D61" s="69">
        <f t="shared" ca="1" si="33"/>
        <v>3.5461521680360977</v>
      </c>
      <c r="E61" s="69">
        <f t="shared" ca="1" si="33"/>
        <v>3.548914548027295</v>
      </c>
      <c r="F61" s="69">
        <f t="shared" ca="1" si="33"/>
        <v>3.4852088064565372</v>
      </c>
      <c r="G61" s="69">
        <f t="shared" ca="1" si="33"/>
        <v>3.5256914837338891</v>
      </c>
      <c r="H61" s="69">
        <f t="shared" ca="1" si="33"/>
        <v>3.5005296760916496</v>
      </c>
      <c r="I61" s="69">
        <f t="shared" ca="1" si="33"/>
        <v>3.3471178950169649</v>
      </c>
      <c r="J61" s="69">
        <f t="shared" ca="1" si="33"/>
        <v>3.5530873830242591</v>
      </c>
      <c r="K61" s="69">
        <f t="shared" ca="1" si="33"/>
        <v>3.5530873830460212</v>
      </c>
      <c r="L61" s="69">
        <f t="shared" ca="1" si="33"/>
        <v>3.5560019699488659</v>
      </c>
    </row>
    <row r="62" spans="2:22" x14ac:dyDescent="0.25">
      <c r="B62">
        <v>2035</v>
      </c>
      <c r="C62" s="69">
        <f t="shared" ca="1" si="34"/>
        <v>3.5839461624550752</v>
      </c>
      <c r="D62" s="69">
        <f t="shared" ca="1" si="33"/>
        <v>3.5524950287718458</v>
      </c>
      <c r="E62" s="69">
        <f t="shared" ca="1" si="33"/>
        <v>3.5548678815506913</v>
      </c>
      <c r="F62" s="69">
        <f t="shared" ca="1" si="33"/>
        <v>3.4852168408508679</v>
      </c>
      <c r="G62" s="69">
        <f t="shared" ca="1" si="33"/>
        <v>3.5285364301955675</v>
      </c>
      <c r="H62" s="69">
        <f t="shared" ca="1" si="33"/>
        <v>3.4985802763702174</v>
      </c>
      <c r="I62" s="69">
        <f t="shared" ca="1" si="33"/>
        <v>3.3701504017566677</v>
      </c>
      <c r="J62" s="69">
        <f t="shared" ca="1" si="33"/>
        <v>3.559430903768162</v>
      </c>
      <c r="K62" s="69">
        <f t="shared" ca="1" si="33"/>
        <v>3.5594309038306018</v>
      </c>
      <c r="L62" s="69">
        <f t="shared" ca="1" si="33"/>
        <v>3.5636068996914942</v>
      </c>
    </row>
    <row r="63" spans="2:22" x14ac:dyDescent="0.25">
      <c r="B63">
        <v>2036</v>
      </c>
      <c r="C63" s="69">
        <f t="shared" ca="1" si="34"/>
        <v>3.6443598663450714</v>
      </c>
      <c r="D63" s="69">
        <f t="shared" ca="1" si="33"/>
        <v>3.6076033760143806</v>
      </c>
      <c r="E63" s="69">
        <f t="shared" ca="1" si="33"/>
        <v>3.6085413082541513</v>
      </c>
      <c r="F63" s="69">
        <f t="shared" ca="1" si="33"/>
        <v>3.5363660679696296</v>
      </c>
      <c r="G63" s="69">
        <f t="shared" ca="1" si="33"/>
        <v>3.5806777786885995</v>
      </c>
      <c r="H63" s="69">
        <f t="shared" ca="1" si="33"/>
        <v>3.5441647036519144</v>
      </c>
      <c r="I63" s="69">
        <f t="shared" ca="1" si="33"/>
        <v>3.3896761975453114</v>
      </c>
      <c r="J63" s="69">
        <f t="shared" ca="1" si="33"/>
        <v>3.6142335889470414</v>
      </c>
      <c r="K63" s="69">
        <f t="shared" ca="1" si="33"/>
        <v>3.614233588913307</v>
      </c>
      <c r="L63" s="69">
        <f t="shared" ca="1" si="33"/>
        <v>3.6197373919121594</v>
      </c>
    </row>
    <row r="64" spans="2:22" x14ac:dyDescent="0.25">
      <c r="B64">
        <v>2037</v>
      </c>
      <c r="C64" s="69">
        <f t="shared" ca="1" si="34"/>
        <v>3.6693730545684771</v>
      </c>
      <c r="D64" s="69">
        <f t="shared" ca="1" si="33"/>
        <v>3.6302435290696269</v>
      </c>
      <c r="E64" s="69">
        <f t="shared" ca="1" si="33"/>
        <v>3.630446615382251</v>
      </c>
      <c r="F64" s="69">
        <f t="shared" ca="1" si="33"/>
        <v>3.5468948328441838</v>
      </c>
      <c r="G64" s="69">
        <f t="shared" ca="1" si="33"/>
        <v>3.5955730119406417</v>
      </c>
      <c r="H64" s="69">
        <f t="shared" ca="1" si="33"/>
        <v>3.5568881684963229</v>
      </c>
      <c r="I64" s="69">
        <f t="shared" ca="1" si="33"/>
        <v>3.3786095964175846</v>
      </c>
      <c r="J64" s="69">
        <f t="shared" ca="1" si="33"/>
        <v>3.6372417030299138</v>
      </c>
      <c r="K64" s="69">
        <f t="shared" ca="1" si="33"/>
        <v>3.637241703097585</v>
      </c>
      <c r="L64" s="69">
        <f t="shared" ca="1" si="33"/>
        <v>3.6441779841577309</v>
      </c>
    </row>
    <row r="65" spans="2:12" x14ac:dyDescent="0.25">
      <c r="B65">
        <v>2038</v>
      </c>
      <c r="C65" s="69">
        <f t="shared" ca="1" si="34"/>
        <v>3.6913669387607637</v>
      </c>
      <c r="D65" s="69">
        <f t="shared" ref="D65:D78" ca="1" si="35">P32+D32*(1/(1-AA32))</f>
        <v>3.6777971853943403</v>
      </c>
      <c r="E65" s="69">
        <f t="shared" ref="E65:E78" ca="1" si="36">Q32+E32*(1/(1-AB32))</f>
        <v>3.6768987549594927</v>
      </c>
      <c r="F65" s="69">
        <f t="shared" ref="F65:F78" ca="1" si="37">R32+F32*(1/(1-AC32))</f>
        <v>3.5921133544448733</v>
      </c>
      <c r="G65" s="69">
        <f t="shared" ref="G65:G78" ca="1" si="38">S32+G32*(1/(1-AD32))</f>
        <v>3.6429748265822033</v>
      </c>
      <c r="H65" s="69">
        <f t="shared" ref="H65:H78" ca="1" si="39">T32+H32*(1/(1-AE32))</f>
        <v>3.5992180775086782</v>
      </c>
      <c r="I65" s="69">
        <f t="shared" ref="I65:I78" ca="1" si="40">U32+I32*(1/(1-AF32))</f>
        <v>3.4207746062668902</v>
      </c>
      <c r="J65" s="69">
        <f t="shared" ref="J65:J78" ca="1" si="41">V32+J32*(1/(1-AG32))</f>
        <v>3.6842547217797397</v>
      </c>
      <c r="K65" s="69">
        <f t="shared" ref="K65:K78" ca="1" si="42">W32+K32*(1/(1-AH32))</f>
        <v>3.6842547217843937</v>
      </c>
      <c r="L65" s="69">
        <f t="shared" ref="L65:L78" ca="1" si="43">X32+L32*(1/(1-AI32))</f>
        <v>3.691772247117278</v>
      </c>
    </row>
    <row r="66" spans="2:12" x14ac:dyDescent="0.25">
      <c r="B66">
        <v>2039</v>
      </c>
      <c r="C66" s="69">
        <f t="shared" ca="1" si="34"/>
        <v>3.7708942216689927</v>
      </c>
      <c r="D66" s="69">
        <f t="shared" ca="1" si="35"/>
        <v>3.7522485656750741</v>
      </c>
      <c r="E66" s="69">
        <f t="shared" ca="1" si="36"/>
        <v>3.7500807654465431</v>
      </c>
      <c r="F66" s="69">
        <f t="shared" ca="1" si="37"/>
        <v>3.6635342671312476</v>
      </c>
      <c r="G66" s="69">
        <f t="shared" ca="1" si="38"/>
        <v>3.7161757254011638</v>
      </c>
      <c r="H66" s="69">
        <f t="shared" ca="1" si="39"/>
        <v>3.667307554817576</v>
      </c>
      <c r="I66" s="69">
        <f t="shared" ca="1" si="40"/>
        <v>3.4787879827793655</v>
      </c>
      <c r="J66" s="69">
        <f t="shared" ca="1" si="41"/>
        <v>3.7587766331561037</v>
      </c>
      <c r="K66" s="69">
        <f t="shared" ca="1" si="42"/>
        <v>3.7587766331748491</v>
      </c>
      <c r="L66" s="69">
        <f t="shared" ca="1" si="43"/>
        <v>3.7666941066810478</v>
      </c>
    </row>
    <row r="67" spans="2:12" x14ac:dyDescent="0.25">
      <c r="B67">
        <v>2040</v>
      </c>
      <c r="C67" s="69">
        <f t="shared" ca="1" si="34"/>
        <v>3.9774988820562851</v>
      </c>
      <c r="D67" s="69">
        <f t="shared" ca="1" si="35"/>
        <v>3.9465795547343978</v>
      </c>
      <c r="E67" s="69">
        <f t="shared" ca="1" si="36"/>
        <v>3.9398616853366497</v>
      </c>
      <c r="F67" s="69">
        <f t="shared" ca="1" si="37"/>
        <v>3.8519584780295224</v>
      </c>
      <c r="G67" s="69">
        <f t="shared" ca="1" si="38"/>
        <v>3.9054419504073348</v>
      </c>
      <c r="H67" s="69">
        <f t="shared" ca="1" si="39"/>
        <v>3.8457142998643183</v>
      </c>
      <c r="I67" s="69">
        <f t="shared" ca="1" si="40"/>
        <v>3.6368114618504688</v>
      </c>
      <c r="J67" s="69">
        <f t="shared" ca="1" si="41"/>
        <v>3.9525347897047305</v>
      </c>
      <c r="K67" s="69">
        <f t="shared" ca="1" si="42"/>
        <v>3.9525347896991141</v>
      </c>
      <c r="L67" s="69">
        <f t="shared" ca="1" si="43"/>
        <v>3.9612203296690587</v>
      </c>
    </row>
    <row r="68" spans="2:12" x14ac:dyDescent="0.25">
      <c r="B68">
        <v>2041</v>
      </c>
      <c r="C68" s="69">
        <f t="shared" ca="1" si="34"/>
        <v>4.0656028225976177</v>
      </c>
      <c r="D68" s="69">
        <f t="shared" ca="1" si="35"/>
        <v>4.0353142940278097</v>
      </c>
      <c r="E68" s="69">
        <f t="shared" ca="1" si="36"/>
        <v>4.0253063473642063</v>
      </c>
      <c r="F68" s="69">
        <f t="shared" ca="1" si="37"/>
        <v>3.9381892319914629</v>
      </c>
      <c r="G68" s="69">
        <f t="shared" ca="1" si="38"/>
        <v>3.9943416547984647</v>
      </c>
      <c r="H68" s="69">
        <f t="shared" ca="1" si="39"/>
        <v>3.9307865199006957</v>
      </c>
      <c r="I68" s="69">
        <f t="shared" ca="1" si="40"/>
        <v>3.7136714735098275</v>
      </c>
      <c r="J68" s="69">
        <f t="shared" ca="1" si="41"/>
        <v>4.0415770987456101</v>
      </c>
      <c r="K68" s="69">
        <f t="shared" ca="1" si="42"/>
        <v>4.0415770987385971</v>
      </c>
      <c r="L68" s="69">
        <f t="shared" ca="1" si="43"/>
        <v>4.0508486773403325</v>
      </c>
    </row>
    <row r="69" spans="2:12" x14ac:dyDescent="0.25">
      <c r="B69">
        <v>2042</v>
      </c>
      <c r="C69" s="69">
        <f t="shared" ca="1" si="34"/>
        <v>4.0862996979427164</v>
      </c>
      <c r="D69" s="69">
        <f t="shared" ca="1" si="35"/>
        <v>4.050301626310806</v>
      </c>
      <c r="E69" s="69">
        <f t="shared" ca="1" si="36"/>
        <v>4.0388178200702454</v>
      </c>
      <c r="F69" s="69">
        <f t="shared" ca="1" si="37"/>
        <v>3.9426671501188828</v>
      </c>
      <c r="G69" s="69">
        <f t="shared" ca="1" si="38"/>
        <v>4.0065660028635657</v>
      </c>
      <c r="H69" s="69">
        <f t="shared" ca="1" si="39"/>
        <v>3.9368884553694725</v>
      </c>
      <c r="I69" s="69">
        <f t="shared" ca="1" si="40"/>
        <v>3.6747959230689853</v>
      </c>
      <c r="J69" s="69">
        <f t="shared" ca="1" si="41"/>
        <v>4.056796848106778</v>
      </c>
      <c r="K69" s="69">
        <f t="shared" ca="1" si="42"/>
        <v>4.0567968482037848</v>
      </c>
      <c r="L69" s="69">
        <f t="shared" ca="1" si="43"/>
        <v>4.0674208141921637</v>
      </c>
    </row>
    <row r="70" spans="2:12" x14ac:dyDescent="0.25">
      <c r="B70">
        <v>2043</v>
      </c>
      <c r="C70" s="69">
        <f t="shared" ca="1" si="34"/>
        <v>4.0551099828426675</v>
      </c>
      <c r="D70" s="69">
        <f t="shared" ca="1" si="35"/>
        <v>4.0142092699353515</v>
      </c>
      <c r="E70" s="69">
        <f t="shared" ca="1" si="36"/>
        <v>4.0028781361893131</v>
      </c>
      <c r="F70" s="69">
        <f t="shared" ca="1" si="37"/>
        <v>3.8980709236047906</v>
      </c>
      <c r="G70" s="69">
        <f t="shared" ca="1" si="38"/>
        <v>3.9690714779283374</v>
      </c>
      <c r="H70" s="69">
        <f t="shared" ca="1" si="39"/>
        <v>3.8886971426475867</v>
      </c>
      <c r="I70" s="69">
        <f t="shared" ca="1" si="40"/>
        <v>3.5976862719205824</v>
      </c>
      <c r="J70" s="69">
        <f t="shared" ca="1" si="41"/>
        <v>4.0220427757261756</v>
      </c>
      <c r="K70" s="69">
        <f t="shared" ca="1" si="42"/>
        <v>4.0220427757785133</v>
      </c>
      <c r="L70" s="69">
        <f t="shared" ca="1" si="43"/>
        <v>4.0341502993365976</v>
      </c>
    </row>
    <row r="71" spans="2:12" x14ac:dyDescent="0.25">
      <c r="B71">
        <v>2044</v>
      </c>
      <c r="C71" s="69">
        <f t="shared" ca="1" si="34"/>
        <v>4.2603572813758426</v>
      </c>
      <c r="D71" s="69">
        <f t="shared" ca="1" si="35"/>
        <v>4.2128591811741734</v>
      </c>
      <c r="E71" s="69">
        <f t="shared" ca="1" si="36"/>
        <v>4.2005549395140545</v>
      </c>
      <c r="F71" s="69">
        <f t="shared" ca="1" si="37"/>
        <v>4.0895701751765321</v>
      </c>
      <c r="G71" s="69">
        <f t="shared" ca="1" si="38"/>
        <v>4.1620732694661999</v>
      </c>
      <c r="H71" s="69">
        <f t="shared" ca="1" si="39"/>
        <v>4.0812959528142665</v>
      </c>
      <c r="I71" s="69">
        <f t="shared" ca="1" si="40"/>
        <v>3.8107794940566229</v>
      </c>
      <c r="J71" s="69">
        <f t="shared" ca="1" si="41"/>
        <v>4.2222931680153177</v>
      </c>
      <c r="K71" s="69">
        <f t="shared" ca="1" si="42"/>
        <v>4.2222931679908982</v>
      </c>
      <c r="L71" s="69">
        <f t="shared" ca="1" si="43"/>
        <v>4.2360061900379415</v>
      </c>
    </row>
    <row r="72" spans="2:12" x14ac:dyDescent="0.25">
      <c r="B72">
        <v>2045</v>
      </c>
      <c r="C72" s="69">
        <f t="shared" ca="1" si="34"/>
        <v>4.361266263937603</v>
      </c>
      <c r="D72" s="69">
        <f t="shared" ca="1" si="35"/>
        <v>4.3111906933630815</v>
      </c>
      <c r="E72" s="69">
        <f t="shared" ca="1" si="36"/>
        <v>4.2972988216551604</v>
      </c>
      <c r="F72" s="69">
        <f t="shared" ca="1" si="37"/>
        <v>4.1898558544861659</v>
      </c>
      <c r="G72" s="69">
        <f t="shared" ca="1" si="38"/>
        <v>4.2588054329416494</v>
      </c>
      <c r="H72" s="69">
        <f t="shared" ca="1" si="39"/>
        <v>4.1851255186607172</v>
      </c>
      <c r="I72" s="69">
        <f t="shared" ca="1" si="40"/>
        <v>3.8699902899238041</v>
      </c>
      <c r="J72" s="69">
        <f t="shared" ca="1" si="41"/>
        <v>4.3182871457929402</v>
      </c>
      <c r="K72" s="69">
        <f t="shared" ca="1" si="42"/>
        <v>4.3182871457750798</v>
      </c>
      <c r="L72" s="69">
        <f t="shared" ca="1" si="43"/>
        <v>4.3336338162789287</v>
      </c>
    </row>
    <row r="73" spans="2:12" x14ac:dyDescent="0.25">
      <c r="B73">
        <v>2046</v>
      </c>
      <c r="C73" s="69">
        <f t="shared" ca="1" si="34"/>
        <v>4.4064987112551979</v>
      </c>
      <c r="D73" s="69">
        <f t="shared" ca="1" si="35"/>
        <v>4.352288148720068</v>
      </c>
      <c r="E73" s="69">
        <f t="shared" ca="1" si="36"/>
        <v>4.3359938619759797</v>
      </c>
      <c r="F73" s="69">
        <f t="shared" ca="1" si="37"/>
        <v>4.2296845518592372</v>
      </c>
      <c r="G73" s="69">
        <f t="shared" ca="1" si="38"/>
        <v>4.2965526131007721</v>
      </c>
      <c r="H73" s="69">
        <f t="shared" ca="1" si="39"/>
        <v>4.2099040279003344</v>
      </c>
      <c r="I73" s="69">
        <f t="shared" ca="1" si="40"/>
        <v>3.9288948654356974</v>
      </c>
      <c r="J73" s="69">
        <f t="shared" ca="1" si="41"/>
        <v>4.3592178027611101</v>
      </c>
      <c r="K73" s="69">
        <f t="shared" ca="1" si="42"/>
        <v>4.3592178027890007</v>
      </c>
      <c r="L73" s="69">
        <f t="shared" ca="1" si="43"/>
        <v>4.3753000146760277</v>
      </c>
    </row>
    <row r="74" spans="2:12" x14ac:dyDescent="0.25">
      <c r="B74">
        <v>2047</v>
      </c>
      <c r="C74" s="69">
        <f t="shared" ca="1" si="34"/>
        <v>4.5027513476427492</v>
      </c>
      <c r="D74" s="69">
        <f t="shared" ca="1" si="35"/>
        <v>4.4447116529880786</v>
      </c>
      <c r="E74" s="69">
        <f t="shared" ca="1" si="36"/>
        <v>4.4253241373285181</v>
      </c>
      <c r="F74" s="69">
        <f t="shared" ca="1" si="37"/>
        <v>4.3057982364108174</v>
      </c>
      <c r="G74" s="69">
        <f t="shared" ca="1" si="38"/>
        <v>4.3857722558733547</v>
      </c>
      <c r="H74" s="69">
        <f t="shared" ca="1" si="39"/>
        <v>4.2656574260057427</v>
      </c>
      <c r="I74" s="69">
        <f t="shared" ca="1" si="40"/>
        <v>4.0177667213342243</v>
      </c>
      <c r="J74" s="69">
        <f t="shared" ca="1" si="41"/>
        <v>4.451960301848823</v>
      </c>
      <c r="K74" s="69">
        <f t="shared" ca="1" si="42"/>
        <v>4.4519603018072118</v>
      </c>
      <c r="L74" s="69">
        <f t="shared" ca="1" si="43"/>
        <v>4.4690162585062154</v>
      </c>
    </row>
    <row r="75" spans="2:12" x14ac:dyDescent="0.25">
      <c r="B75">
        <v>2048</v>
      </c>
      <c r="C75" s="69">
        <f t="shared" ca="1" si="34"/>
        <v>4.7042654840041109</v>
      </c>
      <c r="D75" s="69">
        <f t="shared" ca="1" si="35"/>
        <v>4.6373431699786236</v>
      </c>
      <c r="E75" s="69">
        <f t="shared" ca="1" si="36"/>
        <v>4.6133985564962572</v>
      </c>
      <c r="F75" s="69">
        <f t="shared" ca="1" si="37"/>
        <v>4.5241727834859375</v>
      </c>
      <c r="G75" s="69">
        <f t="shared" ca="1" si="38"/>
        <v>4.5709015941451243</v>
      </c>
      <c r="H75" s="69">
        <f t="shared" ca="1" si="39"/>
        <v>4.5102561358589401</v>
      </c>
      <c r="I75" s="69">
        <f t="shared" ca="1" si="40"/>
        <v>4.1980267025263966</v>
      </c>
      <c r="J75" s="69">
        <f t="shared" ca="1" si="41"/>
        <v>4.6447615678293053</v>
      </c>
      <c r="K75" s="69">
        <f t="shared" ca="1" si="42"/>
        <v>4.6447615678944638</v>
      </c>
      <c r="L75" s="69">
        <f t="shared" ca="1" si="43"/>
        <v>4.6626366092030196</v>
      </c>
    </row>
    <row r="76" spans="2:12" x14ac:dyDescent="0.25">
      <c r="B76">
        <v>2049</v>
      </c>
      <c r="C76" s="69">
        <f t="shared" ca="1" si="34"/>
        <v>4.8534161872612875</v>
      </c>
      <c r="D76" s="69">
        <f t="shared" ca="1" si="35"/>
        <v>4.7713619203691042</v>
      </c>
      <c r="E76" s="69">
        <f t="shared" ca="1" si="36"/>
        <v>4.7446519924627761</v>
      </c>
      <c r="F76" s="69">
        <f t="shared" ca="1" si="37"/>
        <v>4.6408489217550359</v>
      </c>
      <c r="G76" s="69">
        <f t="shared" ca="1" si="38"/>
        <v>4.7011625589912649</v>
      </c>
      <c r="H76" s="69">
        <f t="shared" ca="1" si="39"/>
        <v>4.5994608678601256</v>
      </c>
      <c r="I76" s="69">
        <f t="shared" ca="1" si="40"/>
        <v>4.3538962743593581</v>
      </c>
      <c r="J76" s="69">
        <f t="shared" ca="1" si="41"/>
        <v>4.7780782257386809</v>
      </c>
      <c r="K76" s="69">
        <f t="shared" ca="1" si="42"/>
        <v>4.7780782257878132</v>
      </c>
      <c r="L76" s="69">
        <f t="shared" ca="1" si="43"/>
        <v>4.7968896136586334</v>
      </c>
    </row>
    <row r="77" spans="2:12" x14ac:dyDescent="0.25">
      <c r="B77">
        <v>2050</v>
      </c>
      <c r="C77" s="69">
        <f t="shared" ca="1" si="34"/>
        <v>5.0911993324354556</v>
      </c>
      <c r="D77" s="69">
        <f t="shared" ca="1" si="35"/>
        <v>4.9907904981615623</v>
      </c>
      <c r="E77" s="69">
        <f t="shared" ca="1" si="36"/>
        <v>4.977915972202525</v>
      </c>
      <c r="F77" s="69">
        <f t="shared" ca="1" si="37"/>
        <v>4.9007414613828342</v>
      </c>
      <c r="G77" s="69">
        <f t="shared" ca="1" si="38"/>
        <v>4.9573502339054833</v>
      </c>
      <c r="H77" s="69">
        <f t="shared" ca="1" si="39"/>
        <v>4.8302817950352726</v>
      </c>
      <c r="I77" s="69">
        <f t="shared" ca="1" si="40"/>
        <v>4.5976408275586529</v>
      </c>
      <c r="J77" s="69">
        <f t="shared" ca="1" si="41"/>
        <v>4.9932412251712002</v>
      </c>
      <c r="K77" s="69">
        <f t="shared" ca="1" si="42"/>
        <v>4.9932412252323921</v>
      </c>
      <c r="L77" s="69">
        <f t="shared" ca="1" si="43"/>
        <v>5.0025412423016702</v>
      </c>
    </row>
    <row r="78" spans="2:12" x14ac:dyDescent="0.25">
      <c r="B78">
        <v>2051</v>
      </c>
      <c r="C78" s="69">
        <f t="shared" ca="1" si="34"/>
        <v>5.0727192998595623</v>
      </c>
      <c r="D78" s="69">
        <f t="shared" ca="1" si="35"/>
        <v>4.9964970020274011</v>
      </c>
      <c r="E78" s="69">
        <f t="shared" ca="1" si="36"/>
        <v>4.9585774255588344</v>
      </c>
      <c r="F78" s="69">
        <f t="shared" ca="1" si="37"/>
        <v>4.9026819588291684</v>
      </c>
      <c r="G78" s="69">
        <f t="shared" ca="1" si="38"/>
        <v>4.9245392404639876</v>
      </c>
      <c r="H78" s="69">
        <f t="shared" ca="1" si="39"/>
        <v>4.8461860701103356</v>
      </c>
      <c r="I78" s="69">
        <f t="shared" ca="1" si="40"/>
        <v>4.6182399763460058</v>
      </c>
      <c r="J78" s="69">
        <f t="shared" ca="1" si="41"/>
        <v>5.0024294177343398</v>
      </c>
      <c r="K78" s="69">
        <f t="shared" ca="1" si="42"/>
        <v>5.0024294178024542</v>
      </c>
      <c r="L78" s="69">
        <f t="shared" ca="1" si="43"/>
        <v>5.0264362241575515</v>
      </c>
    </row>
  </sheetData>
  <phoneticPr fontId="3" type="noConversion"/>
  <conditionalFormatting sqref="C49:L78">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D3D4-8515-4982-AEC8-62B96A9C5008}">
  <sheetPr>
    <tabColor rgb="FF1CC29E"/>
  </sheetPr>
  <dimension ref="A1:S33"/>
  <sheetViews>
    <sheetView workbookViewId="0">
      <selection activeCell="H29" sqref="H29"/>
    </sheetView>
  </sheetViews>
  <sheetFormatPr defaultRowHeight="15" x14ac:dyDescent="0.25"/>
  <cols>
    <col min="2" max="3" width="27.5703125" customWidth="1"/>
    <col min="4" max="4" width="2.5703125" style="25" customWidth="1"/>
    <col min="5" max="9" width="11.7109375" customWidth="1"/>
    <col min="10" max="10" width="2.5703125" customWidth="1"/>
    <col min="11" max="15" width="14.7109375" customWidth="1"/>
    <col min="16" max="16" width="2.5703125" customWidth="1"/>
    <col min="17" max="19" width="14.7109375" customWidth="1"/>
  </cols>
  <sheetData>
    <row r="1" spans="1:19" x14ac:dyDescent="0.25">
      <c r="B1" s="307" t="s">
        <v>321</v>
      </c>
      <c r="C1" s="307"/>
      <c r="D1" s="36"/>
      <c r="E1" s="306" t="s">
        <v>113</v>
      </c>
      <c r="F1" s="306"/>
      <c r="G1" s="306"/>
      <c r="H1" s="306"/>
      <c r="I1" s="306"/>
      <c r="K1" s="306" t="s">
        <v>114</v>
      </c>
      <c r="L1" s="306"/>
      <c r="M1" s="306"/>
      <c r="N1" s="306"/>
      <c r="O1" s="306"/>
      <c r="Q1" s="306" t="s">
        <v>12</v>
      </c>
      <c r="R1" s="306"/>
      <c r="S1" s="306"/>
    </row>
    <row r="2" spans="1:19" ht="63" customHeight="1" x14ac:dyDescent="0.25">
      <c r="A2" s="32" t="s">
        <v>0</v>
      </c>
      <c r="B2" s="38" t="s">
        <v>112</v>
      </c>
      <c r="C2" s="39" t="s">
        <v>115</v>
      </c>
      <c r="D2" s="31"/>
      <c r="E2" s="34" t="s">
        <v>107</v>
      </c>
      <c r="F2" s="34" t="s">
        <v>108</v>
      </c>
      <c r="G2" s="34" t="s">
        <v>109</v>
      </c>
      <c r="H2" s="34" t="s">
        <v>110</v>
      </c>
      <c r="I2" s="34" t="s">
        <v>111</v>
      </c>
      <c r="J2" s="33"/>
      <c r="K2" s="35" t="s">
        <v>3</v>
      </c>
      <c r="L2" s="35" t="s">
        <v>4</v>
      </c>
      <c r="M2" s="35" t="s">
        <v>5</v>
      </c>
      <c r="N2" s="35" t="s">
        <v>6</v>
      </c>
      <c r="O2" s="35" t="s">
        <v>11</v>
      </c>
      <c r="P2" s="33"/>
      <c r="Q2" s="35" t="s">
        <v>7</v>
      </c>
      <c r="R2" s="35" t="s">
        <v>8</v>
      </c>
      <c r="S2" s="35" t="s">
        <v>9</v>
      </c>
    </row>
    <row r="3" spans="1:19" x14ac:dyDescent="0.25">
      <c r="A3" s="32"/>
      <c r="B3" s="32" t="s">
        <v>2</v>
      </c>
      <c r="C3" s="32" t="s">
        <v>2</v>
      </c>
      <c r="D3" s="31"/>
      <c r="E3" s="32" t="s">
        <v>2</v>
      </c>
      <c r="F3" s="32" t="s">
        <v>2</v>
      </c>
      <c r="G3" s="32" t="s">
        <v>2</v>
      </c>
      <c r="H3" s="32" t="s">
        <v>2</v>
      </c>
      <c r="I3" s="32" t="s">
        <v>2</v>
      </c>
      <c r="J3" s="33"/>
      <c r="K3" s="33" t="s">
        <v>2</v>
      </c>
      <c r="L3" s="33" t="s">
        <v>2</v>
      </c>
      <c r="M3" s="33" t="s">
        <v>2</v>
      </c>
      <c r="N3" s="33" t="s">
        <v>2</v>
      </c>
      <c r="O3" s="33" t="s">
        <v>2</v>
      </c>
      <c r="P3" s="33"/>
      <c r="Q3" s="33" t="s">
        <v>2</v>
      </c>
      <c r="R3" s="33" t="s">
        <v>2</v>
      </c>
      <c r="S3" s="33" t="s">
        <v>2</v>
      </c>
    </row>
    <row r="4" spans="1:19" x14ac:dyDescent="0.25">
      <c r="A4">
        <v>2022</v>
      </c>
      <c r="B4" s="4">
        <f>SUM(E4:I4)</f>
        <v>364.26997080000001</v>
      </c>
      <c r="C4" s="37">
        <f>SUM(K4:O4)+SUM(Q4:S4)</f>
        <v>773.99997000000008</v>
      </c>
      <c r="D4" s="24"/>
      <c r="E4" s="4">
        <v>0</v>
      </c>
      <c r="F4" s="4">
        <v>182.4999708</v>
      </c>
      <c r="G4" s="4">
        <v>28.47</v>
      </c>
      <c r="H4" s="4">
        <v>89.79</v>
      </c>
      <c r="I4" s="4">
        <v>63.51</v>
      </c>
      <c r="K4">
        <v>1</v>
      </c>
      <c r="L4">
        <v>8</v>
      </c>
      <c r="M4">
        <v>14</v>
      </c>
      <c r="N4">
        <v>16</v>
      </c>
      <c r="O4">
        <v>5</v>
      </c>
      <c r="Q4" s="8">
        <v>109.5</v>
      </c>
      <c r="R4" s="8">
        <v>401.49997000000002</v>
      </c>
      <c r="S4" s="8">
        <v>219</v>
      </c>
    </row>
    <row r="5" spans="1:19" x14ac:dyDescent="0.25">
      <c r="A5">
        <v>2023</v>
      </c>
      <c r="B5" s="4">
        <f t="shared" ref="B5:B32" si="0">SUM(E5:I5)</f>
        <v>1200.1199999999999</v>
      </c>
      <c r="C5" s="37">
        <f t="shared" ref="C5:C32" si="1">SUM(K5:O5)+SUM(Q5:S5)</f>
        <v>788.99997000000008</v>
      </c>
      <c r="D5" s="24"/>
      <c r="E5" s="4">
        <v>500.04997079999998</v>
      </c>
      <c r="F5" s="4">
        <v>365.00002919999997</v>
      </c>
      <c r="G5" s="4">
        <v>113.5149708</v>
      </c>
      <c r="H5" s="4">
        <v>130.30500000000001</v>
      </c>
      <c r="I5" s="4">
        <v>91.2500292</v>
      </c>
      <c r="K5">
        <v>1</v>
      </c>
      <c r="L5">
        <v>8</v>
      </c>
      <c r="M5">
        <v>14</v>
      </c>
      <c r="N5">
        <v>16</v>
      </c>
      <c r="O5">
        <v>20</v>
      </c>
      <c r="Q5" s="8">
        <v>109.5</v>
      </c>
      <c r="R5" s="8">
        <v>401.49997000000002</v>
      </c>
      <c r="S5" s="8">
        <v>219</v>
      </c>
    </row>
    <row r="6" spans="1:19" x14ac:dyDescent="0.25">
      <c r="A6">
        <v>2024</v>
      </c>
      <c r="B6" s="4">
        <f t="shared" si="0"/>
        <v>1314.6721171200002</v>
      </c>
      <c r="C6" s="37">
        <f t="shared" si="1"/>
        <v>770.99996999999996</v>
      </c>
      <c r="D6" s="24"/>
      <c r="E6" s="4">
        <v>499.95602928</v>
      </c>
      <c r="F6" s="4">
        <v>366.00002927999998</v>
      </c>
      <c r="G6" s="4">
        <v>199.10402927999999</v>
      </c>
      <c r="H6" s="4">
        <v>158.11199999999999</v>
      </c>
      <c r="I6" s="4">
        <v>91.500029280000007</v>
      </c>
      <c r="K6">
        <v>1</v>
      </c>
      <c r="L6">
        <v>8</v>
      </c>
      <c r="M6">
        <v>14</v>
      </c>
      <c r="N6">
        <v>16</v>
      </c>
      <c r="O6">
        <v>0</v>
      </c>
      <c r="Q6" s="8">
        <v>109.8</v>
      </c>
      <c r="R6" s="8">
        <v>402.59996999999998</v>
      </c>
      <c r="S6" s="8">
        <v>219.6</v>
      </c>
    </row>
    <row r="7" spans="1:19" x14ac:dyDescent="0.25">
      <c r="A7">
        <v>2025</v>
      </c>
      <c r="B7" s="4">
        <f t="shared" si="0"/>
        <v>1838.5050875999998</v>
      </c>
      <c r="C7" s="37">
        <f t="shared" si="1"/>
        <v>768.99997000000008</v>
      </c>
      <c r="D7" s="24"/>
      <c r="E7" s="4">
        <v>1000.1000292</v>
      </c>
      <c r="F7" s="4">
        <v>365.00002919999997</v>
      </c>
      <c r="G7" s="4">
        <v>198.5600292</v>
      </c>
      <c r="H7" s="4">
        <v>183.5949708</v>
      </c>
      <c r="I7" s="4">
        <v>91.2500292</v>
      </c>
      <c r="K7">
        <v>1</v>
      </c>
      <c r="L7">
        <v>8</v>
      </c>
      <c r="M7">
        <v>14</v>
      </c>
      <c r="N7">
        <v>16</v>
      </c>
      <c r="O7">
        <v>0</v>
      </c>
      <c r="Q7" s="8">
        <v>109.5</v>
      </c>
      <c r="R7" s="8">
        <v>401.49997000000002</v>
      </c>
      <c r="S7" s="8">
        <v>219</v>
      </c>
    </row>
    <row r="8" spans="1:19" x14ac:dyDescent="0.25">
      <c r="A8">
        <v>2026</v>
      </c>
      <c r="B8" s="4">
        <f t="shared" si="0"/>
        <v>1842.5201459999998</v>
      </c>
      <c r="C8" s="37">
        <f t="shared" si="1"/>
        <v>768.99997000000008</v>
      </c>
      <c r="D8" s="24"/>
      <c r="E8" s="4">
        <v>1000.1000292</v>
      </c>
      <c r="F8" s="4">
        <v>365.00002919999997</v>
      </c>
      <c r="G8" s="4">
        <v>198.5600292</v>
      </c>
      <c r="H8" s="4">
        <v>187.61002920000001</v>
      </c>
      <c r="I8" s="4">
        <v>91.2500292</v>
      </c>
      <c r="K8">
        <v>1</v>
      </c>
      <c r="L8">
        <v>8</v>
      </c>
      <c r="M8">
        <v>14</v>
      </c>
      <c r="N8">
        <v>16</v>
      </c>
      <c r="O8">
        <v>0</v>
      </c>
      <c r="Q8" s="8">
        <v>109.5</v>
      </c>
      <c r="R8" s="8">
        <v>401.49997000000002</v>
      </c>
      <c r="S8" s="8">
        <v>219</v>
      </c>
    </row>
    <row r="9" spans="1:19" x14ac:dyDescent="0.25">
      <c r="A9">
        <v>2027</v>
      </c>
      <c r="B9" s="4">
        <f t="shared" si="0"/>
        <v>1842.5201459999998</v>
      </c>
      <c r="C9" s="37">
        <f t="shared" si="1"/>
        <v>768.99997000000008</v>
      </c>
      <c r="D9" s="24"/>
      <c r="E9" s="4">
        <v>1000.1000292</v>
      </c>
      <c r="F9" s="4">
        <v>365.00002919999997</v>
      </c>
      <c r="G9" s="4">
        <v>198.5600292</v>
      </c>
      <c r="H9" s="4">
        <v>187.61002920000001</v>
      </c>
      <c r="I9" s="4">
        <v>91.2500292</v>
      </c>
      <c r="K9">
        <v>1</v>
      </c>
      <c r="L9">
        <v>8</v>
      </c>
      <c r="M9">
        <v>14</v>
      </c>
      <c r="N9">
        <v>16</v>
      </c>
      <c r="O9">
        <v>0</v>
      </c>
      <c r="Q9" s="8">
        <v>109.5</v>
      </c>
      <c r="R9" s="8">
        <v>401.49997000000002</v>
      </c>
      <c r="S9" s="8">
        <v>219</v>
      </c>
    </row>
    <row r="10" spans="1:19" x14ac:dyDescent="0.25">
      <c r="A10">
        <v>2028</v>
      </c>
      <c r="B10" s="4">
        <f t="shared" si="0"/>
        <v>1847.5681464000002</v>
      </c>
      <c r="C10" s="37">
        <f t="shared" si="1"/>
        <v>770.99996999999996</v>
      </c>
      <c r="D10" s="24"/>
      <c r="E10" s="4">
        <v>1002.84002928</v>
      </c>
      <c r="F10" s="4">
        <v>366.00002927999998</v>
      </c>
      <c r="G10" s="4">
        <v>199.10402927999999</v>
      </c>
      <c r="H10" s="4">
        <v>188.12402928</v>
      </c>
      <c r="I10" s="4">
        <v>91.500029280000007</v>
      </c>
      <c r="K10">
        <v>1</v>
      </c>
      <c r="L10">
        <v>8</v>
      </c>
      <c r="M10">
        <v>14</v>
      </c>
      <c r="N10">
        <v>16</v>
      </c>
      <c r="O10">
        <v>0</v>
      </c>
      <c r="Q10" s="8">
        <v>109.8</v>
      </c>
      <c r="R10" s="8">
        <v>402.59996999999998</v>
      </c>
      <c r="S10" s="8">
        <v>219.6</v>
      </c>
    </row>
    <row r="11" spans="1:19" x14ac:dyDescent="0.25">
      <c r="A11">
        <v>2029</v>
      </c>
      <c r="B11" s="4">
        <f t="shared" si="0"/>
        <v>1842.5201459999998</v>
      </c>
      <c r="C11" s="37">
        <f t="shared" si="1"/>
        <v>768.99997000000008</v>
      </c>
      <c r="D11" s="24"/>
      <c r="E11" s="4">
        <v>1000.1000292</v>
      </c>
      <c r="F11" s="4">
        <v>365.00002919999997</v>
      </c>
      <c r="G11" s="4">
        <v>198.5600292</v>
      </c>
      <c r="H11" s="4">
        <v>187.61002920000001</v>
      </c>
      <c r="I11" s="4">
        <v>91.2500292</v>
      </c>
      <c r="K11">
        <v>1</v>
      </c>
      <c r="L11">
        <v>8</v>
      </c>
      <c r="M11">
        <v>14</v>
      </c>
      <c r="N11">
        <v>16</v>
      </c>
      <c r="O11">
        <v>0</v>
      </c>
      <c r="Q11" s="8">
        <v>109.5</v>
      </c>
      <c r="R11" s="8">
        <v>401.49997000000002</v>
      </c>
      <c r="S11" s="8">
        <v>219</v>
      </c>
    </row>
    <row r="12" spans="1:19" x14ac:dyDescent="0.25">
      <c r="A12">
        <v>2030</v>
      </c>
      <c r="B12" s="4">
        <f t="shared" si="0"/>
        <v>1842.5201459999998</v>
      </c>
      <c r="C12" s="37">
        <f t="shared" si="1"/>
        <v>768.99997000000008</v>
      </c>
      <c r="D12" s="24"/>
      <c r="E12" s="4">
        <v>1000.1000292</v>
      </c>
      <c r="F12" s="4">
        <v>365.00002919999997</v>
      </c>
      <c r="G12" s="4">
        <v>198.5600292</v>
      </c>
      <c r="H12" s="4">
        <v>187.61002920000001</v>
      </c>
      <c r="I12" s="4">
        <v>91.2500292</v>
      </c>
      <c r="K12">
        <v>1</v>
      </c>
      <c r="L12">
        <v>8</v>
      </c>
      <c r="M12">
        <v>14</v>
      </c>
      <c r="N12">
        <v>16</v>
      </c>
      <c r="O12">
        <v>0</v>
      </c>
      <c r="Q12" s="8">
        <v>109.5</v>
      </c>
      <c r="R12" s="8">
        <v>401.49997000000002</v>
      </c>
      <c r="S12" s="8">
        <v>219</v>
      </c>
    </row>
    <row r="13" spans="1:19" x14ac:dyDescent="0.25">
      <c r="A13">
        <v>2031</v>
      </c>
      <c r="B13" s="4">
        <f t="shared" si="0"/>
        <v>1842.5201459999998</v>
      </c>
      <c r="C13" s="37">
        <f t="shared" si="1"/>
        <v>768.99997000000008</v>
      </c>
      <c r="D13" s="24"/>
      <c r="E13" s="4">
        <v>1000.1000292</v>
      </c>
      <c r="F13" s="4">
        <v>365.00002919999997</v>
      </c>
      <c r="G13" s="4">
        <v>198.5600292</v>
      </c>
      <c r="H13" s="4">
        <v>187.61002920000001</v>
      </c>
      <c r="I13" s="4">
        <v>91.2500292</v>
      </c>
      <c r="K13">
        <v>1</v>
      </c>
      <c r="L13">
        <v>8</v>
      </c>
      <c r="M13">
        <v>14</v>
      </c>
      <c r="N13">
        <v>16</v>
      </c>
      <c r="O13">
        <v>0</v>
      </c>
      <c r="Q13" s="8">
        <v>109.5</v>
      </c>
      <c r="R13" s="8">
        <v>401.49997000000002</v>
      </c>
      <c r="S13" s="8">
        <v>219</v>
      </c>
    </row>
    <row r="14" spans="1:19" x14ac:dyDescent="0.25">
      <c r="A14">
        <v>2032</v>
      </c>
      <c r="B14" s="4">
        <f t="shared" si="0"/>
        <v>1847.5681464000002</v>
      </c>
      <c r="C14" s="37">
        <f t="shared" si="1"/>
        <v>770.99996999999996</v>
      </c>
      <c r="D14" s="24"/>
      <c r="E14" s="4">
        <v>1002.84002928</v>
      </c>
      <c r="F14" s="4">
        <v>366.00002927999998</v>
      </c>
      <c r="G14" s="4">
        <v>199.10402927999999</v>
      </c>
      <c r="H14" s="4">
        <v>188.12402928</v>
      </c>
      <c r="I14" s="4">
        <v>91.500029280000007</v>
      </c>
      <c r="K14">
        <v>1</v>
      </c>
      <c r="L14">
        <v>8</v>
      </c>
      <c r="M14">
        <v>14</v>
      </c>
      <c r="N14">
        <v>16</v>
      </c>
      <c r="O14">
        <v>0</v>
      </c>
      <c r="Q14" s="8">
        <v>109.8</v>
      </c>
      <c r="R14" s="8">
        <v>402.59996999999998</v>
      </c>
      <c r="S14" s="8">
        <v>219.6</v>
      </c>
    </row>
    <row r="15" spans="1:19" x14ac:dyDescent="0.25">
      <c r="A15">
        <v>2033</v>
      </c>
      <c r="B15" s="4">
        <f t="shared" si="0"/>
        <v>1842.5201459999998</v>
      </c>
      <c r="C15" s="37">
        <f t="shared" si="1"/>
        <v>768.99997000000008</v>
      </c>
      <c r="D15" s="24"/>
      <c r="E15" s="4">
        <v>1000.1000292</v>
      </c>
      <c r="F15" s="4">
        <v>365.00002919999997</v>
      </c>
      <c r="G15" s="4">
        <v>198.5600292</v>
      </c>
      <c r="H15" s="4">
        <v>187.61002920000001</v>
      </c>
      <c r="I15" s="4">
        <v>91.2500292</v>
      </c>
      <c r="K15">
        <v>1</v>
      </c>
      <c r="L15">
        <v>8</v>
      </c>
      <c r="M15">
        <v>14</v>
      </c>
      <c r="N15">
        <v>16</v>
      </c>
      <c r="O15">
        <v>0</v>
      </c>
      <c r="Q15" s="8">
        <v>109.5</v>
      </c>
      <c r="R15" s="8">
        <v>401.49997000000002</v>
      </c>
      <c r="S15" s="8">
        <v>219</v>
      </c>
    </row>
    <row r="16" spans="1:19" x14ac:dyDescent="0.25">
      <c r="A16">
        <v>2034</v>
      </c>
      <c r="B16" s="4">
        <f t="shared" si="0"/>
        <v>1842.5201459999998</v>
      </c>
      <c r="C16" s="37">
        <f t="shared" si="1"/>
        <v>768.99997000000008</v>
      </c>
      <c r="D16" s="24"/>
      <c r="E16" s="4">
        <v>1000.1000292</v>
      </c>
      <c r="F16" s="4">
        <v>365.00002919999997</v>
      </c>
      <c r="G16" s="4">
        <v>198.5600292</v>
      </c>
      <c r="H16" s="4">
        <v>187.61002920000001</v>
      </c>
      <c r="I16" s="4">
        <v>91.2500292</v>
      </c>
      <c r="K16">
        <v>1</v>
      </c>
      <c r="L16">
        <v>8</v>
      </c>
      <c r="M16">
        <v>14</v>
      </c>
      <c r="N16">
        <v>16</v>
      </c>
      <c r="O16">
        <v>0</v>
      </c>
      <c r="Q16" s="8">
        <v>109.5</v>
      </c>
      <c r="R16" s="8">
        <v>401.49997000000002</v>
      </c>
      <c r="S16" s="8">
        <v>219</v>
      </c>
    </row>
    <row r="17" spans="1:19" x14ac:dyDescent="0.25">
      <c r="A17">
        <v>2035</v>
      </c>
      <c r="B17" s="4">
        <f t="shared" si="0"/>
        <v>1842.5201459999998</v>
      </c>
      <c r="C17" s="37">
        <f t="shared" si="1"/>
        <v>768.99997000000008</v>
      </c>
      <c r="D17" s="24"/>
      <c r="E17" s="4">
        <v>1000.1000292</v>
      </c>
      <c r="F17" s="4">
        <v>365.00002919999997</v>
      </c>
      <c r="G17" s="4">
        <v>198.5600292</v>
      </c>
      <c r="H17" s="4">
        <v>187.61002920000001</v>
      </c>
      <c r="I17" s="4">
        <v>91.2500292</v>
      </c>
      <c r="K17">
        <v>1</v>
      </c>
      <c r="L17">
        <v>8</v>
      </c>
      <c r="M17">
        <v>14</v>
      </c>
      <c r="N17">
        <v>16</v>
      </c>
      <c r="O17">
        <v>0</v>
      </c>
      <c r="Q17" s="8">
        <v>109.5</v>
      </c>
      <c r="R17" s="8">
        <v>401.49997000000002</v>
      </c>
      <c r="S17" s="8">
        <v>219</v>
      </c>
    </row>
    <row r="18" spans="1:19" x14ac:dyDescent="0.25">
      <c r="A18">
        <v>2036</v>
      </c>
      <c r="B18" s="4">
        <f t="shared" si="0"/>
        <v>1847.5681464000002</v>
      </c>
      <c r="C18" s="37">
        <f t="shared" si="1"/>
        <v>770.99996999999996</v>
      </c>
      <c r="D18" s="24"/>
      <c r="E18" s="4">
        <v>1002.84002928</v>
      </c>
      <c r="F18" s="4">
        <v>366.00002927999998</v>
      </c>
      <c r="G18" s="4">
        <v>199.10402927999999</v>
      </c>
      <c r="H18" s="4">
        <v>188.12402928</v>
      </c>
      <c r="I18" s="4">
        <v>91.500029280000007</v>
      </c>
      <c r="K18">
        <v>1</v>
      </c>
      <c r="L18">
        <v>8</v>
      </c>
      <c r="M18">
        <v>14</v>
      </c>
      <c r="N18">
        <v>16</v>
      </c>
      <c r="O18">
        <v>0</v>
      </c>
      <c r="Q18" s="8">
        <v>109.8</v>
      </c>
      <c r="R18" s="8">
        <v>402.59996999999998</v>
      </c>
      <c r="S18" s="8">
        <v>219.6</v>
      </c>
    </row>
    <row r="19" spans="1:19" x14ac:dyDescent="0.25">
      <c r="A19">
        <v>2037</v>
      </c>
      <c r="B19" s="4">
        <f t="shared" si="0"/>
        <v>1842.5201459999998</v>
      </c>
      <c r="C19" s="37">
        <f t="shared" si="1"/>
        <v>768.99997000000008</v>
      </c>
      <c r="D19" s="24"/>
      <c r="E19" s="4">
        <v>1000.1000292</v>
      </c>
      <c r="F19" s="4">
        <v>365.00002919999997</v>
      </c>
      <c r="G19" s="4">
        <v>198.5600292</v>
      </c>
      <c r="H19" s="4">
        <v>187.61002920000001</v>
      </c>
      <c r="I19" s="4">
        <v>91.2500292</v>
      </c>
      <c r="K19">
        <v>1</v>
      </c>
      <c r="L19">
        <v>8</v>
      </c>
      <c r="M19">
        <v>14</v>
      </c>
      <c r="N19">
        <v>16</v>
      </c>
      <c r="O19">
        <v>0</v>
      </c>
      <c r="Q19" s="8">
        <v>109.5</v>
      </c>
      <c r="R19" s="8">
        <v>401.49997000000002</v>
      </c>
      <c r="S19" s="8">
        <v>219</v>
      </c>
    </row>
    <row r="20" spans="1:19" x14ac:dyDescent="0.25">
      <c r="A20">
        <v>2038</v>
      </c>
      <c r="B20" s="4">
        <f t="shared" si="0"/>
        <v>1842.5201459999998</v>
      </c>
      <c r="C20" s="37">
        <f t="shared" si="1"/>
        <v>768.99997000000008</v>
      </c>
      <c r="D20" s="24"/>
      <c r="E20" s="4">
        <v>1000.1000292</v>
      </c>
      <c r="F20" s="4">
        <v>365.00002919999997</v>
      </c>
      <c r="G20" s="4">
        <v>198.5600292</v>
      </c>
      <c r="H20" s="4">
        <v>187.61002920000001</v>
      </c>
      <c r="I20" s="4">
        <v>91.2500292</v>
      </c>
      <c r="K20">
        <v>1</v>
      </c>
      <c r="L20">
        <v>8</v>
      </c>
      <c r="M20">
        <v>14</v>
      </c>
      <c r="N20">
        <v>16</v>
      </c>
      <c r="O20">
        <v>0</v>
      </c>
      <c r="Q20" s="8">
        <v>109.5</v>
      </c>
      <c r="R20" s="8">
        <v>401.49997000000002</v>
      </c>
      <c r="S20" s="8">
        <v>219</v>
      </c>
    </row>
    <row r="21" spans="1:19" x14ac:dyDescent="0.25">
      <c r="A21">
        <v>2039</v>
      </c>
      <c r="B21" s="4">
        <f t="shared" si="0"/>
        <v>1842.5201459999998</v>
      </c>
      <c r="C21" s="37">
        <f t="shared" si="1"/>
        <v>768.99997000000008</v>
      </c>
      <c r="D21" s="24"/>
      <c r="E21" s="4">
        <v>1000.1000292</v>
      </c>
      <c r="F21" s="4">
        <v>365.00002919999997</v>
      </c>
      <c r="G21" s="4">
        <v>198.5600292</v>
      </c>
      <c r="H21" s="4">
        <v>187.61002920000001</v>
      </c>
      <c r="I21" s="4">
        <v>91.2500292</v>
      </c>
      <c r="K21">
        <v>1</v>
      </c>
      <c r="L21">
        <v>8</v>
      </c>
      <c r="M21">
        <v>14</v>
      </c>
      <c r="N21">
        <v>16</v>
      </c>
      <c r="O21">
        <v>0</v>
      </c>
      <c r="Q21" s="8">
        <v>109.5</v>
      </c>
      <c r="R21" s="8">
        <v>401.49997000000002</v>
      </c>
      <c r="S21" s="8">
        <v>219</v>
      </c>
    </row>
    <row r="22" spans="1:19" x14ac:dyDescent="0.25">
      <c r="A22">
        <v>2040</v>
      </c>
      <c r="B22" s="4">
        <f t="shared" si="0"/>
        <v>1847.5681464000002</v>
      </c>
      <c r="C22" s="37">
        <f t="shared" si="1"/>
        <v>770.99996999999996</v>
      </c>
      <c r="D22" s="24"/>
      <c r="E22" s="4">
        <v>1002.84002928</v>
      </c>
      <c r="F22" s="4">
        <v>366.00002927999998</v>
      </c>
      <c r="G22" s="4">
        <v>199.10402927999999</v>
      </c>
      <c r="H22" s="4">
        <v>188.12402928</v>
      </c>
      <c r="I22" s="4">
        <v>91.500029280000007</v>
      </c>
      <c r="K22">
        <v>1</v>
      </c>
      <c r="L22">
        <v>8</v>
      </c>
      <c r="M22">
        <v>14</v>
      </c>
      <c r="N22">
        <v>16</v>
      </c>
      <c r="O22">
        <v>0</v>
      </c>
      <c r="Q22" s="8">
        <v>109.8</v>
      </c>
      <c r="R22" s="8">
        <v>402.59996999999998</v>
      </c>
      <c r="S22" s="8">
        <v>219.6</v>
      </c>
    </row>
    <row r="23" spans="1:19" x14ac:dyDescent="0.25">
      <c r="A23">
        <v>2041</v>
      </c>
      <c r="B23" s="4">
        <f t="shared" si="0"/>
        <v>1842.5201459999998</v>
      </c>
      <c r="C23" s="37">
        <f t="shared" si="1"/>
        <v>768.99997000000008</v>
      </c>
      <c r="D23" s="24"/>
      <c r="E23" s="4">
        <v>1000.1000292</v>
      </c>
      <c r="F23" s="4">
        <v>365.00002919999997</v>
      </c>
      <c r="G23" s="4">
        <v>198.5600292</v>
      </c>
      <c r="H23" s="4">
        <v>187.61002920000001</v>
      </c>
      <c r="I23" s="4">
        <v>91.2500292</v>
      </c>
      <c r="K23">
        <v>1</v>
      </c>
      <c r="L23">
        <v>8</v>
      </c>
      <c r="M23">
        <v>14</v>
      </c>
      <c r="N23">
        <v>16</v>
      </c>
      <c r="O23">
        <v>0</v>
      </c>
      <c r="Q23" s="8">
        <v>109.5</v>
      </c>
      <c r="R23" s="8">
        <v>401.49997000000002</v>
      </c>
      <c r="S23" s="8">
        <v>219</v>
      </c>
    </row>
    <row r="24" spans="1:19" x14ac:dyDescent="0.25">
      <c r="A24">
        <v>2042</v>
      </c>
      <c r="B24" s="4">
        <f t="shared" si="0"/>
        <v>1842.5201459999998</v>
      </c>
      <c r="C24" s="37">
        <f t="shared" si="1"/>
        <v>768.99997000000008</v>
      </c>
      <c r="D24" s="24"/>
      <c r="E24" s="4">
        <v>1000.1000292</v>
      </c>
      <c r="F24" s="4">
        <v>365.00002919999997</v>
      </c>
      <c r="G24" s="4">
        <v>198.5600292</v>
      </c>
      <c r="H24" s="4">
        <v>187.61002920000001</v>
      </c>
      <c r="I24" s="4">
        <v>91.2500292</v>
      </c>
      <c r="K24">
        <v>1</v>
      </c>
      <c r="L24">
        <v>8</v>
      </c>
      <c r="M24">
        <v>14</v>
      </c>
      <c r="N24">
        <v>16</v>
      </c>
      <c r="O24">
        <v>0</v>
      </c>
      <c r="Q24" s="8">
        <v>109.5</v>
      </c>
      <c r="R24" s="8">
        <v>401.49997000000002</v>
      </c>
      <c r="S24" s="8">
        <v>219</v>
      </c>
    </row>
    <row r="25" spans="1:19" x14ac:dyDescent="0.25">
      <c r="A25">
        <v>2043</v>
      </c>
      <c r="B25" s="4">
        <f t="shared" si="0"/>
        <v>1842.5201459999998</v>
      </c>
      <c r="C25" s="37">
        <f t="shared" si="1"/>
        <v>768.99997000000008</v>
      </c>
      <c r="D25" s="24"/>
      <c r="E25" s="4">
        <v>1000.1000292</v>
      </c>
      <c r="F25" s="4">
        <v>365.00002919999997</v>
      </c>
      <c r="G25" s="4">
        <v>198.5600292</v>
      </c>
      <c r="H25" s="4">
        <v>187.61002920000001</v>
      </c>
      <c r="I25" s="4">
        <v>91.2500292</v>
      </c>
      <c r="K25">
        <v>1</v>
      </c>
      <c r="L25">
        <v>8</v>
      </c>
      <c r="M25">
        <v>14</v>
      </c>
      <c r="N25">
        <v>16</v>
      </c>
      <c r="O25">
        <v>0</v>
      </c>
      <c r="Q25" s="8">
        <v>109.5</v>
      </c>
      <c r="R25" s="8">
        <v>401.49997000000002</v>
      </c>
      <c r="S25" s="8">
        <v>219</v>
      </c>
    </row>
    <row r="26" spans="1:19" x14ac:dyDescent="0.25">
      <c r="A26">
        <v>2044</v>
      </c>
      <c r="B26" s="4">
        <f t="shared" si="0"/>
        <v>1847.5681464000002</v>
      </c>
      <c r="C26" s="37">
        <f t="shared" si="1"/>
        <v>770.99996999999996</v>
      </c>
      <c r="D26" s="24"/>
      <c r="E26" s="4">
        <v>1002.84002928</v>
      </c>
      <c r="F26" s="4">
        <v>366.00002927999998</v>
      </c>
      <c r="G26" s="4">
        <v>199.10402927999999</v>
      </c>
      <c r="H26" s="4">
        <v>188.12402928</v>
      </c>
      <c r="I26" s="4">
        <v>91.500029280000007</v>
      </c>
      <c r="K26">
        <v>1</v>
      </c>
      <c r="L26">
        <v>8</v>
      </c>
      <c r="M26">
        <v>14</v>
      </c>
      <c r="N26">
        <v>16</v>
      </c>
      <c r="O26">
        <v>0</v>
      </c>
      <c r="Q26" s="8">
        <v>109.8</v>
      </c>
      <c r="R26" s="8">
        <v>402.59996999999998</v>
      </c>
      <c r="S26" s="8">
        <v>219.6</v>
      </c>
    </row>
    <row r="27" spans="1:19" x14ac:dyDescent="0.25">
      <c r="A27">
        <v>2045</v>
      </c>
      <c r="B27" s="4">
        <f t="shared" si="0"/>
        <v>1842.5201459999998</v>
      </c>
      <c r="C27" s="37">
        <f t="shared" si="1"/>
        <v>768.99997000000008</v>
      </c>
      <c r="D27" s="24"/>
      <c r="E27" s="4">
        <v>1000.1000292</v>
      </c>
      <c r="F27" s="4">
        <v>365.00002919999997</v>
      </c>
      <c r="G27" s="4">
        <v>198.5600292</v>
      </c>
      <c r="H27" s="4">
        <v>187.61002920000001</v>
      </c>
      <c r="I27" s="4">
        <v>91.2500292</v>
      </c>
      <c r="K27">
        <v>1</v>
      </c>
      <c r="L27">
        <v>8</v>
      </c>
      <c r="M27">
        <v>14</v>
      </c>
      <c r="N27">
        <v>16</v>
      </c>
      <c r="O27">
        <v>0</v>
      </c>
      <c r="Q27" s="8">
        <v>109.5</v>
      </c>
      <c r="R27" s="8">
        <v>401.49997000000002</v>
      </c>
      <c r="S27" s="8">
        <v>219</v>
      </c>
    </row>
    <row r="28" spans="1:19" x14ac:dyDescent="0.25">
      <c r="A28">
        <v>2046</v>
      </c>
      <c r="B28" s="4">
        <f t="shared" si="0"/>
        <v>1842.5201459999998</v>
      </c>
      <c r="C28" s="37">
        <f t="shared" si="1"/>
        <v>768.99997000000008</v>
      </c>
      <c r="D28" s="24"/>
      <c r="E28" s="4">
        <v>1000.1000292</v>
      </c>
      <c r="F28" s="4">
        <v>365.00002919999997</v>
      </c>
      <c r="G28" s="4">
        <v>198.5600292</v>
      </c>
      <c r="H28" s="4">
        <v>187.61002920000001</v>
      </c>
      <c r="I28" s="4">
        <v>91.2500292</v>
      </c>
      <c r="K28">
        <v>1</v>
      </c>
      <c r="L28">
        <v>8</v>
      </c>
      <c r="M28">
        <v>14</v>
      </c>
      <c r="N28">
        <v>16</v>
      </c>
      <c r="O28">
        <v>0</v>
      </c>
      <c r="Q28" s="8">
        <v>109.5</v>
      </c>
      <c r="R28" s="8">
        <v>401.49997000000002</v>
      </c>
      <c r="S28" s="8">
        <v>219</v>
      </c>
    </row>
    <row r="29" spans="1:19" x14ac:dyDescent="0.25">
      <c r="A29">
        <v>2047</v>
      </c>
      <c r="B29" s="4">
        <f t="shared" si="0"/>
        <v>1842.5201459999998</v>
      </c>
      <c r="C29" s="37">
        <f t="shared" si="1"/>
        <v>768.99997000000008</v>
      </c>
      <c r="D29" s="24"/>
      <c r="E29" s="4">
        <v>1000.1000292</v>
      </c>
      <c r="F29" s="4">
        <v>365.00002919999997</v>
      </c>
      <c r="G29" s="4">
        <v>198.5600292</v>
      </c>
      <c r="H29" s="4">
        <v>187.61002920000001</v>
      </c>
      <c r="I29" s="4">
        <v>91.2500292</v>
      </c>
      <c r="K29">
        <v>1</v>
      </c>
      <c r="L29">
        <v>8</v>
      </c>
      <c r="M29">
        <v>14</v>
      </c>
      <c r="N29">
        <v>16</v>
      </c>
      <c r="O29">
        <v>0</v>
      </c>
      <c r="Q29" s="8">
        <v>109.5</v>
      </c>
      <c r="R29" s="8">
        <v>401.49997000000002</v>
      </c>
      <c r="S29" s="8">
        <v>219</v>
      </c>
    </row>
    <row r="30" spans="1:19" x14ac:dyDescent="0.25">
      <c r="A30">
        <v>2048</v>
      </c>
      <c r="B30" s="4">
        <f t="shared" si="0"/>
        <v>1847.5681464000002</v>
      </c>
      <c r="C30" s="37">
        <f t="shared" si="1"/>
        <v>768.99997000000008</v>
      </c>
      <c r="D30" s="24"/>
      <c r="E30" s="4">
        <v>1002.84002928</v>
      </c>
      <c r="F30" s="4">
        <v>366.00002927999998</v>
      </c>
      <c r="G30" s="4">
        <v>199.10402927999999</v>
      </c>
      <c r="H30" s="4">
        <v>188.12402928</v>
      </c>
      <c r="I30" s="4">
        <v>91.500029280000007</v>
      </c>
      <c r="K30">
        <v>1</v>
      </c>
      <c r="L30">
        <v>8</v>
      </c>
      <c r="M30">
        <v>14</v>
      </c>
      <c r="N30">
        <v>16</v>
      </c>
      <c r="O30">
        <v>0</v>
      </c>
      <c r="Q30" s="8">
        <v>109.5</v>
      </c>
      <c r="R30" s="8">
        <v>401.49997000000002</v>
      </c>
      <c r="S30" s="8">
        <v>219</v>
      </c>
    </row>
    <row r="31" spans="1:19" x14ac:dyDescent="0.25">
      <c r="A31">
        <v>2049</v>
      </c>
      <c r="B31" s="4">
        <f t="shared" si="0"/>
        <v>1842.5201459999998</v>
      </c>
      <c r="C31" s="37">
        <f t="shared" si="1"/>
        <v>768.99997000000008</v>
      </c>
      <c r="D31" s="24"/>
      <c r="E31" s="4">
        <v>1000.1000292</v>
      </c>
      <c r="F31" s="4">
        <v>365.00002919999997</v>
      </c>
      <c r="G31" s="4">
        <v>198.5600292</v>
      </c>
      <c r="H31" s="4">
        <v>187.61002920000001</v>
      </c>
      <c r="I31" s="4">
        <v>91.2500292</v>
      </c>
      <c r="K31">
        <v>1</v>
      </c>
      <c r="L31">
        <v>8</v>
      </c>
      <c r="M31">
        <v>14</v>
      </c>
      <c r="N31">
        <v>16</v>
      </c>
      <c r="O31">
        <v>0</v>
      </c>
      <c r="Q31" s="8">
        <v>109.5</v>
      </c>
      <c r="R31" s="8">
        <v>401.49997000000002</v>
      </c>
      <c r="S31" s="8">
        <v>219</v>
      </c>
    </row>
    <row r="32" spans="1:19" x14ac:dyDescent="0.25">
      <c r="A32">
        <v>2050</v>
      </c>
      <c r="B32" s="4">
        <f t="shared" si="0"/>
        <v>1842.5201459999998</v>
      </c>
      <c r="C32" s="37">
        <f t="shared" si="1"/>
        <v>768.99997000000008</v>
      </c>
      <c r="D32" s="24"/>
      <c r="E32" s="4">
        <v>1000.1000292</v>
      </c>
      <c r="F32" s="4">
        <v>365.00002919999997</v>
      </c>
      <c r="G32" s="4">
        <v>198.5600292</v>
      </c>
      <c r="H32" s="4">
        <v>187.61002920000001</v>
      </c>
      <c r="I32" s="4">
        <v>91.2500292</v>
      </c>
      <c r="K32">
        <v>1</v>
      </c>
      <c r="L32">
        <v>8</v>
      </c>
      <c r="M32">
        <v>14</v>
      </c>
      <c r="N32">
        <v>16</v>
      </c>
      <c r="O32">
        <v>0</v>
      </c>
      <c r="Q32" s="8">
        <v>109.5</v>
      </c>
      <c r="R32" s="8">
        <v>401.49997000000002</v>
      </c>
      <c r="S32" s="8">
        <v>219</v>
      </c>
    </row>
    <row r="33" spans="5:9" x14ac:dyDescent="0.25">
      <c r="E33" s="2"/>
      <c r="F33" s="3"/>
      <c r="G33" s="3"/>
      <c r="H33" s="3"/>
      <c r="I33" s="3"/>
    </row>
  </sheetData>
  <mergeCells count="4">
    <mergeCell ref="Q1:S1"/>
    <mergeCell ref="K1:O1"/>
    <mergeCell ref="E1:I1"/>
    <mergeCell ref="B1:C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1B731-CEE2-4E11-82FB-6DBF3333FFF4}">
  <sheetPr>
    <tabColor rgb="FFFFFF00"/>
  </sheetPr>
  <dimension ref="A1:AL43"/>
  <sheetViews>
    <sheetView zoomScale="70" zoomScaleNormal="70" workbookViewId="0">
      <selection activeCell="X62" sqref="X62"/>
    </sheetView>
  </sheetViews>
  <sheetFormatPr defaultRowHeight="15" x14ac:dyDescent="0.25"/>
  <cols>
    <col min="1" max="1" width="8.85546875" customWidth="1"/>
    <col min="3" max="4" width="15.42578125" customWidth="1"/>
    <col min="5" max="5" width="21.7109375" customWidth="1"/>
    <col min="6" max="6" width="20.28515625" customWidth="1"/>
    <col min="7" max="8" width="21.5703125" customWidth="1"/>
    <col min="9" max="9" width="17.85546875" customWidth="1"/>
    <col min="10" max="10" width="3.28515625" customWidth="1"/>
    <col min="11" max="17" width="16.5703125" customWidth="1"/>
    <col min="18" max="18" width="13.5703125" customWidth="1"/>
    <col min="19" max="20" width="17.85546875" customWidth="1"/>
    <col min="21" max="21" width="11" customWidth="1"/>
    <col min="22" max="27" width="16.5703125" customWidth="1"/>
    <col min="28" max="28" width="14.85546875" customWidth="1"/>
    <col min="29" max="29" width="24.140625" customWidth="1"/>
    <col min="30" max="30" width="16.85546875" customWidth="1"/>
    <col min="31" max="31" width="2.5703125" customWidth="1"/>
    <col min="32" max="38" width="16.85546875" customWidth="1"/>
  </cols>
  <sheetData>
    <row r="1" spans="1:38" ht="69.75" customHeight="1" x14ac:dyDescent="0.25">
      <c r="A1" s="188" t="s">
        <v>467</v>
      </c>
      <c r="B1" s="188"/>
      <c r="C1" s="51" t="s">
        <v>468</v>
      </c>
      <c r="D1" s="51" t="s">
        <v>469</v>
      </c>
      <c r="E1" s="51" t="s">
        <v>470</v>
      </c>
      <c r="F1" s="51" t="s">
        <v>471</v>
      </c>
      <c r="G1" s="51" t="s">
        <v>472</v>
      </c>
      <c r="H1" s="51" t="s">
        <v>473</v>
      </c>
      <c r="I1" s="51" t="s">
        <v>474</v>
      </c>
      <c r="J1" s="32"/>
      <c r="K1" s="51" t="s">
        <v>475</v>
      </c>
      <c r="L1" s="51" t="s">
        <v>476</v>
      </c>
      <c r="M1" s="51" t="s">
        <v>477</v>
      </c>
      <c r="N1" s="51" t="s">
        <v>478</v>
      </c>
      <c r="O1" s="51" t="s">
        <v>479</v>
      </c>
      <c r="P1" s="51" t="s">
        <v>480</v>
      </c>
      <c r="Q1" s="51" t="s">
        <v>481</v>
      </c>
      <c r="S1" s="51" t="s">
        <v>482</v>
      </c>
      <c r="T1" s="51"/>
    </row>
    <row r="2" spans="1:38" ht="21" customHeight="1" x14ac:dyDescent="0.25">
      <c r="A2" s="287" t="s">
        <v>483</v>
      </c>
      <c r="B2" s="287"/>
      <c r="D2" s="230"/>
      <c r="E2" s="230"/>
      <c r="F2" s="189"/>
      <c r="G2" s="230">
        <v>203800</v>
      </c>
      <c r="H2" s="189">
        <v>130800</v>
      </c>
      <c r="I2" s="32">
        <v>106000</v>
      </c>
      <c r="J2" s="32"/>
      <c r="K2" s="32"/>
      <c r="L2" s="32"/>
      <c r="M2" s="32"/>
      <c r="N2" s="32">
        <v>16125</v>
      </c>
      <c r="O2" s="190">
        <v>13975</v>
      </c>
      <c r="P2" s="190">
        <v>12900</v>
      </c>
      <c r="Q2" s="32">
        <v>50000</v>
      </c>
      <c r="R2" s="32"/>
      <c r="S2" s="191">
        <f>SUM(D2:Q2)+U34</f>
        <v>1333034.0785000001</v>
      </c>
      <c r="T2" s="191"/>
      <c r="U2" s="32"/>
      <c r="V2" s="32"/>
      <c r="W2" s="32"/>
      <c r="X2" s="32"/>
      <c r="Y2" s="32"/>
      <c r="Z2" s="32"/>
      <c r="AA2" s="32"/>
      <c r="AB2" s="32"/>
      <c r="AC2" s="32"/>
      <c r="AD2" s="32"/>
      <c r="AE2" s="32"/>
    </row>
    <row r="3" spans="1:38" ht="21" customHeight="1" x14ac:dyDescent="0.25">
      <c r="A3" s="230"/>
      <c r="B3" s="230"/>
      <c r="C3" s="230"/>
      <c r="D3" s="230"/>
      <c r="E3" s="230"/>
      <c r="F3" s="230"/>
      <c r="G3" s="32"/>
      <c r="H3" s="32"/>
      <c r="I3" s="32"/>
      <c r="J3" s="32"/>
      <c r="K3" s="32"/>
      <c r="L3" s="32"/>
      <c r="M3" s="32"/>
      <c r="N3" s="32"/>
      <c r="O3" s="32"/>
      <c r="P3" s="32"/>
      <c r="Q3" s="32"/>
      <c r="R3" s="32"/>
      <c r="S3" s="32"/>
      <c r="T3" s="32"/>
      <c r="U3" s="32"/>
      <c r="V3" s="32"/>
      <c r="W3" s="32"/>
      <c r="X3" s="32"/>
      <c r="Y3" s="32"/>
      <c r="Z3" s="32"/>
      <c r="AA3" s="32"/>
      <c r="AB3" s="32"/>
      <c r="AC3" s="32"/>
      <c r="AD3" s="32"/>
      <c r="AE3" s="32"/>
    </row>
    <row r="4" spans="1:38" ht="13.5" customHeight="1" x14ac:dyDescent="0.25">
      <c r="C4" s="288" t="s">
        <v>484</v>
      </c>
      <c r="D4" s="288"/>
      <c r="E4" s="288"/>
      <c r="F4" s="288"/>
      <c r="G4" s="288"/>
      <c r="H4" s="288"/>
      <c r="I4" s="288"/>
      <c r="J4" s="288"/>
      <c r="K4" s="288"/>
      <c r="L4" s="288"/>
      <c r="M4" s="288"/>
      <c r="N4" s="288"/>
      <c r="O4" s="288"/>
      <c r="P4" s="288"/>
      <c r="Q4" s="288"/>
      <c r="R4" s="230"/>
      <c r="S4" s="230"/>
      <c r="T4" s="230"/>
      <c r="U4" s="192"/>
      <c r="V4" s="230"/>
      <c r="W4" s="230"/>
      <c r="X4" s="230"/>
      <c r="Y4" s="230"/>
      <c r="Z4" s="230"/>
      <c r="AA4" s="230"/>
      <c r="AB4" s="289" t="s">
        <v>485</v>
      </c>
      <c r="AC4" s="289"/>
      <c r="AD4" s="289"/>
      <c r="AE4" s="289"/>
      <c r="AF4" s="289"/>
      <c r="AG4" s="289"/>
      <c r="AH4" s="289"/>
      <c r="AI4" s="289"/>
      <c r="AJ4" s="289"/>
      <c r="AK4" s="289"/>
      <c r="AL4" s="289"/>
    </row>
    <row r="5" spans="1:38" s="198" customFormat="1" ht="65.25" customHeight="1" x14ac:dyDescent="0.25">
      <c r="A5" s="32" t="s">
        <v>362</v>
      </c>
      <c r="B5" s="32" t="s">
        <v>0</v>
      </c>
      <c r="C5" s="193" t="s">
        <v>468</v>
      </c>
      <c r="D5" s="193" t="s">
        <v>469</v>
      </c>
      <c r="E5" s="193" t="s">
        <v>470</v>
      </c>
      <c r="F5" s="193" t="s">
        <v>471</v>
      </c>
      <c r="G5" s="193" t="s">
        <v>486</v>
      </c>
      <c r="H5" s="193" t="s">
        <v>487</v>
      </c>
      <c r="I5" s="193" t="s">
        <v>474</v>
      </c>
      <c r="J5" s="32"/>
      <c r="K5" s="194" t="s">
        <v>475</v>
      </c>
      <c r="L5" s="194" t="s">
        <v>476</v>
      </c>
      <c r="M5" s="194" t="s">
        <v>477</v>
      </c>
      <c r="N5" s="194" t="s">
        <v>478</v>
      </c>
      <c r="O5" s="194" t="s">
        <v>479</v>
      </c>
      <c r="P5" s="194" t="s">
        <v>480</v>
      </c>
      <c r="Q5" s="194" t="s">
        <v>481</v>
      </c>
      <c r="R5" s="32"/>
      <c r="S5" s="32" t="s">
        <v>0</v>
      </c>
      <c r="T5" s="32" t="s">
        <v>488</v>
      </c>
      <c r="U5" s="195" t="s">
        <v>489</v>
      </c>
      <c r="V5" s="195" t="s">
        <v>490</v>
      </c>
      <c r="W5" s="195" t="s">
        <v>491</v>
      </c>
      <c r="X5" s="195" t="s">
        <v>464</v>
      </c>
      <c r="Y5" s="195" t="s">
        <v>492</v>
      </c>
      <c r="Z5" s="195" t="s">
        <v>493</v>
      </c>
      <c r="AA5" s="195" t="s">
        <v>494</v>
      </c>
      <c r="AB5" s="196" t="s">
        <v>486</v>
      </c>
      <c r="AC5" s="196" t="s">
        <v>495</v>
      </c>
      <c r="AD5" s="196" t="s">
        <v>474</v>
      </c>
      <c r="AE5" s="32"/>
      <c r="AF5" s="197" t="s">
        <v>475</v>
      </c>
      <c r="AG5" s="197" t="s">
        <v>476</v>
      </c>
      <c r="AH5" s="197" t="s">
        <v>477</v>
      </c>
      <c r="AI5" s="197" t="s">
        <v>478</v>
      </c>
      <c r="AJ5" s="197" t="s">
        <v>479</v>
      </c>
      <c r="AK5" s="197" t="s">
        <v>480</v>
      </c>
      <c r="AL5" s="197" t="s">
        <v>481</v>
      </c>
    </row>
    <row r="6" spans="1:38" s="198" customFormat="1" x14ac:dyDescent="0.25">
      <c r="A6" s="32"/>
      <c r="B6" s="3">
        <v>2022</v>
      </c>
      <c r="C6" s="187" cm="1">
        <f t="array" ref="C6">INDEX('Storage Expansion'!$C:$R,MATCH(C$1,'Storage Expansion'!$C:$C,0)+($B6-2022),VLOOKUP($Z$41,'Notes and Scenario Inputs'!$B$19:$D$28,3,FALSE)+7)*($A6/31)*(1/$D$37)*1000</f>
        <v>0</v>
      </c>
      <c r="D6" s="187" cm="1">
        <f t="array" ref="D6">INDEX('Storage Expansion'!$C:$R,MATCH(D$1,'Storage Expansion'!$C:$C,0)+($B6-2022),VLOOKUP($Z$41,'Notes and Scenario Inputs'!$B$19:$D$28,3,FALSE)+7)*($A6/31)*(1/$D$37)*1000</f>
        <v>0</v>
      </c>
      <c r="E6" s="187" cm="1">
        <f t="array" ref="E6">INDEX('Storage Expansion'!$C:$R,MATCH(E$1,'Storage Expansion'!$C:$C,0)+($B6-2022),VLOOKUP($Z$41,'Notes and Scenario Inputs'!$B$19:$D$28,3,FALSE)+7)*($A6/31)*(1/$D$38)*1000</f>
        <v>0</v>
      </c>
      <c r="F6" s="187" cm="1">
        <f t="array" ref="F6">INDEX('Storage Expansion'!$C:$R,MATCH(F$1,'Storage Expansion'!$C:$C,0)+($B6-2022),VLOOKUP($Z$41,'Notes and Scenario Inputs'!$B$19:$D$28,3,FALSE)+7)*($A6/31)*(1/$D$38)*1000</f>
        <v>0</v>
      </c>
      <c r="G6" s="187">
        <f>SUM(C6:F6)</f>
        <v>0</v>
      </c>
      <c r="H6" s="187" cm="1">
        <f t="array" ref="H6">INDEX('Storage Expansion'!$C:$R,MATCH(H$1,'Storage Expansion'!$C:$C,0)+($B6-2022),VLOOKUP($Z$41,'Notes and Scenario Inputs'!$B$19:$D$28,3,FALSE)+7)*($A6/31)*(1/$D$38)*1000</f>
        <v>0</v>
      </c>
      <c r="I6" s="187" cm="1">
        <f t="array" ref="I6">INDEX('Storage Expansion'!$C:$R,MATCH(I$1,'Storage Expansion'!$C:$C,0)+($B6-2022),VLOOKUP($Z$41,'Notes and Scenario Inputs'!$B$19:$D$28,3,FALSE)+7)*($A6/31)*(1/$D$39)*1000</f>
        <v>0</v>
      </c>
      <c r="J6" s="187"/>
      <c r="K6" s="187" cm="1">
        <f t="array" ref="K6">INDEX('Pipeline Expansion'!$C:$R,MATCH(K$1,'Pipeline Expansion'!$C:$C,0)+($B6-2022),VLOOKUP($Z$41,'Notes and Scenario Inputs'!$B$19:$D$28,3,FALSE)+7)*($A6/30)*1000</f>
        <v>0</v>
      </c>
      <c r="L6" s="187" cm="1">
        <f t="array" ref="L6">INDEX('Pipeline Expansion'!$C:$R,MATCH(L$1,'Pipeline Expansion'!$C:$C,0)+($B6-2022),VLOOKUP($Z$41,'Notes and Scenario Inputs'!$B$19:$D$28,3,FALSE)+7)*($A6/30)*1000</f>
        <v>0</v>
      </c>
      <c r="M6" s="187" cm="1">
        <f t="array" ref="M6">INDEX('Pipeline Expansion'!$C:$R,MATCH(M$1,'Pipeline Expansion'!$C:$C,0)+($B6-2022),VLOOKUP($Z$41,'Notes and Scenario Inputs'!$B$19:$D$28,3,FALSE)+7)*($A6/30)*1000</f>
        <v>0</v>
      </c>
      <c r="N6" s="187" cm="1">
        <f t="array" ref="N6">INDEX('Pipeline Expansion'!$C:$R,MATCH(N$1,'Pipeline Expansion'!$C:$C,0)+($B6-2022),VLOOKUP($Z$41,'Notes and Scenario Inputs'!$B$19:$D$28,3,FALSE)+7)*($A6/30)*1000</f>
        <v>0</v>
      </c>
      <c r="O6" s="187" cm="1">
        <f t="array" ref="O6">INDEX('Pipeline Expansion'!$C:$R,MATCH(O$1,'Pipeline Expansion'!$C:$C,0)+($B6-2022),VLOOKUP($Z$41,'Notes and Scenario Inputs'!$B$19:$D$28,3,FALSE)+7)*($A6/30)*1000</f>
        <v>0</v>
      </c>
      <c r="P6" s="187" cm="1">
        <f t="array" ref="P6">INDEX('Pipeline Expansion'!$C:$R,MATCH(P$1,'Pipeline Expansion'!$C:$C,0)+($B6-2022),VLOOKUP($Z$41,'Notes and Scenario Inputs'!$B$19:$D$28,3,FALSE)+7)*($A6/30)*1000</f>
        <v>0</v>
      </c>
      <c r="Q6" s="187" cm="1">
        <f t="array" ref="Q6">INDEX('Pipeline Expansion'!$C:$R,MATCH(Q$1,'Pipeline Expansion'!$C:$C,0)+($B6-2022),VLOOKUP($Z$41,'Notes and Scenario Inputs'!$B$19:$D$28,3,FALSE)+7)*($A6/30)*1000</f>
        <v>0</v>
      </c>
      <c r="R6" s="199">
        <f>S6-1</f>
        <v>2021</v>
      </c>
      <c r="S6">
        <v>2022</v>
      </c>
      <c r="T6" t="str">
        <f>R6&amp;"-"&amp;S6-2000</f>
        <v>2021-22</v>
      </c>
      <c r="U6" s="187">
        <f>U7</f>
        <v>990934.07850000006</v>
      </c>
      <c r="V6" s="187">
        <f t="shared" ref="V6:Y6" si="0">V7</f>
        <v>1008708</v>
      </c>
      <c r="W6" s="187">
        <f t="shared" si="0"/>
        <v>24000</v>
      </c>
      <c r="X6" s="187">
        <f t="shared" si="0"/>
        <v>1032708</v>
      </c>
      <c r="Y6" s="187">
        <f t="shared" si="0"/>
        <v>20887.854617486548</v>
      </c>
      <c r="Z6" s="187">
        <f>Z7</f>
        <v>1014934.0785000001</v>
      </c>
      <c r="AA6" s="187">
        <v>20000</v>
      </c>
      <c r="AB6" s="187">
        <v>0</v>
      </c>
      <c r="AC6" s="187">
        <v>0</v>
      </c>
      <c r="AD6" s="187">
        <v>0</v>
      </c>
      <c r="AE6" s="187"/>
      <c r="AF6" s="187">
        <v>0</v>
      </c>
      <c r="AG6" s="187">
        <v>0</v>
      </c>
      <c r="AH6" s="187">
        <v>0</v>
      </c>
      <c r="AI6" s="187">
        <v>0</v>
      </c>
      <c r="AJ6" s="187">
        <v>0</v>
      </c>
      <c r="AK6" s="187">
        <v>0</v>
      </c>
      <c r="AL6" s="187">
        <v>0</v>
      </c>
    </row>
    <row r="7" spans="1:38" x14ac:dyDescent="0.25">
      <c r="A7">
        <v>365</v>
      </c>
      <c r="B7">
        <v>2023</v>
      </c>
      <c r="C7" s="187" cm="1">
        <f t="array" ref="C7">INDEX('Storage Expansion'!$C:$R,MATCH(C$1,'Storage Expansion'!$C:$C,0)+($B7-2022),VLOOKUP($Z$41,'Notes and Scenario Inputs'!$B$19:$D$28,3,FALSE)+7)*($A7/31)*(1/$D$37)*1000</f>
        <v>27022.00348152536</v>
      </c>
      <c r="D7" s="187" cm="1">
        <f t="array" ref="D7">INDEX('Storage Expansion'!$C:$R,MATCH(D$1,'Storage Expansion'!$C:$C,0)+($B7-2022),VLOOKUP($Z$41,'Notes and Scenario Inputs'!$B$19:$D$28,3,FALSE)+7)*($A7/31)*(1/$D$37)*1000</f>
        <v>0</v>
      </c>
      <c r="E7" s="187" cm="1">
        <f t="array" ref="E7">INDEX('Storage Expansion'!$C:$R,MATCH(E$1,'Storage Expansion'!$C:$C,0)+($B7-2022),VLOOKUP($Z$41,'Notes and Scenario Inputs'!$B$19:$D$28,3,FALSE)+7)*($A7/31)*(1/$D$38)*1000</f>
        <v>0</v>
      </c>
      <c r="F7" s="187" cm="1">
        <f t="array" ref="F7">INDEX('Storage Expansion'!$C:$R,MATCH(F$1,'Storage Expansion'!$C:$C,0)+($B7-2022),VLOOKUP($Z$41,'Notes and Scenario Inputs'!$B$19:$D$28,3,FALSE)+7)*($A7/31)*(1/$D$38)*1000</f>
        <v>0</v>
      </c>
      <c r="G7" s="187">
        <f t="shared" ref="G7:G34" si="1">SUM(C7:F7)</f>
        <v>27022.00348152536</v>
      </c>
      <c r="H7" s="187" cm="1">
        <f t="array" ref="H7">INDEX('Storage Expansion'!$C:$R,MATCH(H$1,'Storage Expansion'!$C:$C,0)+($B7-2022),VLOOKUP($Z$41,'Notes and Scenario Inputs'!$B$19:$D$28,3,FALSE)+7)*($A7/31)*(1/$D$38)*1000</f>
        <v>0</v>
      </c>
      <c r="I7" s="187" cm="1">
        <f t="array" ref="I7">INDEX('Storage Expansion'!$C:$R,MATCH(I$1,'Storage Expansion'!$C:$C,0)+($B7-2022),VLOOKUP($Z$41,'Notes and Scenario Inputs'!$B$19:$D$28,3,FALSE)+7)*($A7/31)*(1/$D$39)*1000</f>
        <v>0</v>
      </c>
      <c r="J7" s="187"/>
      <c r="K7" s="187" cm="1">
        <f t="array" ref="K7">INDEX('Pipeline Expansion'!$C:$R,MATCH(K$1,'Pipeline Expansion'!$C:$C,0)+($B7-2022),VLOOKUP($Z$41,'Notes and Scenario Inputs'!$B$19:$D$28,3,FALSE)+7)*($A7/30)*1000</f>
        <v>0</v>
      </c>
      <c r="L7" s="187" cm="1">
        <f t="array" ref="L7">INDEX('Pipeline Expansion'!$C:$R,MATCH(L$1,'Pipeline Expansion'!$C:$C,0)+($B7-2022),VLOOKUP($Z$41,'Notes and Scenario Inputs'!$B$19:$D$28,3,FALSE)+7)*($A7/30)*1000</f>
        <v>0</v>
      </c>
      <c r="M7" s="187" cm="1">
        <f t="array" ref="M7">INDEX('Pipeline Expansion'!$C:$R,MATCH(M$1,'Pipeline Expansion'!$C:$C,0)+($B7-2022),VLOOKUP($Z$41,'Notes and Scenario Inputs'!$B$19:$D$28,3,FALSE)+7)*($A7/30)*1000</f>
        <v>0</v>
      </c>
      <c r="N7" s="187" cm="1">
        <f t="array" ref="N7">INDEX('Pipeline Expansion'!$C:$R,MATCH(N$1,'Pipeline Expansion'!$C:$C,0)+($B7-2022),VLOOKUP($Z$41,'Notes and Scenario Inputs'!$B$19:$D$28,3,FALSE)+7)*($A7/30)*1000</f>
        <v>0</v>
      </c>
      <c r="O7" s="187" cm="1">
        <f t="array" ref="O7">INDEX('Pipeline Expansion'!$C:$R,MATCH(O$1,'Pipeline Expansion'!$C:$C,0)+($B7-2022),VLOOKUP($Z$41,'Notes and Scenario Inputs'!$B$19:$D$28,3,FALSE)+7)*($A7/30)*1000</f>
        <v>0</v>
      </c>
      <c r="P7" s="187" cm="1">
        <f t="array" ref="P7">INDEX('Pipeline Expansion'!$C:$R,MATCH(P$1,'Pipeline Expansion'!$C:$C,0)+($B7-2022),VLOOKUP($Z$41,'Notes and Scenario Inputs'!$B$19:$D$28,3,FALSE)+7)*($A7/30)*1000</f>
        <v>0</v>
      </c>
      <c r="Q7" s="187" cm="1">
        <f t="array" ref="Q7">INDEX('Pipeline Expansion'!$C:$R,MATCH(Q$1,'Pipeline Expansion'!$C:$C,0)+($B7-2022),VLOOKUP($Z$41,'Notes and Scenario Inputs'!$B$19:$D$28,3,FALSE)+7)*($A7/30)*1000</f>
        <v>0</v>
      </c>
      <c r="R7" s="199">
        <f t="shared" ref="R7:R34" si="2">S7-1</f>
        <v>2022</v>
      </c>
      <c r="S7">
        <v>2023</v>
      </c>
      <c r="T7" t="str">
        <f t="shared" ref="T7:T34" si="3">R7&amp;"-"&amp;S7-2000</f>
        <v>2022-23</v>
      </c>
      <c r="U7" s="187">
        <v>990934.07850000006</v>
      </c>
      <c r="V7" s="187">
        <f>VLOOKUP($B7,'[1]Peak Day Forecast'!$A:$M,VLOOKUP($Z$41,[1]Scenarios!$B:$D,3,FALSE)+3,FALSE)</f>
        <v>1008708</v>
      </c>
      <c r="W7" s="187">
        <v>24000</v>
      </c>
      <c r="X7" s="187">
        <f>V7+W7</f>
        <v>1032708</v>
      </c>
      <c r="Y7" s="187">
        <v>20887.854617486548</v>
      </c>
      <c r="Z7" s="187">
        <f>U7+W7</f>
        <v>1014934.0785000001</v>
      </c>
      <c r="AA7" s="187"/>
      <c r="AB7" s="187">
        <f>IF($S7=2023,IF(ISNA(G7),0,G7),IF(ISNA(G7),0,G7+AB5))</f>
        <v>27022.00348152536</v>
      </c>
      <c r="AC7" s="187">
        <f>IF($S7=2023,IF(ISNA(H7),0,H7),IF(ISNA(H7),0,H7+AC5))</f>
        <v>0</v>
      </c>
      <c r="AD7" s="187">
        <f>IF($S7=2023,IF(ISNA(I7),0,I7),IF(ISNA(I7),0,I7+AD5))</f>
        <v>0</v>
      </c>
      <c r="AE7" s="187"/>
      <c r="AF7" s="187">
        <f t="shared" ref="AF7:AL7" si="4">IF($S7=2023,IF(ISNA(K7),0,K7),IF(ISNA(K7),0,K7+AF5))</f>
        <v>0</v>
      </c>
      <c r="AG7" s="187">
        <f t="shared" si="4"/>
        <v>0</v>
      </c>
      <c r="AH7" s="187">
        <f t="shared" si="4"/>
        <v>0</v>
      </c>
      <c r="AI7" s="187">
        <f t="shared" si="4"/>
        <v>0</v>
      </c>
      <c r="AJ7" s="187">
        <f t="shared" si="4"/>
        <v>0</v>
      </c>
      <c r="AK7" s="187">
        <f t="shared" si="4"/>
        <v>0</v>
      </c>
      <c r="AL7" s="187">
        <f t="shared" si="4"/>
        <v>0</v>
      </c>
    </row>
    <row r="8" spans="1:38" x14ac:dyDescent="0.25">
      <c r="A8">
        <v>366</v>
      </c>
      <c r="B8">
        <v>2024</v>
      </c>
      <c r="C8" s="187" cm="1">
        <f t="array" ref="C8">INDEX('Storage Expansion'!$C:$R,MATCH(C$1,'Storage Expansion'!$C:$C,0)+($B8-2022),VLOOKUP($Z$41,'Notes and Scenario Inputs'!$B$19:$D$28,3,FALSE)+7)*($A8/31)*(1/$D$37)*1000</f>
        <v>0</v>
      </c>
      <c r="D8" s="187" cm="1">
        <f t="array" ref="D8">INDEX('Storage Expansion'!$C:$R,MATCH(D$1,'Storage Expansion'!$C:$C,0)+($B8-2022),VLOOKUP($Z$41,'Notes and Scenario Inputs'!$B$19:$D$28,3,FALSE)+7)*($A8/31)*(1/$D$37)*1000</f>
        <v>0</v>
      </c>
      <c r="E8" s="187" cm="1">
        <f t="array" ref="E8">INDEX('Storage Expansion'!$C:$R,MATCH(E$1,'Storage Expansion'!$C:$C,0)+($B8-2022),VLOOKUP($Z$41,'Notes and Scenario Inputs'!$B$19:$D$28,3,FALSE)+7)*($A8/31)*(1/$D$38)*1000</f>
        <v>0</v>
      </c>
      <c r="F8" s="187" cm="1">
        <f t="array" ref="F8">INDEX('Storage Expansion'!$C:$R,MATCH(F$1,'Storage Expansion'!$C:$C,0)+($B8-2022),VLOOKUP($Z$41,'Notes and Scenario Inputs'!$B$19:$D$28,3,FALSE)+7)*($A8/31)*(1/$D$38)*1000</f>
        <v>0</v>
      </c>
      <c r="G8" s="187">
        <f t="shared" si="1"/>
        <v>0</v>
      </c>
      <c r="H8" s="187" cm="1">
        <f t="array" ref="H8">INDEX('Storage Expansion'!$C:$R,MATCH(H$1,'Storage Expansion'!$C:$C,0)+($B8-2022),VLOOKUP($Z$41,'Notes and Scenario Inputs'!$B$19:$D$28,3,FALSE)+7)*($A8/31)*(1/$D$38)*1000</f>
        <v>0</v>
      </c>
      <c r="I8" s="187" cm="1">
        <f t="array" ref="I8">INDEX('Storage Expansion'!$C:$R,MATCH(I$1,'Storage Expansion'!$C:$C,0)+($B8-2022),VLOOKUP($Z$41,'Notes and Scenario Inputs'!$B$19:$D$28,3,FALSE)+7)*($A8/31)*(1/$D$39)*1000</f>
        <v>0</v>
      </c>
      <c r="J8" s="187"/>
      <c r="K8" s="187" cm="1">
        <f t="array" ref="K8">INDEX('Pipeline Expansion'!$C:$R,MATCH(K$1,'Pipeline Expansion'!$C:$C,0)+($B8-2022),VLOOKUP($Z$41,'Notes and Scenario Inputs'!$B$19:$D$28,3,FALSE)+7)*($A8/30)*1000</f>
        <v>0</v>
      </c>
      <c r="L8" s="187" cm="1">
        <f t="array" ref="L8">INDEX('Pipeline Expansion'!$C:$R,MATCH(L$1,'Pipeline Expansion'!$C:$C,0)+($B8-2022),VLOOKUP($Z$41,'Notes and Scenario Inputs'!$B$19:$D$28,3,FALSE)+7)*($A8/30)*1000</f>
        <v>0</v>
      </c>
      <c r="M8" s="187" cm="1">
        <f t="array" ref="M8">INDEX('Pipeline Expansion'!$C:$R,MATCH(M$1,'Pipeline Expansion'!$C:$C,0)+($B8-2022),VLOOKUP($Z$41,'Notes and Scenario Inputs'!$B$19:$D$28,3,FALSE)+7)*($A8/30)*1000</f>
        <v>0</v>
      </c>
      <c r="N8" s="187" cm="1">
        <f t="array" ref="N8">INDEX('Pipeline Expansion'!$C:$R,MATCH(N$1,'Pipeline Expansion'!$C:$C,0)+($B8-2022),VLOOKUP($Z$41,'Notes and Scenario Inputs'!$B$19:$D$28,3,FALSE)+7)*($A8/30)*1000</f>
        <v>0</v>
      </c>
      <c r="O8" s="187" cm="1">
        <f t="array" ref="O8">INDEX('Pipeline Expansion'!$C:$R,MATCH(O$1,'Pipeline Expansion'!$C:$C,0)+($B8-2022),VLOOKUP($Z$41,'Notes and Scenario Inputs'!$B$19:$D$28,3,FALSE)+7)*($A8/30)*1000</f>
        <v>0</v>
      </c>
      <c r="P8" s="187" cm="1">
        <f t="array" ref="P8">INDEX('Pipeline Expansion'!$C:$R,MATCH(P$1,'Pipeline Expansion'!$C:$C,0)+($B8-2022),VLOOKUP($Z$41,'Notes and Scenario Inputs'!$B$19:$D$28,3,FALSE)+7)*($A8/30)*1000</f>
        <v>0</v>
      </c>
      <c r="Q8" s="187" cm="1">
        <f t="array" ref="Q8">INDEX('Pipeline Expansion'!$C:$R,MATCH(Q$1,'Pipeline Expansion'!$C:$C,0)+($B8-2022),VLOOKUP($Z$41,'Notes and Scenario Inputs'!$B$19:$D$28,3,FALSE)+7)*($A8/30)*1000</f>
        <v>0</v>
      </c>
      <c r="R8" s="199">
        <f t="shared" si="2"/>
        <v>2023</v>
      </c>
      <c r="S8">
        <v>2024</v>
      </c>
      <c r="T8" t="str">
        <f t="shared" si="3"/>
        <v>2023-24</v>
      </c>
      <c r="U8" s="187">
        <v>990934.07850000006</v>
      </c>
      <c r="V8" s="187">
        <f>VLOOKUP($B8,'[1]Peak Day Forecast'!$A:$M,VLOOKUP($Z$41,[1]Scenarios!$B:$D,3,FALSE)+3,FALSE)</f>
        <v>1017804</v>
      </c>
      <c r="W8" s="187">
        <v>24000</v>
      </c>
      <c r="X8" s="187">
        <f t="shared" ref="X8:X34" si="5">V8+W8</f>
        <v>1041804</v>
      </c>
      <c r="Y8" s="187">
        <v>33998.98482991958</v>
      </c>
      <c r="Z8" s="187">
        <f t="shared" ref="Z8:Z34" si="6">U8+W8</f>
        <v>1014934.0785000001</v>
      </c>
      <c r="AA8" s="187"/>
      <c r="AB8" s="187">
        <f t="shared" ref="AB8:AD23" si="7">IF($S8=2023,IF(ISNA(G8),0,G8),IF(ISNA(G8),0,G8+AB7))</f>
        <v>27022.00348152536</v>
      </c>
      <c r="AC8" s="187">
        <f t="shared" si="7"/>
        <v>0</v>
      </c>
      <c r="AD8" s="187">
        <f t="shared" si="7"/>
        <v>0</v>
      </c>
      <c r="AE8" s="187"/>
      <c r="AF8" s="187">
        <f t="shared" ref="AF8:AL23" si="8">IF($S8=2023,IF(ISNA(K8),0,K8),IF(ISNA(K8),0,K8+AF7))</f>
        <v>0</v>
      </c>
      <c r="AG8" s="187">
        <f t="shared" si="8"/>
        <v>0</v>
      </c>
      <c r="AH8" s="187">
        <f t="shared" si="8"/>
        <v>0</v>
      </c>
      <c r="AI8" s="187">
        <f t="shared" si="8"/>
        <v>0</v>
      </c>
      <c r="AJ8" s="187">
        <f t="shared" si="8"/>
        <v>0</v>
      </c>
      <c r="AK8" s="187">
        <f t="shared" si="8"/>
        <v>0</v>
      </c>
      <c r="AL8" s="187">
        <f t="shared" si="8"/>
        <v>0</v>
      </c>
    </row>
    <row r="9" spans="1:38" x14ac:dyDescent="0.25">
      <c r="A9">
        <v>365</v>
      </c>
      <c r="B9">
        <v>2025</v>
      </c>
      <c r="C9" s="187" cm="1">
        <f t="array" ref="C9">INDEX('Storage Expansion'!$C:$R,MATCH(C$1,'Storage Expansion'!$C:$C,0)+($B9-2022),VLOOKUP($Z$41,'Notes and Scenario Inputs'!$B$19:$D$28,3,FALSE)+7)*($A9/31)*(1/$D$37)*1000</f>
        <v>0</v>
      </c>
      <c r="D9" s="187" cm="1">
        <f t="array" ref="D9">INDEX('Storage Expansion'!$C:$R,MATCH(D$1,'Storage Expansion'!$C:$C,0)+($B9-2022),VLOOKUP($Z$41,'Notes and Scenario Inputs'!$B$19:$D$28,3,FALSE)+7)*($A9/31)*(1/$D$37)*1000</f>
        <v>0</v>
      </c>
      <c r="E9" s="187" cm="1">
        <f t="array" ref="E9">INDEX('Storage Expansion'!$C:$R,MATCH(E$1,'Storage Expansion'!$C:$C,0)+($B9-2022),VLOOKUP($Z$41,'Notes and Scenario Inputs'!$B$19:$D$28,3,FALSE)+7)*($A9/31)*(1/$D$38)*1000</f>
        <v>0</v>
      </c>
      <c r="F9" s="187" cm="1">
        <f t="array" ref="F9">INDEX('Storage Expansion'!$C:$R,MATCH(F$1,'Storage Expansion'!$C:$C,0)+($B9-2022),VLOOKUP($Z$41,'Notes and Scenario Inputs'!$B$19:$D$28,3,FALSE)+7)*($A9/31)*(1/$D$38)*1000</f>
        <v>0</v>
      </c>
      <c r="G9" s="187">
        <f t="shared" si="1"/>
        <v>0</v>
      </c>
      <c r="H9" s="187" cm="1">
        <f t="array" ref="H9">INDEX('Storage Expansion'!$C:$R,MATCH(H$1,'Storage Expansion'!$C:$C,0)+($B9-2022),VLOOKUP($Z$41,'Notes and Scenario Inputs'!$B$19:$D$28,3,FALSE)+7)*($A9/31)*(1/$D$38)*1000</f>
        <v>0</v>
      </c>
      <c r="I9" s="187" cm="1">
        <f t="array" ref="I9">INDEX('Storage Expansion'!$C:$R,MATCH(I$1,'Storage Expansion'!$C:$C,0)+($B9-2022),VLOOKUP($Z$41,'Notes and Scenario Inputs'!$B$19:$D$28,3,FALSE)+7)*($A9/31)*(1/$D$39)*1000</f>
        <v>0</v>
      </c>
      <c r="J9" s="187"/>
      <c r="K9" s="187" cm="1">
        <f t="array" ref="K9">INDEX('Pipeline Expansion'!$C:$R,MATCH(K$1,'Pipeline Expansion'!$C:$C,0)+($B9-2022),VLOOKUP($Z$41,'Notes and Scenario Inputs'!$B$19:$D$28,3,FALSE)+7)*($A9/30)*1000</f>
        <v>0</v>
      </c>
      <c r="L9" s="187" cm="1">
        <f t="array" ref="L9">INDEX('Pipeline Expansion'!$C:$R,MATCH(L$1,'Pipeline Expansion'!$C:$C,0)+($B9-2022),VLOOKUP($Z$41,'Notes and Scenario Inputs'!$B$19:$D$28,3,FALSE)+7)*($A9/30)*1000</f>
        <v>0</v>
      </c>
      <c r="M9" s="187" cm="1">
        <f t="array" ref="M9">INDEX('Pipeline Expansion'!$C:$R,MATCH(M$1,'Pipeline Expansion'!$C:$C,0)+($B9-2022),VLOOKUP($Z$41,'Notes and Scenario Inputs'!$B$19:$D$28,3,FALSE)+7)*($A9/30)*1000</f>
        <v>0</v>
      </c>
      <c r="N9" s="187" cm="1">
        <f t="array" ref="N9">INDEX('Pipeline Expansion'!$C:$R,MATCH(N$1,'Pipeline Expansion'!$C:$C,0)+($B9-2022),VLOOKUP($Z$41,'Notes and Scenario Inputs'!$B$19:$D$28,3,FALSE)+7)*($A9/30)*1000</f>
        <v>0</v>
      </c>
      <c r="O9" s="187" cm="1">
        <f t="array" ref="O9">INDEX('Pipeline Expansion'!$C:$R,MATCH(O$1,'Pipeline Expansion'!$C:$C,0)+($B9-2022),VLOOKUP($Z$41,'Notes and Scenario Inputs'!$B$19:$D$28,3,FALSE)+7)*($A9/30)*1000</f>
        <v>0</v>
      </c>
      <c r="P9" s="187" cm="1">
        <f t="array" ref="P9">INDEX('Pipeline Expansion'!$C:$R,MATCH(P$1,'Pipeline Expansion'!$C:$C,0)+($B9-2022),VLOOKUP($Z$41,'Notes and Scenario Inputs'!$B$19:$D$28,3,FALSE)+7)*($A9/30)*1000</f>
        <v>0</v>
      </c>
      <c r="Q9" s="187" cm="1">
        <f t="array" ref="Q9">INDEX('Pipeline Expansion'!$C:$R,MATCH(Q$1,'Pipeline Expansion'!$C:$C,0)+($B9-2022),VLOOKUP($Z$41,'Notes and Scenario Inputs'!$B$19:$D$28,3,FALSE)+7)*($A9/30)*1000</f>
        <v>0</v>
      </c>
      <c r="R9" s="199">
        <f t="shared" si="2"/>
        <v>2024</v>
      </c>
      <c r="S9">
        <v>2025</v>
      </c>
      <c r="T9" t="str">
        <f t="shared" si="3"/>
        <v>2024-25</v>
      </c>
      <c r="U9" s="187">
        <v>990934.07850000006</v>
      </c>
      <c r="V9" s="187">
        <f>VLOOKUP($B9,'[1]Peak Day Forecast'!$A:$M,VLOOKUP($Z$41,[1]Scenarios!$B:$D,3,FALSE)+3,FALSE)</f>
        <v>997645</v>
      </c>
      <c r="W9" s="187">
        <v>24000</v>
      </c>
      <c r="X9" s="187">
        <f t="shared" si="5"/>
        <v>1021645</v>
      </c>
      <c r="Y9" s="187">
        <v>47509.809036062994</v>
      </c>
      <c r="Z9" s="187">
        <f t="shared" si="6"/>
        <v>1014934.0785000001</v>
      </c>
      <c r="AA9" s="187"/>
      <c r="AB9" s="187">
        <f t="shared" si="7"/>
        <v>27022.00348152536</v>
      </c>
      <c r="AC9" s="187">
        <f t="shared" si="7"/>
        <v>0</v>
      </c>
      <c r="AD9" s="187">
        <f t="shared" si="7"/>
        <v>0</v>
      </c>
      <c r="AE9" s="187"/>
      <c r="AF9" s="187">
        <f t="shared" si="8"/>
        <v>0</v>
      </c>
      <c r="AG9" s="187">
        <f t="shared" si="8"/>
        <v>0</v>
      </c>
      <c r="AH9" s="187">
        <f t="shared" si="8"/>
        <v>0</v>
      </c>
      <c r="AI9" s="187">
        <f t="shared" si="8"/>
        <v>0</v>
      </c>
      <c r="AJ9" s="187">
        <f t="shared" si="8"/>
        <v>0</v>
      </c>
      <c r="AK9" s="187">
        <f t="shared" si="8"/>
        <v>0</v>
      </c>
      <c r="AL9" s="187">
        <f t="shared" si="8"/>
        <v>0</v>
      </c>
    </row>
    <row r="10" spans="1:38" x14ac:dyDescent="0.25">
      <c r="A10">
        <v>365</v>
      </c>
      <c r="B10">
        <v>2026</v>
      </c>
      <c r="C10" s="187" cm="1">
        <f t="array" ref="C10">INDEX('Storage Expansion'!$C:$R,MATCH(C$1,'Storage Expansion'!$C:$C,0)+($B10-2022),VLOOKUP($Z$41,'Notes and Scenario Inputs'!$B$19:$D$28,3,FALSE)+7)*($A10/31)*(1/$D$37)*1000</f>
        <v>0</v>
      </c>
      <c r="D10" s="187" cm="1">
        <f t="array" ref="D10">INDEX('Storage Expansion'!$C:$R,MATCH(D$1,'Storage Expansion'!$C:$C,0)+($B10-2022),VLOOKUP($Z$41,'Notes and Scenario Inputs'!$B$19:$D$28,3,FALSE)+7)*($A10/31)*(1/$D$37)*1000</f>
        <v>0</v>
      </c>
      <c r="E10" s="187" cm="1">
        <f t="array" ref="E10">INDEX('Storage Expansion'!$C:$R,MATCH(E$1,'Storage Expansion'!$C:$C,0)+($B10-2022),VLOOKUP($Z$41,'Notes and Scenario Inputs'!$B$19:$D$28,3,FALSE)+7)*($A10/31)*(1/$D$38)*1000</f>
        <v>0</v>
      </c>
      <c r="F10" s="187" cm="1">
        <f t="array" ref="F10">INDEX('Storage Expansion'!$C:$R,MATCH(F$1,'Storage Expansion'!$C:$C,0)+($B10-2022),VLOOKUP($Z$41,'Notes and Scenario Inputs'!$B$19:$D$28,3,FALSE)+7)*($A10/31)*(1/$D$38)*1000</f>
        <v>0</v>
      </c>
      <c r="G10" s="187">
        <f t="shared" si="1"/>
        <v>0</v>
      </c>
      <c r="H10" s="187" cm="1">
        <f t="array" ref="H10">INDEX('Storage Expansion'!$C:$R,MATCH(H$1,'Storage Expansion'!$C:$C,0)+($B10-2022),VLOOKUP($Z$41,'Notes and Scenario Inputs'!$B$19:$D$28,3,FALSE)+7)*($A10/31)*(1/$D$38)*1000</f>
        <v>0</v>
      </c>
      <c r="I10" s="187" cm="1">
        <f t="array" ref="I10">INDEX('Storage Expansion'!$C:$R,MATCH(I$1,'Storage Expansion'!$C:$C,0)+($B10-2022),VLOOKUP($Z$41,'Notes and Scenario Inputs'!$B$19:$D$28,3,FALSE)+7)*($A10/31)*(1/$D$39)*1000</f>
        <v>0</v>
      </c>
      <c r="J10" s="187"/>
      <c r="K10" s="187" cm="1">
        <f t="array" ref="K10">INDEX('Pipeline Expansion'!$C:$R,MATCH(K$1,'Pipeline Expansion'!$C:$C,0)+($B10-2022),VLOOKUP($Z$41,'Notes and Scenario Inputs'!$B$19:$D$28,3,FALSE)+7)*($A10/30)*1000</f>
        <v>0</v>
      </c>
      <c r="L10" s="187" cm="1">
        <f t="array" ref="L10">INDEX('Pipeline Expansion'!$C:$R,MATCH(L$1,'Pipeline Expansion'!$C:$C,0)+($B10-2022),VLOOKUP($Z$41,'Notes and Scenario Inputs'!$B$19:$D$28,3,FALSE)+7)*($A10/30)*1000</f>
        <v>0</v>
      </c>
      <c r="M10" s="187" cm="1">
        <f t="array" ref="M10">INDEX('Pipeline Expansion'!$C:$R,MATCH(M$1,'Pipeline Expansion'!$C:$C,0)+($B10-2022),VLOOKUP($Z$41,'Notes and Scenario Inputs'!$B$19:$D$28,3,FALSE)+7)*($A10/30)*1000</f>
        <v>0</v>
      </c>
      <c r="N10" s="187" cm="1">
        <f t="array" ref="N10">INDEX('Pipeline Expansion'!$C:$R,MATCH(N$1,'Pipeline Expansion'!$C:$C,0)+($B10-2022),VLOOKUP($Z$41,'Notes and Scenario Inputs'!$B$19:$D$28,3,FALSE)+7)*($A10/30)*1000</f>
        <v>0</v>
      </c>
      <c r="O10" s="187" cm="1">
        <f t="array" ref="O10">INDEX('Pipeline Expansion'!$C:$R,MATCH(O$1,'Pipeline Expansion'!$C:$C,0)+($B10-2022),VLOOKUP($Z$41,'Notes and Scenario Inputs'!$B$19:$D$28,3,FALSE)+7)*($A10/30)*1000</f>
        <v>0</v>
      </c>
      <c r="P10" s="187" cm="1">
        <f t="array" ref="P10">INDEX('Pipeline Expansion'!$C:$R,MATCH(P$1,'Pipeline Expansion'!$C:$C,0)+($B10-2022),VLOOKUP($Z$41,'Notes and Scenario Inputs'!$B$19:$D$28,3,FALSE)+7)*($A10/30)*1000</f>
        <v>0</v>
      </c>
      <c r="Q10" s="187" cm="1">
        <f t="array" ref="Q10">INDEX('Pipeline Expansion'!$C:$R,MATCH(Q$1,'Pipeline Expansion'!$C:$C,0)+($B10-2022),VLOOKUP($Z$41,'Notes and Scenario Inputs'!$B$19:$D$28,3,FALSE)+7)*($A10/30)*1000</f>
        <v>0</v>
      </c>
      <c r="R10" s="199">
        <f t="shared" si="2"/>
        <v>2025</v>
      </c>
      <c r="S10">
        <v>2026</v>
      </c>
      <c r="T10" t="str">
        <f t="shared" si="3"/>
        <v>2025-26</v>
      </c>
      <c r="U10" s="187">
        <v>990934.07850000006</v>
      </c>
      <c r="V10" s="187">
        <f>VLOOKUP($B10,'[1]Peak Day Forecast'!$A:$M,VLOOKUP($Z$41,[1]Scenarios!$B:$D,3,FALSE)+3,FALSE)</f>
        <v>978203</v>
      </c>
      <c r="W10" s="187">
        <v>24000</v>
      </c>
      <c r="X10" s="187">
        <f t="shared" si="5"/>
        <v>1002203</v>
      </c>
      <c r="Y10" s="187">
        <v>61127.853095560466</v>
      </c>
      <c r="Z10" s="187">
        <f t="shared" si="6"/>
        <v>1014934.0785000001</v>
      </c>
      <c r="AA10" s="187"/>
      <c r="AB10" s="187">
        <f t="shared" si="7"/>
        <v>27022.00348152536</v>
      </c>
      <c r="AC10" s="187">
        <f t="shared" si="7"/>
        <v>0</v>
      </c>
      <c r="AD10" s="187">
        <f t="shared" si="7"/>
        <v>0</v>
      </c>
      <c r="AE10" s="187"/>
      <c r="AF10" s="187">
        <f t="shared" si="8"/>
        <v>0</v>
      </c>
      <c r="AG10" s="187">
        <f t="shared" si="8"/>
        <v>0</v>
      </c>
      <c r="AH10" s="187">
        <f t="shared" si="8"/>
        <v>0</v>
      </c>
      <c r="AI10" s="187">
        <f t="shared" si="8"/>
        <v>0</v>
      </c>
      <c r="AJ10" s="187">
        <f t="shared" si="8"/>
        <v>0</v>
      </c>
      <c r="AK10" s="187">
        <f t="shared" si="8"/>
        <v>0</v>
      </c>
      <c r="AL10" s="187">
        <f t="shared" si="8"/>
        <v>0</v>
      </c>
    </row>
    <row r="11" spans="1:38" x14ac:dyDescent="0.25">
      <c r="A11">
        <v>365</v>
      </c>
      <c r="B11">
        <v>2027</v>
      </c>
      <c r="C11" s="187" cm="1">
        <f t="array" ref="C11">INDEX('Storage Expansion'!$C:$R,MATCH(C$1,'Storage Expansion'!$C:$C,0)+($B11-2022),VLOOKUP($Z$41,'Notes and Scenario Inputs'!$B$19:$D$28,3,FALSE)+7)*($A11/31)*(1/$D$37)*1000</f>
        <v>0</v>
      </c>
      <c r="D11" s="187" cm="1">
        <f t="array" ref="D11">INDEX('Storage Expansion'!$C:$R,MATCH(D$1,'Storage Expansion'!$C:$C,0)+($B11-2022),VLOOKUP($Z$41,'Notes and Scenario Inputs'!$B$19:$D$28,3,FALSE)+7)*($A11/31)*(1/$D$37)*1000</f>
        <v>0</v>
      </c>
      <c r="E11" s="187" cm="1">
        <f t="array" ref="E11">INDEX('Storage Expansion'!$C:$R,MATCH(E$1,'Storage Expansion'!$C:$C,0)+($B11-2022),VLOOKUP($Z$41,'Notes and Scenario Inputs'!$B$19:$D$28,3,FALSE)+7)*($A11/31)*(1/$D$38)*1000</f>
        <v>0</v>
      </c>
      <c r="F11" s="187" cm="1">
        <f t="array" ref="F11">INDEX('Storage Expansion'!$C:$R,MATCH(F$1,'Storage Expansion'!$C:$C,0)+($B11-2022),VLOOKUP($Z$41,'Notes and Scenario Inputs'!$B$19:$D$28,3,FALSE)+7)*($A11/31)*(1/$D$38)*1000</f>
        <v>0</v>
      </c>
      <c r="G11" s="187">
        <f t="shared" si="1"/>
        <v>0</v>
      </c>
      <c r="H11" s="187" cm="1">
        <f t="array" ref="H11">INDEX('Storage Expansion'!$C:$R,MATCH(H$1,'Storage Expansion'!$C:$C,0)+($B11-2022),VLOOKUP($Z$41,'Notes and Scenario Inputs'!$B$19:$D$28,3,FALSE)+7)*($A11/31)*(1/$D$38)*1000</f>
        <v>130800.00000057208</v>
      </c>
      <c r="I11" s="187" cm="1">
        <f t="array" ref="I11">INDEX('Storage Expansion'!$C:$R,MATCH(I$1,'Storage Expansion'!$C:$C,0)+($B11-2022),VLOOKUP($Z$41,'Notes and Scenario Inputs'!$B$19:$D$28,3,FALSE)+7)*($A11/31)*(1/$D$39)*1000</f>
        <v>0</v>
      </c>
      <c r="J11" s="187"/>
      <c r="K11" s="187" cm="1">
        <f t="array" ref="K11">INDEX('Pipeline Expansion'!$C:$R,MATCH(K$1,'Pipeline Expansion'!$C:$C,0)+($B11-2022),VLOOKUP($Z$41,'Notes and Scenario Inputs'!$B$19:$D$28,3,FALSE)+7)*($A11/30)*1000</f>
        <v>0</v>
      </c>
      <c r="L11" s="187" cm="1">
        <f t="array" ref="L11">INDEX('Pipeline Expansion'!$C:$R,MATCH(L$1,'Pipeline Expansion'!$C:$C,0)+($B11-2022),VLOOKUP($Z$41,'Notes and Scenario Inputs'!$B$19:$D$28,3,FALSE)+7)*($A11/30)*1000</f>
        <v>0</v>
      </c>
      <c r="M11" s="187" cm="1">
        <f t="array" ref="M11">INDEX('Pipeline Expansion'!$C:$R,MATCH(M$1,'Pipeline Expansion'!$C:$C,0)+($B11-2022),VLOOKUP($Z$41,'Notes and Scenario Inputs'!$B$19:$D$28,3,FALSE)+7)*($A11/30)*1000</f>
        <v>0</v>
      </c>
      <c r="N11" s="187" cm="1">
        <f t="array" ref="N11">INDEX('Pipeline Expansion'!$C:$R,MATCH(N$1,'Pipeline Expansion'!$C:$C,0)+($B11-2022),VLOOKUP($Z$41,'Notes and Scenario Inputs'!$B$19:$D$28,3,FALSE)+7)*($A11/30)*1000</f>
        <v>0</v>
      </c>
      <c r="O11" s="187" cm="1">
        <f t="array" ref="O11">INDEX('Pipeline Expansion'!$C:$R,MATCH(O$1,'Pipeline Expansion'!$C:$C,0)+($B11-2022),VLOOKUP($Z$41,'Notes and Scenario Inputs'!$B$19:$D$28,3,FALSE)+7)*($A11/30)*1000</f>
        <v>0</v>
      </c>
      <c r="P11" s="187" cm="1">
        <f t="array" ref="P11">INDEX('Pipeline Expansion'!$C:$R,MATCH(P$1,'Pipeline Expansion'!$C:$C,0)+($B11-2022),VLOOKUP($Z$41,'Notes and Scenario Inputs'!$B$19:$D$28,3,FALSE)+7)*($A11/30)*1000</f>
        <v>0</v>
      </c>
      <c r="Q11" s="187" cm="1">
        <f t="array" ref="Q11">INDEX('Pipeline Expansion'!$C:$R,MATCH(Q$1,'Pipeline Expansion'!$C:$C,0)+($B11-2022),VLOOKUP($Z$41,'Notes and Scenario Inputs'!$B$19:$D$28,3,FALSE)+7)*($A11/30)*1000</f>
        <v>0</v>
      </c>
      <c r="R11" s="199">
        <f t="shared" si="2"/>
        <v>2026</v>
      </c>
      <c r="S11">
        <v>2027</v>
      </c>
      <c r="T11" t="str">
        <f t="shared" si="3"/>
        <v>2026-27</v>
      </c>
      <c r="U11" s="187">
        <v>799434.07850000006</v>
      </c>
      <c r="V11" s="187">
        <f>VLOOKUP($B11,'[1]Peak Day Forecast'!$A:$M,VLOOKUP($Z$41,[1]Scenarios!$B:$D,3,FALSE)+3,FALSE)</f>
        <v>960909</v>
      </c>
      <c r="W11" s="187">
        <v>24000</v>
      </c>
      <c r="X11" s="187">
        <f t="shared" si="5"/>
        <v>984909</v>
      </c>
      <c r="Y11" s="187">
        <v>74601.376730620963</v>
      </c>
      <c r="Z11" s="187">
        <f t="shared" si="6"/>
        <v>823434.07850000006</v>
      </c>
      <c r="AA11" s="187"/>
      <c r="AB11" s="187">
        <f t="shared" si="7"/>
        <v>27022.00348152536</v>
      </c>
      <c r="AC11" s="187">
        <f t="shared" si="7"/>
        <v>130800.00000057208</v>
      </c>
      <c r="AD11" s="187">
        <f t="shared" si="7"/>
        <v>0</v>
      </c>
      <c r="AE11" s="187"/>
      <c r="AF11" s="187">
        <f t="shared" si="8"/>
        <v>0</v>
      </c>
      <c r="AG11" s="187">
        <f t="shared" si="8"/>
        <v>0</v>
      </c>
      <c r="AH11" s="187">
        <f t="shared" si="8"/>
        <v>0</v>
      </c>
      <c r="AI11" s="187">
        <f t="shared" si="8"/>
        <v>0</v>
      </c>
      <c r="AJ11" s="187">
        <f t="shared" si="8"/>
        <v>0</v>
      </c>
      <c r="AK11" s="187">
        <f t="shared" si="8"/>
        <v>0</v>
      </c>
      <c r="AL11" s="187">
        <f t="shared" si="8"/>
        <v>0</v>
      </c>
    </row>
    <row r="12" spans="1:38" x14ac:dyDescent="0.25">
      <c r="A12">
        <v>366</v>
      </c>
      <c r="B12">
        <v>2028</v>
      </c>
      <c r="C12" s="187" cm="1">
        <f t="array" ref="C12">INDEX('Storage Expansion'!$C:$R,MATCH(C$1,'Storage Expansion'!$C:$C,0)+($B12-2022),VLOOKUP($Z$41,'Notes and Scenario Inputs'!$B$19:$D$28,3,FALSE)+7)*($A12/31)*(1/$D$37)*1000</f>
        <v>0</v>
      </c>
      <c r="D12" s="187" cm="1">
        <f t="array" ref="D12">INDEX('Storage Expansion'!$C:$R,MATCH(D$1,'Storage Expansion'!$C:$C,0)+($B12-2022),VLOOKUP($Z$41,'Notes and Scenario Inputs'!$B$19:$D$28,3,FALSE)+7)*($A12/31)*(1/$D$37)*1000</f>
        <v>0</v>
      </c>
      <c r="E12" s="187" cm="1">
        <f t="array" ref="E12">INDEX('Storage Expansion'!$C:$R,MATCH(E$1,'Storage Expansion'!$C:$C,0)+($B12-2022),VLOOKUP($Z$41,'Notes and Scenario Inputs'!$B$19:$D$28,3,FALSE)+7)*($A12/31)*(1/$D$38)*1000</f>
        <v>0</v>
      </c>
      <c r="F12" s="187" cm="1">
        <f t="array" ref="F12">INDEX('Storage Expansion'!$C:$R,MATCH(F$1,'Storage Expansion'!$C:$C,0)+($B12-2022),VLOOKUP($Z$41,'Notes and Scenario Inputs'!$B$19:$D$28,3,FALSE)+7)*($A12/31)*(1/$D$38)*1000</f>
        <v>0</v>
      </c>
      <c r="G12" s="187">
        <f t="shared" si="1"/>
        <v>0</v>
      </c>
      <c r="H12" s="187" cm="1">
        <f t="array" ref="H12">INDEX('Storage Expansion'!$C:$R,MATCH(H$1,'Storage Expansion'!$C:$C,0)+($B12-2022),VLOOKUP($Z$41,'Notes and Scenario Inputs'!$B$19:$D$28,3,FALSE)+7)*($A12/31)*(1/$D$38)*1000</f>
        <v>0</v>
      </c>
      <c r="I12" s="187" cm="1">
        <f t="array" ref="I12">INDEX('Storage Expansion'!$C:$R,MATCH(I$1,'Storage Expansion'!$C:$C,0)+($B12-2022),VLOOKUP($Z$41,'Notes and Scenario Inputs'!$B$19:$D$28,3,FALSE)+7)*($A12/31)*(1/$D$39)*1000</f>
        <v>0</v>
      </c>
      <c r="J12" s="187"/>
      <c r="K12" s="187" cm="1">
        <f t="array" ref="K12">INDEX('Pipeline Expansion'!$C:$R,MATCH(K$1,'Pipeline Expansion'!$C:$C,0)+($B12-2022),VLOOKUP($Z$41,'Notes and Scenario Inputs'!$B$19:$D$28,3,FALSE)+7)*($A12/30)*1000</f>
        <v>0</v>
      </c>
      <c r="L12" s="187" cm="1">
        <f t="array" ref="L12">INDEX('Pipeline Expansion'!$C:$R,MATCH(L$1,'Pipeline Expansion'!$C:$C,0)+($B12-2022),VLOOKUP($Z$41,'Notes and Scenario Inputs'!$B$19:$D$28,3,FALSE)+7)*($A12/30)*1000</f>
        <v>0</v>
      </c>
      <c r="M12" s="187" cm="1">
        <f t="array" ref="M12">INDEX('Pipeline Expansion'!$C:$R,MATCH(M$1,'Pipeline Expansion'!$C:$C,0)+($B12-2022),VLOOKUP($Z$41,'Notes and Scenario Inputs'!$B$19:$D$28,3,FALSE)+7)*($A12/30)*1000</f>
        <v>0</v>
      </c>
      <c r="N12" s="187" cm="1">
        <f t="array" ref="N12">INDEX('Pipeline Expansion'!$C:$R,MATCH(N$1,'Pipeline Expansion'!$C:$C,0)+($B12-2022),VLOOKUP($Z$41,'Notes and Scenario Inputs'!$B$19:$D$28,3,FALSE)+7)*($A12/30)*1000</f>
        <v>0</v>
      </c>
      <c r="O12" s="187" cm="1">
        <f t="array" ref="O12">INDEX('Pipeline Expansion'!$C:$R,MATCH(O$1,'Pipeline Expansion'!$C:$C,0)+($B12-2022),VLOOKUP($Z$41,'Notes and Scenario Inputs'!$B$19:$D$28,3,FALSE)+7)*($A12/30)*1000</f>
        <v>0</v>
      </c>
      <c r="P12" s="187" cm="1">
        <f t="array" ref="P12">INDEX('Pipeline Expansion'!$C:$R,MATCH(P$1,'Pipeline Expansion'!$C:$C,0)+($B12-2022),VLOOKUP($Z$41,'Notes and Scenario Inputs'!$B$19:$D$28,3,FALSE)+7)*($A12/30)*1000</f>
        <v>0</v>
      </c>
      <c r="Q12" s="187" cm="1">
        <f t="array" ref="Q12">INDEX('Pipeline Expansion'!$C:$R,MATCH(Q$1,'Pipeline Expansion'!$C:$C,0)+($B12-2022),VLOOKUP($Z$41,'Notes and Scenario Inputs'!$B$19:$D$28,3,FALSE)+7)*($A12/30)*1000</f>
        <v>0</v>
      </c>
      <c r="R12" s="199">
        <f t="shared" si="2"/>
        <v>2027</v>
      </c>
      <c r="S12">
        <v>2028</v>
      </c>
      <c r="T12" t="str">
        <f t="shared" si="3"/>
        <v>2027-28</v>
      </c>
      <c r="U12" s="187">
        <v>799434.07850000006</v>
      </c>
      <c r="V12" s="187">
        <f>VLOOKUP($B12,'[1]Peak Day Forecast'!$A:$M,VLOOKUP($Z$41,[1]Scenarios!$B:$D,3,FALSE)+3,FALSE)</f>
        <v>941520</v>
      </c>
      <c r="W12" s="187">
        <v>24000</v>
      </c>
      <c r="X12" s="187">
        <f t="shared" si="5"/>
        <v>965520</v>
      </c>
      <c r="Y12" s="187">
        <v>88070.325853115792</v>
      </c>
      <c r="Z12" s="187">
        <f t="shared" si="6"/>
        <v>823434.07850000006</v>
      </c>
      <c r="AA12" s="187"/>
      <c r="AB12" s="187">
        <f t="shared" si="7"/>
        <v>27022.00348152536</v>
      </c>
      <c r="AC12" s="187">
        <f t="shared" si="7"/>
        <v>130800.00000057208</v>
      </c>
      <c r="AD12" s="187">
        <f t="shared" si="7"/>
        <v>0</v>
      </c>
      <c r="AE12" s="187"/>
      <c r="AF12" s="187">
        <f t="shared" si="8"/>
        <v>0</v>
      </c>
      <c r="AG12" s="187">
        <f t="shared" si="8"/>
        <v>0</v>
      </c>
      <c r="AH12" s="187">
        <f t="shared" si="8"/>
        <v>0</v>
      </c>
      <c r="AI12" s="187">
        <f t="shared" si="8"/>
        <v>0</v>
      </c>
      <c r="AJ12" s="187">
        <f t="shared" si="8"/>
        <v>0</v>
      </c>
      <c r="AK12" s="187">
        <f t="shared" si="8"/>
        <v>0</v>
      </c>
      <c r="AL12" s="187">
        <f t="shared" si="8"/>
        <v>0</v>
      </c>
    </row>
    <row r="13" spans="1:38" x14ac:dyDescent="0.25">
      <c r="A13">
        <v>365</v>
      </c>
      <c r="B13">
        <v>2029</v>
      </c>
      <c r="C13" s="187" cm="1">
        <f t="array" ref="C13">INDEX('Storage Expansion'!$C:$R,MATCH(C$1,'Storage Expansion'!$C:$C,0)+($B13-2022),VLOOKUP($Z$41,'Notes and Scenario Inputs'!$B$19:$D$28,3,FALSE)+7)*($A13/31)*(1/$D$37)*1000</f>
        <v>0</v>
      </c>
      <c r="D13" s="187" cm="1">
        <f t="array" ref="D13">INDEX('Storage Expansion'!$C:$R,MATCH(D$1,'Storage Expansion'!$C:$C,0)+($B13-2022),VLOOKUP($Z$41,'Notes and Scenario Inputs'!$B$19:$D$28,3,FALSE)+7)*($A13/31)*(1/$D$37)*1000</f>
        <v>0</v>
      </c>
      <c r="E13" s="187" cm="1">
        <f t="array" ref="E13">INDEX('Storage Expansion'!$C:$R,MATCH(E$1,'Storage Expansion'!$C:$C,0)+($B13-2022),VLOOKUP($Z$41,'Notes and Scenario Inputs'!$B$19:$D$28,3,FALSE)+7)*($A13/31)*(1/$D$38)*1000</f>
        <v>0</v>
      </c>
      <c r="F13" s="187" cm="1">
        <f t="array" ref="F13">INDEX('Storage Expansion'!$C:$R,MATCH(F$1,'Storage Expansion'!$C:$C,0)+($B13-2022),VLOOKUP($Z$41,'Notes and Scenario Inputs'!$B$19:$D$28,3,FALSE)+7)*($A13/31)*(1/$D$38)*1000</f>
        <v>0</v>
      </c>
      <c r="G13" s="187">
        <f t="shared" si="1"/>
        <v>0</v>
      </c>
      <c r="H13" s="187" cm="1">
        <f t="array" ref="H13">INDEX('Storage Expansion'!$C:$R,MATCH(H$1,'Storage Expansion'!$C:$C,0)+($B13-2022),VLOOKUP($Z$41,'Notes and Scenario Inputs'!$B$19:$D$28,3,FALSE)+7)*($A13/31)*(1/$D$38)*1000</f>
        <v>0</v>
      </c>
      <c r="I13" s="187" cm="1">
        <f t="array" ref="I13">INDEX('Storage Expansion'!$C:$R,MATCH(I$1,'Storage Expansion'!$C:$C,0)+($B13-2022),VLOOKUP($Z$41,'Notes and Scenario Inputs'!$B$19:$D$28,3,FALSE)+7)*($A13/31)*(1/$D$39)*1000</f>
        <v>0</v>
      </c>
      <c r="J13" s="187"/>
      <c r="K13" s="187" cm="1">
        <f t="array" ref="K13">INDEX('Pipeline Expansion'!$C:$R,MATCH(K$1,'Pipeline Expansion'!$C:$C,0)+($B13-2022),VLOOKUP($Z$41,'Notes and Scenario Inputs'!$B$19:$D$28,3,FALSE)+7)*($A13/30)*1000</f>
        <v>0</v>
      </c>
      <c r="L13" s="187" cm="1">
        <f t="array" ref="L13">INDEX('Pipeline Expansion'!$C:$R,MATCH(L$1,'Pipeline Expansion'!$C:$C,0)+($B13-2022),VLOOKUP($Z$41,'Notes and Scenario Inputs'!$B$19:$D$28,3,FALSE)+7)*($A13/30)*1000</f>
        <v>0</v>
      </c>
      <c r="M13" s="187" cm="1">
        <f t="array" ref="M13">INDEX('Pipeline Expansion'!$C:$R,MATCH(M$1,'Pipeline Expansion'!$C:$C,0)+($B13-2022),VLOOKUP($Z$41,'Notes and Scenario Inputs'!$B$19:$D$28,3,FALSE)+7)*($A13/30)*1000</f>
        <v>0</v>
      </c>
      <c r="N13" s="187" cm="1">
        <f t="array" ref="N13">INDEX('Pipeline Expansion'!$C:$R,MATCH(N$1,'Pipeline Expansion'!$C:$C,0)+($B13-2022),VLOOKUP($Z$41,'Notes and Scenario Inputs'!$B$19:$D$28,3,FALSE)+7)*($A13/30)*1000</f>
        <v>0</v>
      </c>
      <c r="O13" s="187" cm="1">
        <f t="array" ref="O13">INDEX('Pipeline Expansion'!$C:$R,MATCH(O$1,'Pipeline Expansion'!$C:$C,0)+($B13-2022),VLOOKUP($Z$41,'Notes and Scenario Inputs'!$B$19:$D$28,3,FALSE)+7)*($A13/30)*1000</f>
        <v>0</v>
      </c>
      <c r="P13" s="187" cm="1">
        <f t="array" ref="P13">INDEX('Pipeline Expansion'!$C:$R,MATCH(P$1,'Pipeline Expansion'!$C:$C,0)+($B13-2022),VLOOKUP($Z$41,'Notes and Scenario Inputs'!$B$19:$D$28,3,FALSE)+7)*($A13/30)*1000</f>
        <v>0</v>
      </c>
      <c r="Q13" s="187" cm="1">
        <f t="array" ref="Q13">INDEX('Pipeline Expansion'!$C:$R,MATCH(Q$1,'Pipeline Expansion'!$C:$C,0)+($B13-2022),VLOOKUP($Z$41,'Notes and Scenario Inputs'!$B$19:$D$28,3,FALSE)+7)*($A13/30)*1000</f>
        <v>0</v>
      </c>
      <c r="R13" s="199">
        <f t="shared" si="2"/>
        <v>2028</v>
      </c>
      <c r="S13">
        <v>2029</v>
      </c>
      <c r="T13" t="str">
        <f t="shared" si="3"/>
        <v>2028-29</v>
      </c>
      <c r="U13" s="187">
        <v>799434.07850000006</v>
      </c>
      <c r="V13" s="187">
        <f>VLOOKUP($B13,'[1]Peak Day Forecast'!$A:$M,VLOOKUP($Z$41,[1]Scenarios!$B:$D,3,FALSE)+3,FALSE)</f>
        <v>923767</v>
      </c>
      <c r="W13" s="187">
        <v>24000</v>
      </c>
      <c r="X13" s="187">
        <f t="shared" si="5"/>
        <v>947767</v>
      </c>
      <c r="Y13" s="187">
        <v>101265.67631282705</v>
      </c>
      <c r="Z13" s="187">
        <f t="shared" si="6"/>
        <v>823434.07850000006</v>
      </c>
      <c r="AA13" s="187"/>
      <c r="AB13" s="187">
        <f t="shared" si="7"/>
        <v>27022.00348152536</v>
      </c>
      <c r="AC13" s="187">
        <f t="shared" si="7"/>
        <v>130800.00000057208</v>
      </c>
      <c r="AD13" s="187">
        <f t="shared" si="7"/>
        <v>0</v>
      </c>
      <c r="AE13" s="187"/>
      <c r="AF13" s="187">
        <f t="shared" si="8"/>
        <v>0</v>
      </c>
      <c r="AG13" s="187">
        <f t="shared" si="8"/>
        <v>0</v>
      </c>
      <c r="AH13" s="187">
        <f t="shared" si="8"/>
        <v>0</v>
      </c>
      <c r="AI13" s="187">
        <f t="shared" si="8"/>
        <v>0</v>
      </c>
      <c r="AJ13" s="187">
        <f t="shared" si="8"/>
        <v>0</v>
      </c>
      <c r="AK13" s="187">
        <f t="shared" si="8"/>
        <v>0</v>
      </c>
      <c r="AL13" s="187">
        <f t="shared" si="8"/>
        <v>0</v>
      </c>
    </row>
    <row r="14" spans="1:38" x14ac:dyDescent="0.25">
      <c r="A14">
        <v>365</v>
      </c>
      <c r="B14">
        <v>2030</v>
      </c>
      <c r="C14" s="187" cm="1">
        <f t="array" ref="C14">INDEX('Storage Expansion'!$C:$R,MATCH(C$1,'Storage Expansion'!$C:$C,0)+($B14-2022),VLOOKUP($Z$41,'Notes and Scenario Inputs'!$B$19:$D$28,3,FALSE)+7)*($A14/31)*(1/$D$37)*1000</f>
        <v>0</v>
      </c>
      <c r="D14" s="187" cm="1">
        <f t="array" ref="D14">INDEX('Storage Expansion'!$C:$R,MATCH(D$1,'Storage Expansion'!$C:$C,0)+($B14-2022),VLOOKUP($Z$41,'Notes and Scenario Inputs'!$B$19:$D$28,3,FALSE)+7)*($A14/31)*(1/$D$37)*1000</f>
        <v>0</v>
      </c>
      <c r="E14" s="187" cm="1">
        <f t="array" ref="E14">INDEX('Storage Expansion'!$C:$R,MATCH(E$1,'Storage Expansion'!$C:$C,0)+($B14-2022),VLOOKUP($Z$41,'Notes and Scenario Inputs'!$B$19:$D$28,3,FALSE)+7)*($A14/31)*(1/$D$38)*1000</f>
        <v>0</v>
      </c>
      <c r="F14" s="187" cm="1">
        <f t="array" ref="F14">INDEX('Storage Expansion'!$C:$R,MATCH(F$1,'Storage Expansion'!$C:$C,0)+($B14-2022),VLOOKUP($Z$41,'Notes and Scenario Inputs'!$B$19:$D$28,3,FALSE)+7)*($A14/31)*(1/$D$38)*1000</f>
        <v>0</v>
      </c>
      <c r="G14" s="187">
        <f t="shared" si="1"/>
        <v>0</v>
      </c>
      <c r="H14" s="187" cm="1">
        <f t="array" ref="H14">INDEX('Storage Expansion'!$C:$R,MATCH(H$1,'Storage Expansion'!$C:$C,0)+($B14-2022),VLOOKUP($Z$41,'Notes and Scenario Inputs'!$B$19:$D$28,3,FALSE)+7)*($A14/31)*(1/$D$38)*1000</f>
        <v>0</v>
      </c>
      <c r="I14" s="187" cm="1">
        <f t="array" ref="I14">INDEX('Storage Expansion'!$C:$R,MATCH(I$1,'Storage Expansion'!$C:$C,0)+($B14-2022),VLOOKUP($Z$41,'Notes and Scenario Inputs'!$B$19:$D$28,3,FALSE)+7)*($A14/31)*(1/$D$39)*1000</f>
        <v>0</v>
      </c>
      <c r="J14" s="187"/>
      <c r="K14" s="187" cm="1">
        <f t="array" ref="K14">INDEX('Pipeline Expansion'!$C:$R,MATCH(K$1,'Pipeline Expansion'!$C:$C,0)+($B14-2022),VLOOKUP($Z$41,'Notes and Scenario Inputs'!$B$19:$D$28,3,FALSE)+7)*($A14/30)*1000</f>
        <v>0</v>
      </c>
      <c r="L14" s="187" cm="1">
        <f t="array" ref="L14">INDEX('Pipeline Expansion'!$C:$R,MATCH(L$1,'Pipeline Expansion'!$C:$C,0)+($B14-2022),VLOOKUP($Z$41,'Notes and Scenario Inputs'!$B$19:$D$28,3,FALSE)+7)*($A14/30)*1000</f>
        <v>0</v>
      </c>
      <c r="M14" s="187" cm="1">
        <f t="array" ref="M14">INDEX('Pipeline Expansion'!$C:$R,MATCH(M$1,'Pipeline Expansion'!$C:$C,0)+($B14-2022),VLOOKUP($Z$41,'Notes and Scenario Inputs'!$B$19:$D$28,3,FALSE)+7)*($A14/30)*1000</f>
        <v>0</v>
      </c>
      <c r="N14" s="187" cm="1">
        <f t="array" ref="N14">INDEX('Pipeline Expansion'!$C:$R,MATCH(N$1,'Pipeline Expansion'!$C:$C,0)+($B14-2022),VLOOKUP($Z$41,'Notes and Scenario Inputs'!$B$19:$D$28,3,FALSE)+7)*($A14/30)*1000</f>
        <v>0</v>
      </c>
      <c r="O14" s="187" cm="1">
        <f t="array" ref="O14">INDEX('Pipeline Expansion'!$C:$R,MATCH(O$1,'Pipeline Expansion'!$C:$C,0)+($B14-2022),VLOOKUP($Z$41,'Notes and Scenario Inputs'!$B$19:$D$28,3,FALSE)+7)*($A14/30)*1000</f>
        <v>0</v>
      </c>
      <c r="P14" s="187" cm="1">
        <f t="array" ref="P14">INDEX('Pipeline Expansion'!$C:$R,MATCH(P$1,'Pipeline Expansion'!$C:$C,0)+($B14-2022),VLOOKUP($Z$41,'Notes and Scenario Inputs'!$B$19:$D$28,3,FALSE)+7)*($A14/30)*1000</f>
        <v>0</v>
      </c>
      <c r="Q14" s="187" cm="1">
        <f t="array" ref="Q14">INDEX('Pipeline Expansion'!$C:$R,MATCH(Q$1,'Pipeline Expansion'!$C:$C,0)+($B14-2022),VLOOKUP($Z$41,'Notes and Scenario Inputs'!$B$19:$D$28,3,FALSE)+7)*($A14/30)*1000</f>
        <v>0</v>
      </c>
      <c r="R14" s="199">
        <f t="shared" si="2"/>
        <v>2029</v>
      </c>
      <c r="S14">
        <v>2030</v>
      </c>
      <c r="T14" t="str">
        <f t="shared" si="3"/>
        <v>2029-30</v>
      </c>
      <c r="U14" s="187">
        <v>799434.07850000006</v>
      </c>
      <c r="V14" s="187">
        <f>VLOOKUP($B14,'[1]Peak Day Forecast'!$A:$M,VLOOKUP($Z$41,[1]Scenarios!$B:$D,3,FALSE)+3,FALSE)</f>
        <v>903812</v>
      </c>
      <c r="W14" s="187">
        <v>24000</v>
      </c>
      <c r="X14" s="187">
        <f t="shared" si="5"/>
        <v>927812</v>
      </c>
      <c r="Y14" s="187">
        <v>114013.82056650166</v>
      </c>
      <c r="Z14" s="187">
        <f t="shared" si="6"/>
        <v>823434.07850000006</v>
      </c>
      <c r="AA14" s="187"/>
      <c r="AB14" s="187">
        <f t="shared" si="7"/>
        <v>27022.00348152536</v>
      </c>
      <c r="AC14" s="187">
        <f t="shared" si="7"/>
        <v>130800.00000057208</v>
      </c>
      <c r="AD14" s="187">
        <f t="shared" si="7"/>
        <v>0</v>
      </c>
      <c r="AE14" s="187"/>
      <c r="AF14" s="187">
        <f t="shared" si="8"/>
        <v>0</v>
      </c>
      <c r="AG14" s="187">
        <f t="shared" si="8"/>
        <v>0</v>
      </c>
      <c r="AH14" s="187">
        <f t="shared" si="8"/>
        <v>0</v>
      </c>
      <c r="AI14" s="187">
        <f t="shared" si="8"/>
        <v>0</v>
      </c>
      <c r="AJ14" s="187">
        <f t="shared" si="8"/>
        <v>0</v>
      </c>
      <c r="AK14" s="187">
        <f t="shared" si="8"/>
        <v>0</v>
      </c>
      <c r="AL14" s="187">
        <f t="shared" si="8"/>
        <v>0</v>
      </c>
    </row>
    <row r="15" spans="1:38" x14ac:dyDescent="0.25">
      <c r="A15">
        <v>365</v>
      </c>
      <c r="B15">
        <v>2031</v>
      </c>
      <c r="C15" s="187" cm="1">
        <f t="array" ref="C15">INDEX('Storage Expansion'!$C:$R,MATCH(C$1,'Storage Expansion'!$C:$C,0)+($B15-2022),VLOOKUP($Z$41,'Notes and Scenario Inputs'!$B$19:$D$28,3,FALSE)+7)*($A15/31)*(1/$D$37)*1000</f>
        <v>0</v>
      </c>
      <c r="D15" s="187" cm="1">
        <f t="array" ref="D15">INDEX('Storage Expansion'!$C:$R,MATCH(D$1,'Storage Expansion'!$C:$C,0)+($B15-2022),VLOOKUP($Z$41,'Notes and Scenario Inputs'!$B$19:$D$28,3,FALSE)+7)*($A15/31)*(1/$D$37)*1000</f>
        <v>0</v>
      </c>
      <c r="E15" s="187" cm="1">
        <f t="array" ref="E15">INDEX('Storage Expansion'!$C:$R,MATCH(E$1,'Storage Expansion'!$C:$C,0)+($B15-2022),VLOOKUP($Z$41,'Notes and Scenario Inputs'!$B$19:$D$28,3,FALSE)+7)*($A15/31)*(1/$D$38)*1000</f>
        <v>0</v>
      </c>
      <c r="F15" s="187" cm="1">
        <f t="array" ref="F15">INDEX('Storage Expansion'!$C:$R,MATCH(F$1,'Storage Expansion'!$C:$C,0)+($B15-2022),VLOOKUP($Z$41,'Notes and Scenario Inputs'!$B$19:$D$28,3,FALSE)+7)*($A15/31)*(1/$D$38)*1000</f>
        <v>0</v>
      </c>
      <c r="G15" s="187">
        <f t="shared" si="1"/>
        <v>0</v>
      </c>
      <c r="H15" s="187" cm="1">
        <f t="array" ref="H15">INDEX('Storage Expansion'!$C:$R,MATCH(H$1,'Storage Expansion'!$C:$C,0)+($B15-2022),VLOOKUP($Z$41,'Notes and Scenario Inputs'!$B$19:$D$28,3,FALSE)+7)*($A15/31)*(1/$D$38)*1000</f>
        <v>0</v>
      </c>
      <c r="I15" s="187" cm="1">
        <f t="array" ref="I15">INDEX('Storage Expansion'!$C:$R,MATCH(I$1,'Storage Expansion'!$C:$C,0)+($B15-2022),VLOOKUP($Z$41,'Notes and Scenario Inputs'!$B$19:$D$28,3,FALSE)+7)*($A15/31)*(1/$D$39)*1000</f>
        <v>0</v>
      </c>
      <c r="J15" s="187"/>
      <c r="K15" s="187" cm="1">
        <f t="array" ref="K15">INDEX('Pipeline Expansion'!$C:$R,MATCH(K$1,'Pipeline Expansion'!$C:$C,0)+($B15-2022),VLOOKUP($Z$41,'Notes and Scenario Inputs'!$B$19:$D$28,3,FALSE)+7)*($A15/30)*1000</f>
        <v>0</v>
      </c>
      <c r="L15" s="187" cm="1">
        <f t="array" ref="L15">INDEX('Pipeline Expansion'!$C:$R,MATCH(L$1,'Pipeline Expansion'!$C:$C,0)+($B15-2022),VLOOKUP($Z$41,'Notes and Scenario Inputs'!$B$19:$D$28,3,FALSE)+7)*($A15/30)*1000</f>
        <v>0</v>
      </c>
      <c r="M15" s="187" cm="1">
        <f t="array" ref="M15">INDEX('Pipeline Expansion'!$C:$R,MATCH(M$1,'Pipeline Expansion'!$C:$C,0)+($B15-2022),VLOOKUP($Z$41,'Notes and Scenario Inputs'!$B$19:$D$28,3,FALSE)+7)*($A15/30)*1000</f>
        <v>0</v>
      </c>
      <c r="N15" s="187" cm="1">
        <f t="array" ref="N15">INDEX('Pipeline Expansion'!$C:$R,MATCH(N$1,'Pipeline Expansion'!$C:$C,0)+($B15-2022),VLOOKUP($Z$41,'Notes and Scenario Inputs'!$B$19:$D$28,3,FALSE)+7)*($A15/30)*1000</f>
        <v>0</v>
      </c>
      <c r="O15" s="187" cm="1">
        <f t="array" ref="O15">INDEX('Pipeline Expansion'!$C:$R,MATCH(O$1,'Pipeline Expansion'!$C:$C,0)+($B15-2022),VLOOKUP($Z$41,'Notes and Scenario Inputs'!$B$19:$D$28,3,FALSE)+7)*($A15/30)*1000</f>
        <v>0</v>
      </c>
      <c r="P15" s="187" cm="1">
        <f t="array" ref="P15">INDEX('Pipeline Expansion'!$C:$R,MATCH(P$1,'Pipeline Expansion'!$C:$C,0)+($B15-2022),VLOOKUP($Z$41,'Notes and Scenario Inputs'!$B$19:$D$28,3,FALSE)+7)*($A15/30)*1000</f>
        <v>0</v>
      </c>
      <c r="Q15" s="187" cm="1">
        <f t="array" ref="Q15">INDEX('Pipeline Expansion'!$C:$R,MATCH(Q$1,'Pipeline Expansion'!$C:$C,0)+($B15-2022),VLOOKUP($Z$41,'Notes and Scenario Inputs'!$B$19:$D$28,3,FALSE)+7)*($A15/30)*1000</f>
        <v>0</v>
      </c>
      <c r="R15" s="199">
        <f t="shared" si="2"/>
        <v>2030</v>
      </c>
      <c r="S15">
        <v>2031</v>
      </c>
      <c r="T15" t="str">
        <f t="shared" si="3"/>
        <v>2030-31</v>
      </c>
      <c r="U15" s="187">
        <v>799434.07850000006</v>
      </c>
      <c r="V15" s="187">
        <f>VLOOKUP($B15,'[1]Peak Day Forecast'!$A:$M,VLOOKUP($Z$41,[1]Scenarios!$B:$D,3,FALSE)+3,FALSE)</f>
        <v>885219</v>
      </c>
      <c r="W15" s="187">
        <v>24000</v>
      </c>
      <c r="X15" s="187">
        <f t="shared" si="5"/>
        <v>909219</v>
      </c>
      <c r="Y15" s="187">
        <v>126066.47456684422</v>
      </c>
      <c r="Z15" s="187">
        <f t="shared" si="6"/>
        <v>823434.07850000006</v>
      </c>
      <c r="AA15" s="187"/>
      <c r="AB15" s="187">
        <f t="shared" si="7"/>
        <v>27022.00348152536</v>
      </c>
      <c r="AC15" s="187">
        <f t="shared" si="7"/>
        <v>130800.00000057208</v>
      </c>
      <c r="AD15" s="187">
        <f t="shared" si="7"/>
        <v>0</v>
      </c>
      <c r="AE15" s="187"/>
      <c r="AF15" s="187">
        <f t="shared" si="8"/>
        <v>0</v>
      </c>
      <c r="AG15" s="187">
        <f t="shared" si="8"/>
        <v>0</v>
      </c>
      <c r="AH15" s="187">
        <f t="shared" si="8"/>
        <v>0</v>
      </c>
      <c r="AI15" s="187">
        <f t="shared" si="8"/>
        <v>0</v>
      </c>
      <c r="AJ15" s="187">
        <f t="shared" si="8"/>
        <v>0</v>
      </c>
      <c r="AK15" s="187">
        <f t="shared" si="8"/>
        <v>0</v>
      </c>
      <c r="AL15" s="187">
        <f t="shared" si="8"/>
        <v>0</v>
      </c>
    </row>
    <row r="16" spans="1:38" x14ac:dyDescent="0.25">
      <c r="A16">
        <v>366</v>
      </c>
      <c r="B16">
        <v>2032</v>
      </c>
      <c r="C16" s="187" cm="1">
        <f t="array" ref="C16">INDEX('Storage Expansion'!$C:$R,MATCH(C$1,'Storage Expansion'!$C:$C,0)+($B16-2022),VLOOKUP($Z$41,'Notes and Scenario Inputs'!$B$19:$D$28,3,FALSE)+7)*($A16/31)*(1/$D$37)*1000</f>
        <v>0</v>
      </c>
      <c r="D16" s="187" cm="1">
        <f t="array" ref="D16">INDEX('Storage Expansion'!$C:$R,MATCH(D$1,'Storage Expansion'!$C:$C,0)+($B16-2022),VLOOKUP($Z$41,'Notes and Scenario Inputs'!$B$19:$D$28,3,FALSE)+7)*($A16/31)*(1/$D$37)*1000</f>
        <v>0</v>
      </c>
      <c r="E16" s="187" cm="1">
        <f t="array" ref="E16">INDEX('Storage Expansion'!$C:$R,MATCH(E$1,'Storage Expansion'!$C:$C,0)+($B16-2022),VLOOKUP($Z$41,'Notes and Scenario Inputs'!$B$19:$D$28,3,FALSE)+7)*($A16/31)*(1/$D$38)*1000</f>
        <v>0</v>
      </c>
      <c r="F16" s="187" cm="1">
        <f t="array" ref="F16">INDEX('Storage Expansion'!$C:$R,MATCH(F$1,'Storage Expansion'!$C:$C,0)+($B16-2022),VLOOKUP($Z$41,'Notes and Scenario Inputs'!$B$19:$D$28,3,FALSE)+7)*($A16/31)*(1/$D$38)*1000</f>
        <v>0</v>
      </c>
      <c r="G16" s="187">
        <f t="shared" si="1"/>
        <v>0</v>
      </c>
      <c r="H16" s="187" cm="1">
        <f t="array" ref="H16">INDEX('Storage Expansion'!$C:$R,MATCH(H$1,'Storage Expansion'!$C:$C,0)+($B16-2022),VLOOKUP($Z$41,'Notes and Scenario Inputs'!$B$19:$D$28,3,FALSE)+7)*($A16/31)*(1/$D$38)*1000</f>
        <v>0</v>
      </c>
      <c r="I16" s="187" cm="1">
        <f t="array" ref="I16">INDEX('Storage Expansion'!$C:$R,MATCH(I$1,'Storage Expansion'!$C:$C,0)+($B16-2022),VLOOKUP($Z$41,'Notes and Scenario Inputs'!$B$19:$D$28,3,FALSE)+7)*($A16/31)*(1/$D$39)*1000</f>
        <v>0</v>
      </c>
      <c r="J16" s="187"/>
      <c r="K16" s="187" cm="1">
        <f t="array" ref="K16">INDEX('Pipeline Expansion'!$C:$R,MATCH(K$1,'Pipeline Expansion'!$C:$C,0)+($B16-2022),VLOOKUP($Z$41,'Notes and Scenario Inputs'!$B$19:$D$28,3,FALSE)+7)*($A16/30)*1000</f>
        <v>0</v>
      </c>
      <c r="L16" s="187" cm="1">
        <f t="array" ref="L16">INDEX('Pipeline Expansion'!$C:$R,MATCH(L$1,'Pipeline Expansion'!$C:$C,0)+($B16-2022),VLOOKUP($Z$41,'Notes and Scenario Inputs'!$B$19:$D$28,3,FALSE)+7)*($A16/30)*1000</f>
        <v>0</v>
      </c>
      <c r="M16" s="187" cm="1">
        <f t="array" ref="M16">INDEX('Pipeline Expansion'!$C:$R,MATCH(M$1,'Pipeline Expansion'!$C:$C,0)+($B16-2022),VLOOKUP($Z$41,'Notes and Scenario Inputs'!$B$19:$D$28,3,FALSE)+7)*($A16/30)*1000</f>
        <v>0</v>
      </c>
      <c r="N16" s="187" cm="1">
        <f t="array" ref="N16">INDEX('Pipeline Expansion'!$C:$R,MATCH(N$1,'Pipeline Expansion'!$C:$C,0)+($B16-2022),VLOOKUP($Z$41,'Notes and Scenario Inputs'!$B$19:$D$28,3,FALSE)+7)*($A16/30)*1000</f>
        <v>0</v>
      </c>
      <c r="O16" s="187" cm="1">
        <f t="array" ref="O16">INDEX('Pipeline Expansion'!$C:$R,MATCH(O$1,'Pipeline Expansion'!$C:$C,0)+($B16-2022),VLOOKUP($Z$41,'Notes and Scenario Inputs'!$B$19:$D$28,3,FALSE)+7)*($A16/30)*1000</f>
        <v>0</v>
      </c>
      <c r="P16" s="187" cm="1">
        <f t="array" ref="P16">INDEX('Pipeline Expansion'!$C:$R,MATCH(P$1,'Pipeline Expansion'!$C:$C,0)+($B16-2022),VLOOKUP($Z$41,'Notes and Scenario Inputs'!$B$19:$D$28,3,FALSE)+7)*($A16/30)*1000</f>
        <v>0</v>
      </c>
      <c r="Q16" s="187" cm="1">
        <f t="array" ref="Q16">INDEX('Pipeline Expansion'!$C:$R,MATCH(Q$1,'Pipeline Expansion'!$C:$C,0)+($B16-2022),VLOOKUP($Z$41,'Notes and Scenario Inputs'!$B$19:$D$28,3,FALSE)+7)*($A16/30)*1000</f>
        <v>0</v>
      </c>
      <c r="R16" s="199">
        <f t="shared" si="2"/>
        <v>2031</v>
      </c>
      <c r="S16">
        <v>2032</v>
      </c>
      <c r="T16" t="str">
        <f t="shared" si="3"/>
        <v>2031-32</v>
      </c>
      <c r="U16" s="187">
        <v>799434.07850000006</v>
      </c>
      <c r="V16" s="187">
        <f>VLOOKUP($B16,'[1]Peak Day Forecast'!$A:$M,VLOOKUP($Z$41,[1]Scenarios!$B:$D,3,FALSE)+3,FALSE)</f>
        <v>867586</v>
      </c>
      <c r="W16" s="187">
        <v>24000</v>
      </c>
      <c r="X16" s="187">
        <f t="shared" si="5"/>
        <v>891586</v>
      </c>
      <c r="Y16" s="187">
        <v>137246.98391842714</v>
      </c>
      <c r="Z16" s="187">
        <f t="shared" si="6"/>
        <v>823434.07850000006</v>
      </c>
      <c r="AA16" s="187"/>
      <c r="AB16" s="187">
        <f t="shared" si="7"/>
        <v>27022.00348152536</v>
      </c>
      <c r="AC16" s="187">
        <f t="shared" si="7"/>
        <v>130800.00000057208</v>
      </c>
      <c r="AD16" s="187">
        <f t="shared" si="7"/>
        <v>0</v>
      </c>
      <c r="AE16" s="187"/>
      <c r="AF16" s="187">
        <f t="shared" si="8"/>
        <v>0</v>
      </c>
      <c r="AG16" s="187">
        <f t="shared" si="8"/>
        <v>0</v>
      </c>
      <c r="AH16" s="187">
        <f t="shared" si="8"/>
        <v>0</v>
      </c>
      <c r="AI16" s="187">
        <f t="shared" si="8"/>
        <v>0</v>
      </c>
      <c r="AJ16" s="187">
        <f t="shared" si="8"/>
        <v>0</v>
      </c>
      <c r="AK16" s="187">
        <f t="shared" si="8"/>
        <v>0</v>
      </c>
      <c r="AL16" s="187">
        <f t="shared" si="8"/>
        <v>0</v>
      </c>
    </row>
    <row r="17" spans="1:38" x14ac:dyDescent="0.25">
      <c r="A17">
        <v>365</v>
      </c>
      <c r="B17">
        <v>2033</v>
      </c>
      <c r="C17" s="187" cm="1">
        <f t="array" ref="C17">INDEX('Storage Expansion'!$C:$R,MATCH(C$1,'Storage Expansion'!$C:$C,0)+($B17-2022),VLOOKUP($Z$41,'Notes and Scenario Inputs'!$B$19:$D$28,3,FALSE)+7)*($A17/31)*(1/$D$37)*1000</f>
        <v>0</v>
      </c>
      <c r="D17" s="187" cm="1">
        <f t="array" ref="D17">INDEX('Storage Expansion'!$C:$R,MATCH(D$1,'Storage Expansion'!$C:$C,0)+($B17-2022),VLOOKUP($Z$41,'Notes and Scenario Inputs'!$B$19:$D$28,3,FALSE)+7)*($A17/31)*(1/$D$37)*1000</f>
        <v>0</v>
      </c>
      <c r="E17" s="187" cm="1">
        <f t="array" ref="E17">INDEX('Storage Expansion'!$C:$R,MATCH(E$1,'Storage Expansion'!$C:$C,0)+($B17-2022),VLOOKUP($Z$41,'Notes and Scenario Inputs'!$B$19:$D$28,3,FALSE)+7)*($A17/31)*(1/$D$38)*1000</f>
        <v>0</v>
      </c>
      <c r="F17" s="187" cm="1">
        <f t="array" ref="F17">INDEX('Storage Expansion'!$C:$R,MATCH(F$1,'Storage Expansion'!$C:$C,0)+($B17-2022),VLOOKUP($Z$41,'Notes and Scenario Inputs'!$B$19:$D$28,3,FALSE)+7)*($A17/31)*(1/$D$38)*1000</f>
        <v>0</v>
      </c>
      <c r="G17" s="187">
        <f t="shared" si="1"/>
        <v>0</v>
      </c>
      <c r="H17" s="187" cm="1">
        <f t="array" ref="H17">INDEX('Storage Expansion'!$C:$R,MATCH(H$1,'Storage Expansion'!$C:$C,0)+($B17-2022),VLOOKUP($Z$41,'Notes and Scenario Inputs'!$B$19:$D$28,3,FALSE)+7)*($A17/31)*(1/$D$38)*1000</f>
        <v>0</v>
      </c>
      <c r="I17" s="187" cm="1">
        <f t="array" ref="I17">INDEX('Storage Expansion'!$C:$R,MATCH(I$1,'Storage Expansion'!$C:$C,0)+($B17-2022),VLOOKUP($Z$41,'Notes and Scenario Inputs'!$B$19:$D$28,3,FALSE)+7)*($A17/31)*(1/$D$39)*1000</f>
        <v>0</v>
      </c>
      <c r="J17" s="187"/>
      <c r="K17" s="187" cm="1">
        <f t="array" ref="K17">INDEX('Pipeline Expansion'!$C:$R,MATCH(K$1,'Pipeline Expansion'!$C:$C,0)+($B17-2022),VLOOKUP($Z$41,'Notes and Scenario Inputs'!$B$19:$D$28,3,FALSE)+7)*($A17/30)*1000</f>
        <v>0</v>
      </c>
      <c r="L17" s="187" cm="1">
        <f t="array" ref="L17">INDEX('Pipeline Expansion'!$C:$R,MATCH(L$1,'Pipeline Expansion'!$C:$C,0)+($B17-2022),VLOOKUP($Z$41,'Notes and Scenario Inputs'!$B$19:$D$28,3,FALSE)+7)*($A17/30)*1000</f>
        <v>0</v>
      </c>
      <c r="M17" s="187" cm="1">
        <f t="array" ref="M17">INDEX('Pipeline Expansion'!$C:$R,MATCH(M$1,'Pipeline Expansion'!$C:$C,0)+($B17-2022),VLOOKUP($Z$41,'Notes and Scenario Inputs'!$B$19:$D$28,3,FALSE)+7)*($A17/30)*1000</f>
        <v>0</v>
      </c>
      <c r="N17" s="187" cm="1">
        <f t="array" ref="N17">INDEX('Pipeline Expansion'!$C:$R,MATCH(N$1,'Pipeline Expansion'!$C:$C,0)+($B17-2022),VLOOKUP($Z$41,'Notes and Scenario Inputs'!$B$19:$D$28,3,FALSE)+7)*($A17/30)*1000</f>
        <v>0</v>
      </c>
      <c r="O17" s="187" cm="1">
        <f t="array" ref="O17">INDEX('Pipeline Expansion'!$C:$R,MATCH(O$1,'Pipeline Expansion'!$C:$C,0)+($B17-2022),VLOOKUP($Z$41,'Notes and Scenario Inputs'!$B$19:$D$28,3,FALSE)+7)*($A17/30)*1000</f>
        <v>0</v>
      </c>
      <c r="P17" s="187" cm="1">
        <f t="array" ref="P17">INDEX('Pipeline Expansion'!$C:$R,MATCH(P$1,'Pipeline Expansion'!$C:$C,0)+($B17-2022),VLOOKUP($Z$41,'Notes and Scenario Inputs'!$B$19:$D$28,3,FALSE)+7)*($A17/30)*1000</f>
        <v>0</v>
      </c>
      <c r="Q17" s="187" cm="1">
        <f t="array" ref="Q17">INDEX('Pipeline Expansion'!$C:$R,MATCH(Q$1,'Pipeline Expansion'!$C:$C,0)+($B17-2022),VLOOKUP($Z$41,'Notes and Scenario Inputs'!$B$19:$D$28,3,FALSE)+7)*($A17/30)*1000</f>
        <v>0</v>
      </c>
      <c r="R17" s="199">
        <f t="shared" si="2"/>
        <v>2032</v>
      </c>
      <c r="S17">
        <v>2033</v>
      </c>
      <c r="T17" t="str">
        <f t="shared" si="3"/>
        <v>2032-33</v>
      </c>
      <c r="U17" s="187">
        <v>799434.07850000006</v>
      </c>
      <c r="V17" s="187">
        <f>VLOOKUP($B17,'[1]Peak Day Forecast'!$A:$M,VLOOKUP($Z$41,[1]Scenarios!$B:$D,3,FALSE)+3,FALSE)</f>
        <v>849890</v>
      </c>
      <c r="W17" s="187">
        <v>24000</v>
      </c>
      <c r="X17" s="187">
        <f t="shared" si="5"/>
        <v>873890</v>
      </c>
      <c r="Y17" s="187">
        <v>147592.33093242452</v>
      </c>
      <c r="Z17" s="187">
        <f t="shared" si="6"/>
        <v>823434.07850000006</v>
      </c>
      <c r="AA17" s="187"/>
      <c r="AB17" s="187">
        <f t="shared" si="7"/>
        <v>27022.00348152536</v>
      </c>
      <c r="AC17" s="187">
        <f t="shared" si="7"/>
        <v>130800.00000057208</v>
      </c>
      <c r="AD17" s="187">
        <f t="shared" si="7"/>
        <v>0</v>
      </c>
      <c r="AE17" s="187"/>
      <c r="AF17" s="187">
        <f t="shared" si="8"/>
        <v>0</v>
      </c>
      <c r="AG17" s="187">
        <f t="shared" si="8"/>
        <v>0</v>
      </c>
      <c r="AH17" s="187">
        <f t="shared" si="8"/>
        <v>0</v>
      </c>
      <c r="AI17" s="187">
        <f t="shared" si="8"/>
        <v>0</v>
      </c>
      <c r="AJ17" s="187">
        <f t="shared" si="8"/>
        <v>0</v>
      </c>
      <c r="AK17" s="187">
        <f t="shared" si="8"/>
        <v>0</v>
      </c>
      <c r="AL17" s="187">
        <f t="shared" si="8"/>
        <v>0</v>
      </c>
    </row>
    <row r="18" spans="1:38" x14ac:dyDescent="0.25">
      <c r="A18">
        <v>365</v>
      </c>
      <c r="B18">
        <v>2034</v>
      </c>
      <c r="C18" s="187" cm="1">
        <f t="array" ref="C18">INDEX('Storage Expansion'!$C:$R,MATCH(C$1,'Storage Expansion'!$C:$C,0)+($B18-2022),VLOOKUP($Z$41,'Notes and Scenario Inputs'!$B$19:$D$28,3,FALSE)+7)*($A18/31)*(1/$D$37)*1000</f>
        <v>0</v>
      </c>
      <c r="D18" s="187" cm="1">
        <f t="array" ref="D18">INDEX('Storage Expansion'!$C:$R,MATCH(D$1,'Storage Expansion'!$C:$C,0)+($B18-2022),VLOOKUP($Z$41,'Notes and Scenario Inputs'!$B$19:$D$28,3,FALSE)+7)*($A18/31)*(1/$D$37)*1000</f>
        <v>0</v>
      </c>
      <c r="E18" s="187" cm="1">
        <f t="array" ref="E18">INDEX('Storage Expansion'!$C:$R,MATCH(E$1,'Storage Expansion'!$C:$C,0)+($B18-2022),VLOOKUP($Z$41,'Notes and Scenario Inputs'!$B$19:$D$28,3,FALSE)+7)*($A18/31)*(1/$D$38)*1000</f>
        <v>0</v>
      </c>
      <c r="F18" s="187" cm="1">
        <f t="array" ref="F18">INDEX('Storage Expansion'!$C:$R,MATCH(F$1,'Storage Expansion'!$C:$C,0)+($B18-2022),VLOOKUP($Z$41,'Notes and Scenario Inputs'!$B$19:$D$28,3,FALSE)+7)*($A18/31)*(1/$D$38)*1000</f>
        <v>0</v>
      </c>
      <c r="G18" s="187">
        <f t="shared" si="1"/>
        <v>0</v>
      </c>
      <c r="H18" s="187" cm="1">
        <f t="array" ref="H18">INDEX('Storage Expansion'!$C:$R,MATCH(H$1,'Storage Expansion'!$C:$C,0)+($B18-2022),VLOOKUP($Z$41,'Notes and Scenario Inputs'!$B$19:$D$28,3,FALSE)+7)*($A18/31)*(1/$D$38)*1000</f>
        <v>0</v>
      </c>
      <c r="I18" s="187" cm="1">
        <f t="array" ref="I18">INDEX('Storage Expansion'!$C:$R,MATCH(I$1,'Storage Expansion'!$C:$C,0)+($B18-2022),VLOOKUP($Z$41,'Notes and Scenario Inputs'!$B$19:$D$28,3,FALSE)+7)*($A18/31)*(1/$D$39)*1000</f>
        <v>0</v>
      </c>
      <c r="J18" s="187"/>
      <c r="K18" s="187" cm="1">
        <f t="array" ref="K18">INDEX('Pipeline Expansion'!$C:$R,MATCH(K$1,'Pipeline Expansion'!$C:$C,0)+($B18-2022),VLOOKUP($Z$41,'Notes and Scenario Inputs'!$B$19:$D$28,3,FALSE)+7)*($A18/30)*1000</f>
        <v>0</v>
      </c>
      <c r="L18" s="187" cm="1">
        <f t="array" ref="L18">INDEX('Pipeline Expansion'!$C:$R,MATCH(L$1,'Pipeline Expansion'!$C:$C,0)+($B18-2022),VLOOKUP($Z$41,'Notes and Scenario Inputs'!$B$19:$D$28,3,FALSE)+7)*($A18/30)*1000</f>
        <v>0</v>
      </c>
      <c r="M18" s="187" cm="1">
        <f t="array" ref="M18">INDEX('Pipeline Expansion'!$C:$R,MATCH(M$1,'Pipeline Expansion'!$C:$C,0)+($B18-2022),VLOOKUP($Z$41,'Notes and Scenario Inputs'!$B$19:$D$28,3,FALSE)+7)*($A18/30)*1000</f>
        <v>0</v>
      </c>
      <c r="N18" s="187" cm="1">
        <f t="array" ref="N18">INDEX('Pipeline Expansion'!$C:$R,MATCH(N$1,'Pipeline Expansion'!$C:$C,0)+($B18-2022),VLOOKUP($Z$41,'Notes and Scenario Inputs'!$B$19:$D$28,3,FALSE)+7)*($A18/30)*1000</f>
        <v>0</v>
      </c>
      <c r="O18" s="187" cm="1">
        <f t="array" ref="O18">INDEX('Pipeline Expansion'!$C:$R,MATCH(O$1,'Pipeline Expansion'!$C:$C,0)+($B18-2022),VLOOKUP($Z$41,'Notes and Scenario Inputs'!$B$19:$D$28,3,FALSE)+7)*($A18/30)*1000</f>
        <v>0</v>
      </c>
      <c r="P18" s="187" cm="1">
        <f t="array" ref="P18">INDEX('Pipeline Expansion'!$C:$R,MATCH(P$1,'Pipeline Expansion'!$C:$C,0)+($B18-2022),VLOOKUP($Z$41,'Notes and Scenario Inputs'!$B$19:$D$28,3,FALSE)+7)*($A18/30)*1000</f>
        <v>0</v>
      </c>
      <c r="Q18" s="187" cm="1">
        <f t="array" ref="Q18">INDEX('Pipeline Expansion'!$C:$R,MATCH(Q$1,'Pipeline Expansion'!$C:$C,0)+($B18-2022),VLOOKUP($Z$41,'Notes and Scenario Inputs'!$B$19:$D$28,3,FALSE)+7)*($A18/30)*1000</f>
        <v>0</v>
      </c>
      <c r="R18" s="199">
        <f t="shared" si="2"/>
        <v>2033</v>
      </c>
      <c r="S18">
        <v>2034</v>
      </c>
      <c r="T18" t="str">
        <f t="shared" si="3"/>
        <v>2033-34</v>
      </c>
      <c r="U18" s="187">
        <v>799434.07850000006</v>
      </c>
      <c r="V18" s="187">
        <f>VLOOKUP($B18,'[1]Peak Day Forecast'!$A:$M,VLOOKUP($Z$41,[1]Scenarios!$B:$D,3,FALSE)+3,FALSE)</f>
        <v>831527</v>
      </c>
      <c r="W18" s="187">
        <v>24000</v>
      </c>
      <c r="X18" s="187">
        <f t="shared" si="5"/>
        <v>855527</v>
      </c>
      <c r="Y18" s="187">
        <v>157457.15036636268</v>
      </c>
      <c r="Z18" s="187">
        <f t="shared" si="6"/>
        <v>823434.07850000006</v>
      </c>
      <c r="AA18" s="187"/>
      <c r="AB18" s="187">
        <f t="shared" si="7"/>
        <v>27022.00348152536</v>
      </c>
      <c r="AC18" s="187">
        <f t="shared" si="7"/>
        <v>130800.00000057208</v>
      </c>
      <c r="AD18" s="187">
        <f t="shared" si="7"/>
        <v>0</v>
      </c>
      <c r="AE18" s="187"/>
      <c r="AF18" s="187">
        <f t="shared" si="8"/>
        <v>0</v>
      </c>
      <c r="AG18" s="187">
        <f t="shared" si="8"/>
        <v>0</v>
      </c>
      <c r="AH18" s="187">
        <f t="shared" si="8"/>
        <v>0</v>
      </c>
      <c r="AI18" s="187">
        <f t="shared" si="8"/>
        <v>0</v>
      </c>
      <c r="AJ18" s="187">
        <f t="shared" si="8"/>
        <v>0</v>
      </c>
      <c r="AK18" s="187">
        <f t="shared" si="8"/>
        <v>0</v>
      </c>
      <c r="AL18" s="187">
        <f t="shared" si="8"/>
        <v>0</v>
      </c>
    </row>
    <row r="19" spans="1:38" x14ac:dyDescent="0.25">
      <c r="A19">
        <v>365</v>
      </c>
      <c r="B19">
        <v>2035</v>
      </c>
      <c r="C19" s="187" cm="1">
        <f t="array" ref="C19">INDEX('Storage Expansion'!$C:$R,MATCH(C$1,'Storage Expansion'!$C:$C,0)+($B19-2022),VLOOKUP($Z$41,'Notes and Scenario Inputs'!$B$19:$D$28,3,FALSE)+7)*($A19/31)*(1/$D$37)*1000</f>
        <v>0</v>
      </c>
      <c r="D19" s="187" cm="1">
        <f t="array" ref="D19">INDEX('Storage Expansion'!$C:$R,MATCH(D$1,'Storage Expansion'!$C:$C,0)+($B19-2022),VLOOKUP($Z$41,'Notes and Scenario Inputs'!$B$19:$D$28,3,FALSE)+7)*($A19/31)*(1/$D$37)*1000</f>
        <v>0</v>
      </c>
      <c r="E19" s="187" cm="1">
        <f t="array" ref="E19">INDEX('Storage Expansion'!$C:$R,MATCH(E$1,'Storage Expansion'!$C:$C,0)+($B19-2022),VLOOKUP($Z$41,'Notes and Scenario Inputs'!$B$19:$D$28,3,FALSE)+7)*($A19/31)*(1/$D$38)*1000</f>
        <v>0</v>
      </c>
      <c r="F19" s="187" cm="1">
        <f t="array" ref="F19">INDEX('Storage Expansion'!$C:$R,MATCH(F$1,'Storage Expansion'!$C:$C,0)+($B19-2022),VLOOKUP($Z$41,'Notes and Scenario Inputs'!$B$19:$D$28,3,FALSE)+7)*($A19/31)*(1/$D$38)*1000</f>
        <v>0</v>
      </c>
      <c r="G19" s="187">
        <f t="shared" si="1"/>
        <v>0</v>
      </c>
      <c r="H19" s="187" cm="1">
        <f t="array" ref="H19">INDEX('Storage Expansion'!$C:$R,MATCH(H$1,'Storage Expansion'!$C:$C,0)+($B19-2022),VLOOKUP($Z$41,'Notes and Scenario Inputs'!$B$19:$D$28,3,FALSE)+7)*($A19/31)*(1/$D$38)*1000</f>
        <v>0</v>
      </c>
      <c r="I19" s="187" cm="1">
        <f t="array" ref="I19">INDEX('Storage Expansion'!$C:$R,MATCH(I$1,'Storage Expansion'!$C:$C,0)+($B19-2022),VLOOKUP($Z$41,'Notes and Scenario Inputs'!$B$19:$D$28,3,FALSE)+7)*($A19/31)*(1/$D$39)*1000</f>
        <v>0</v>
      </c>
      <c r="J19" s="187"/>
      <c r="K19" s="187" cm="1">
        <f t="array" ref="K19">INDEX('Pipeline Expansion'!$C:$R,MATCH(K$1,'Pipeline Expansion'!$C:$C,0)+($B19-2022),VLOOKUP($Z$41,'Notes and Scenario Inputs'!$B$19:$D$28,3,FALSE)+7)*($A19/30)*1000</f>
        <v>0</v>
      </c>
      <c r="L19" s="187" cm="1">
        <f t="array" ref="L19">INDEX('Pipeline Expansion'!$C:$R,MATCH(L$1,'Pipeline Expansion'!$C:$C,0)+($B19-2022),VLOOKUP($Z$41,'Notes and Scenario Inputs'!$B$19:$D$28,3,FALSE)+7)*($A19/30)*1000</f>
        <v>0</v>
      </c>
      <c r="M19" s="187" cm="1">
        <f t="array" ref="M19">INDEX('Pipeline Expansion'!$C:$R,MATCH(M$1,'Pipeline Expansion'!$C:$C,0)+($B19-2022),VLOOKUP($Z$41,'Notes and Scenario Inputs'!$B$19:$D$28,3,FALSE)+7)*($A19/30)*1000</f>
        <v>0</v>
      </c>
      <c r="N19" s="187" cm="1">
        <f t="array" ref="N19">INDEX('Pipeline Expansion'!$C:$R,MATCH(N$1,'Pipeline Expansion'!$C:$C,0)+($B19-2022),VLOOKUP($Z$41,'Notes and Scenario Inputs'!$B$19:$D$28,3,FALSE)+7)*($A19/30)*1000</f>
        <v>0</v>
      </c>
      <c r="O19" s="187" cm="1">
        <f t="array" ref="O19">INDEX('Pipeline Expansion'!$C:$R,MATCH(O$1,'Pipeline Expansion'!$C:$C,0)+($B19-2022),VLOOKUP($Z$41,'Notes and Scenario Inputs'!$B$19:$D$28,3,FALSE)+7)*($A19/30)*1000</f>
        <v>0</v>
      </c>
      <c r="P19" s="187" cm="1">
        <f t="array" ref="P19">INDEX('Pipeline Expansion'!$C:$R,MATCH(P$1,'Pipeline Expansion'!$C:$C,0)+($B19-2022),VLOOKUP($Z$41,'Notes and Scenario Inputs'!$B$19:$D$28,3,FALSE)+7)*($A19/30)*1000</f>
        <v>0</v>
      </c>
      <c r="Q19" s="187" cm="1">
        <f t="array" ref="Q19">INDEX('Pipeline Expansion'!$C:$R,MATCH(Q$1,'Pipeline Expansion'!$C:$C,0)+($B19-2022),VLOOKUP($Z$41,'Notes and Scenario Inputs'!$B$19:$D$28,3,FALSE)+7)*($A19/30)*1000</f>
        <v>0</v>
      </c>
      <c r="R19" s="199">
        <f t="shared" si="2"/>
        <v>2034</v>
      </c>
      <c r="S19">
        <v>2035</v>
      </c>
      <c r="T19" t="str">
        <f t="shared" si="3"/>
        <v>2034-35</v>
      </c>
      <c r="U19" s="187">
        <v>799434.07850000006</v>
      </c>
      <c r="V19" s="187">
        <f>VLOOKUP($B19,'[1]Peak Day Forecast'!$A:$M,VLOOKUP($Z$41,[1]Scenarios!$B:$D,3,FALSE)+3,FALSE)</f>
        <v>812964</v>
      </c>
      <c r="W19" s="187">
        <v>24000</v>
      </c>
      <c r="X19" s="187">
        <f t="shared" si="5"/>
        <v>836964</v>
      </c>
      <c r="Y19" s="187">
        <v>166711.52905078442</v>
      </c>
      <c r="Z19" s="187">
        <f t="shared" si="6"/>
        <v>823434.07850000006</v>
      </c>
      <c r="AA19" s="187"/>
      <c r="AB19" s="187">
        <f t="shared" si="7"/>
        <v>27022.00348152536</v>
      </c>
      <c r="AC19" s="187">
        <f t="shared" si="7"/>
        <v>130800.00000057208</v>
      </c>
      <c r="AD19" s="187">
        <f t="shared" si="7"/>
        <v>0</v>
      </c>
      <c r="AE19" s="187"/>
      <c r="AF19" s="187">
        <f t="shared" si="8"/>
        <v>0</v>
      </c>
      <c r="AG19" s="187">
        <f t="shared" si="8"/>
        <v>0</v>
      </c>
      <c r="AH19" s="187">
        <f t="shared" si="8"/>
        <v>0</v>
      </c>
      <c r="AI19" s="187">
        <f t="shared" si="8"/>
        <v>0</v>
      </c>
      <c r="AJ19" s="187">
        <f t="shared" si="8"/>
        <v>0</v>
      </c>
      <c r="AK19" s="187">
        <f t="shared" si="8"/>
        <v>0</v>
      </c>
      <c r="AL19" s="187">
        <f t="shared" si="8"/>
        <v>0</v>
      </c>
    </row>
    <row r="20" spans="1:38" x14ac:dyDescent="0.25">
      <c r="A20">
        <v>366</v>
      </c>
      <c r="B20">
        <v>2036</v>
      </c>
      <c r="C20" s="187" cm="1">
        <f t="array" ref="C20">INDEX('Storage Expansion'!$C:$R,MATCH(C$1,'Storage Expansion'!$C:$C,0)+($B20-2022),VLOOKUP($Z$41,'Notes and Scenario Inputs'!$B$19:$D$28,3,FALSE)+7)*($A20/31)*(1/$D$37)*1000</f>
        <v>0</v>
      </c>
      <c r="D20" s="187" cm="1">
        <f t="array" ref="D20">INDEX('Storage Expansion'!$C:$R,MATCH(D$1,'Storage Expansion'!$C:$C,0)+($B20-2022),VLOOKUP($Z$41,'Notes and Scenario Inputs'!$B$19:$D$28,3,FALSE)+7)*($A20/31)*(1/$D$37)*1000</f>
        <v>0</v>
      </c>
      <c r="E20" s="187" cm="1">
        <f t="array" ref="E20">INDEX('Storage Expansion'!$C:$R,MATCH(E$1,'Storage Expansion'!$C:$C,0)+($B20-2022),VLOOKUP($Z$41,'Notes and Scenario Inputs'!$B$19:$D$28,3,FALSE)+7)*($A20/31)*(1/$D$38)*1000</f>
        <v>0</v>
      </c>
      <c r="F20" s="187" cm="1">
        <f t="array" ref="F20">INDEX('Storage Expansion'!$C:$R,MATCH(F$1,'Storage Expansion'!$C:$C,0)+($B20-2022),VLOOKUP($Z$41,'Notes and Scenario Inputs'!$B$19:$D$28,3,FALSE)+7)*($A20/31)*(1/$D$38)*1000</f>
        <v>0</v>
      </c>
      <c r="G20" s="187">
        <f t="shared" si="1"/>
        <v>0</v>
      </c>
      <c r="H20" s="187" cm="1">
        <f t="array" ref="H20">INDEX('Storage Expansion'!$C:$R,MATCH(H$1,'Storage Expansion'!$C:$C,0)+($B20-2022),VLOOKUP($Z$41,'Notes and Scenario Inputs'!$B$19:$D$28,3,FALSE)+7)*($A20/31)*(1/$D$38)*1000</f>
        <v>0</v>
      </c>
      <c r="I20" s="187" cm="1">
        <f t="array" ref="I20">INDEX('Storage Expansion'!$C:$R,MATCH(I$1,'Storage Expansion'!$C:$C,0)+($B20-2022),VLOOKUP($Z$41,'Notes and Scenario Inputs'!$B$19:$D$28,3,FALSE)+7)*($A20/31)*(1/$D$39)*1000</f>
        <v>0</v>
      </c>
      <c r="J20" s="187"/>
      <c r="K20" s="187" cm="1">
        <f t="array" ref="K20">INDEX('Pipeline Expansion'!$C:$R,MATCH(K$1,'Pipeline Expansion'!$C:$C,0)+($B20-2022),VLOOKUP($Z$41,'Notes and Scenario Inputs'!$B$19:$D$28,3,FALSE)+7)*($A20/30)*1000</f>
        <v>0</v>
      </c>
      <c r="L20" s="187" cm="1">
        <f t="array" ref="L20">INDEX('Pipeline Expansion'!$C:$R,MATCH(L$1,'Pipeline Expansion'!$C:$C,0)+($B20-2022),VLOOKUP($Z$41,'Notes and Scenario Inputs'!$B$19:$D$28,3,FALSE)+7)*($A20/30)*1000</f>
        <v>0</v>
      </c>
      <c r="M20" s="187" cm="1">
        <f t="array" ref="M20">INDEX('Pipeline Expansion'!$C:$R,MATCH(M$1,'Pipeline Expansion'!$C:$C,0)+($B20-2022),VLOOKUP($Z$41,'Notes and Scenario Inputs'!$B$19:$D$28,3,FALSE)+7)*($A20/30)*1000</f>
        <v>0</v>
      </c>
      <c r="N20" s="187" cm="1">
        <f t="array" ref="N20">INDEX('Pipeline Expansion'!$C:$R,MATCH(N$1,'Pipeline Expansion'!$C:$C,0)+($B20-2022),VLOOKUP($Z$41,'Notes and Scenario Inputs'!$B$19:$D$28,3,FALSE)+7)*($A20/30)*1000</f>
        <v>0</v>
      </c>
      <c r="O20" s="187" cm="1">
        <f t="array" ref="O20">INDEX('Pipeline Expansion'!$C:$R,MATCH(O$1,'Pipeline Expansion'!$C:$C,0)+($B20-2022),VLOOKUP($Z$41,'Notes and Scenario Inputs'!$B$19:$D$28,3,FALSE)+7)*($A20/30)*1000</f>
        <v>0</v>
      </c>
      <c r="P20" s="187" cm="1">
        <f t="array" ref="P20">INDEX('Pipeline Expansion'!$C:$R,MATCH(P$1,'Pipeline Expansion'!$C:$C,0)+($B20-2022),VLOOKUP($Z$41,'Notes and Scenario Inputs'!$B$19:$D$28,3,FALSE)+7)*($A20/30)*1000</f>
        <v>0</v>
      </c>
      <c r="Q20" s="187" cm="1">
        <f t="array" ref="Q20">INDEX('Pipeline Expansion'!$C:$R,MATCH(Q$1,'Pipeline Expansion'!$C:$C,0)+($B20-2022),VLOOKUP($Z$41,'Notes and Scenario Inputs'!$B$19:$D$28,3,FALSE)+7)*($A20/30)*1000</f>
        <v>0</v>
      </c>
      <c r="R20" s="199">
        <f t="shared" si="2"/>
        <v>2035</v>
      </c>
      <c r="S20">
        <v>2036</v>
      </c>
      <c r="T20" t="str">
        <f t="shared" si="3"/>
        <v>2035-36</v>
      </c>
      <c r="U20" s="187">
        <v>799434.07850000006</v>
      </c>
      <c r="V20" s="187">
        <f>VLOOKUP($B20,'[1]Peak Day Forecast'!$A:$M,VLOOKUP($Z$41,[1]Scenarios!$B:$D,3,FALSE)+3,FALSE)</f>
        <v>795768</v>
      </c>
      <c r="W20" s="187">
        <v>24000</v>
      </c>
      <c r="X20" s="187">
        <f t="shared" si="5"/>
        <v>819768</v>
      </c>
      <c r="Y20" s="187">
        <v>175618.51891052956</v>
      </c>
      <c r="Z20" s="187">
        <f t="shared" si="6"/>
        <v>823434.07850000006</v>
      </c>
      <c r="AA20" s="187"/>
      <c r="AB20" s="187">
        <f t="shared" si="7"/>
        <v>27022.00348152536</v>
      </c>
      <c r="AC20" s="187">
        <f t="shared" si="7"/>
        <v>130800.00000057208</v>
      </c>
      <c r="AD20" s="187">
        <f t="shared" si="7"/>
        <v>0</v>
      </c>
      <c r="AE20" s="187"/>
      <c r="AF20" s="187">
        <f t="shared" si="8"/>
        <v>0</v>
      </c>
      <c r="AG20" s="187">
        <f t="shared" si="8"/>
        <v>0</v>
      </c>
      <c r="AH20" s="187">
        <f t="shared" si="8"/>
        <v>0</v>
      </c>
      <c r="AI20" s="187">
        <f t="shared" si="8"/>
        <v>0</v>
      </c>
      <c r="AJ20" s="187">
        <f t="shared" si="8"/>
        <v>0</v>
      </c>
      <c r="AK20" s="187">
        <f t="shared" si="8"/>
        <v>0</v>
      </c>
      <c r="AL20" s="187">
        <f t="shared" si="8"/>
        <v>0</v>
      </c>
    </row>
    <row r="21" spans="1:38" x14ac:dyDescent="0.25">
      <c r="A21">
        <v>365</v>
      </c>
      <c r="B21">
        <v>2037</v>
      </c>
      <c r="C21" s="187" cm="1">
        <f t="array" ref="C21">INDEX('Storage Expansion'!$C:$R,MATCH(C$1,'Storage Expansion'!$C:$C,0)+($B21-2022),VLOOKUP($Z$41,'Notes and Scenario Inputs'!$B$19:$D$28,3,FALSE)+7)*($A21/31)*(1/$D$37)*1000</f>
        <v>0</v>
      </c>
      <c r="D21" s="187" cm="1">
        <f t="array" ref="D21">INDEX('Storage Expansion'!$C:$R,MATCH(D$1,'Storage Expansion'!$C:$C,0)+($B21-2022),VLOOKUP($Z$41,'Notes and Scenario Inputs'!$B$19:$D$28,3,FALSE)+7)*($A21/31)*(1/$D$37)*1000</f>
        <v>0</v>
      </c>
      <c r="E21" s="187" cm="1">
        <f t="array" ref="E21">INDEX('Storage Expansion'!$C:$R,MATCH(E$1,'Storage Expansion'!$C:$C,0)+($B21-2022),VLOOKUP($Z$41,'Notes and Scenario Inputs'!$B$19:$D$28,3,FALSE)+7)*($A21/31)*(1/$D$38)*1000</f>
        <v>0</v>
      </c>
      <c r="F21" s="187" cm="1">
        <f t="array" ref="F21">INDEX('Storage Expansion'!$C:$R,MATCH(F$1,'Storage Expansion'!$C:$C,0)+($B21-2022),VLOOKUP($Z$41,'Notes and Scenario Inputs'!$B$19:$D$28,3,FALSE)+7)*($A21/31)*(1/$D$38)*1000</f>
        <v>0</v>
      </c>
      <c r="G21" s="187">
        <f t="shared" si="1"/>
        <v>0</v>
      </c>
      <c r="H21" s="187" cm="1">
        <f t="array" ref="H21">INDEX('Storage Expansion'!$C:$R,MATCH(H$1,'Storage Expansion'!$C:$C,0)+($B21-2022),VLOOKUP($Z$41,'Notes and Scenario Inputs'!$B$19:$D$28,3,FALSE)+7)*($A21/31)*(1/$D$38)*1000</f>
        <v>0</v>
      </c>
      <c r="I21" s="187" cm="1">
        <f t="array" ref="I21">INDEX('Storage Expansion'!$C:$R,MATCH(I$1,'Storage Expansion'!$C:$C,0)+($B21-2022),VLOOKUP($Z$41,'Notes and Scenario Inputs'!$B$19:$D$28,3,FALSE)+7)*($A21/31)*(1/$D$39)*1000</f>
        <v>0</v>
      </c>
      <c r="J21" s="187"/>
      <c r="K21" s="187" cm="1">
        <f t="array" ref="K21">INDEX('Pipeline Expansion'!$C:$R,MATCH(K$1,'Pipeline Expansion'!$C:$C,0)+($B21-2022),VLOOKUP($Z$41,'Notes and Scenario Inputs'!$B$19:$D$28,3,FALSE)+7)*($A21/30)*1000</f>
        <v>0</v>
      </c>
      <c r="L21" s="187" cm="1">
        <f t="array" ref="L21">INDEX('Pipeline Expansion'!$C:$R,MATCH(L$1,'Pipeline Expansion'!$C:$C,0)+($B21-2022),VLOOKUP($Z$41,'Notes and Scenario Inputs'!$B$19:$D$28,3,FALSE)+7)*($A21/30)*1000</f>
        <v>0</v>
      </c>
      <c r="M21" s="187" cm="1">
        <f t="array" ref="M21">INDEX('Pipeline Expansion'!$C:$R,MATCH(M$1,'Pipeline Expansion'!$C:$C,0)+($B21-2022),VLOOKUP($Z$41,'Notes and Scenario Inputs'!$B$19:$D$28,3,FALSE)+7)*($A21/30)*1000</f>
        <v>0</v>
      </c>
      <c r="N21" s="187" cm="1">
        <f t="array" ref="N21">INDEX('Pipeline Expansion'!$C:$R,MATCH(N$1,'Pipeline Expansion'!$C:$C,0)+($B21-2022),VLOOKUP($Z$41,'Notes and Scenario Inputs'!$B$19:$D$28,3,FALSE)+7)*($A21/30)*1000</f>
        <v>0</v>
      </c>
      <c r="O21" s="187" cm="1">
        <f t="array" ref="O21">INDEX('Pipeline Expansion'!$C:$R,MATCH(O$1,'Pipeline Expansion'!$C:$C,0)+($B21-2022),VLOOKUP($Z$41,'Notes and Scenario Inputs'!$B$19:$D$28,3,FALSE)+7)*($A21/30)*1000</f>
        <v>0</v>
      </c>
      <c r="P21" s="187" cm="1">
        <f t="array" ref="P21">INDEX('Pipeline Expansion'!$C:$R,MATCH(P$1,'Pipeline Expansion'!$C:$C,0)+($B21-2022),VLOOKUP($Z$41,'Notes and Scenario Inputs'!$B$19:$D$28,3,FALSE)+7)*($A21/30)*1000</f>
        <v>0</v>
      </c>
      <c r="Q21" s="187" cm="1">
        <f t="array" ref="Q21">INDEX('Pipeline Expansion'!$C:$R,MATCH(Q$1,'Pipeline Expansion'!$C:$C,0)+($B21-2022),VLOOKUP($Z$41,'Notes and Scenario Inputs'!$B$19:$D$28,3,FALSE)+7)*($A21/30)*1000</f>
        <v>0</v>
      </c>
      <c r="R21" s="199">
        <f t="shared" si="2"/>
        <v>2036</v>
      </c>
      <c r="S21">
        <v>2037</v>
      </c>
      <c r="T21" t="str">
        <f t="shared" si="3"/>
        <v>2036-37</v>
      </c>
      <c r="U21" s="187">
        <v>799434.07850000006</v>
      </c>
      <c r="V21" s="187">
        <f>VLOOKUP($B21,'[1]Peak Day Forecast'!$A:$M,VLOOKUP($Z$41,[1]Scenarios!$B:$D,3,FALSE)+3,FALSE)</f>
        <v>777792</v>
      </c>
      <c r="W21" s="187">
        <v>24000</v>
      </c>
      <c r="X21" s="187">
        <f t="shared" si="5"/>
        <v>801792</v>
      </c>
      <c r="Y21" s="187">
        <v>184159.30774100052</v>
      </c>
      <c r="Z21" s="187">
        <f t="shared" si="6"/>
        <v>823434.07850000006</v>
      </c>
      <c r="AA21" s="187"/>
      <c r="AB21" s="187">
        <f t="shared" si="7"/>
        <v>27022.00348152536</v>
      </c>
      <c r="AC21" s="187">
        <f t="shared" si="7"/>
        <v>130800.00000057208</v>
      </c>
      <c r="AD21" s="187">
        <f t="shared" si="7"/>
        <v>0</v>
      </c>
      <c r="AE21" s="187"/>
      <c r="AF21" s="187">
        <f t="shared" si="8"/>
        <v>0</v>
      </c>
      <c r="AG21" s="187">
        <f t="shared" si="8"/>
        <v>0</v>
      </c>
      <c r="AH21" s="187">
        <f t="shared" si="8"/>
        <v>0</v>
      </c>
      <c r="AI21" s="187">
        <f t="shared" si="8"/>
        <v>0</v>
      </c>
      <c r="AJ21" s="187">
        <f t="shared" si="8"/>
        <v>0</v>
      </c>
      <c r="AK21" s="187">
        <f t="shared" si="8"/>
        <v>0</v>
      </c>
      <c r="AL21" s="187">
        <f t="shared" si="8"/>
        <v>0</v>
      </c>
    </row>
    <row r="22" spans="1:38" x14ac:dyDescent="0.25">
      <c r="A22">
        <v>365</v>
      </c>
      <c r="B22">
        <v>2038</v>
      </c>
      <c r="C22" s="187" cm="1">
        <f t="array" ref="C22">INDEX('Storage Expansion'!$C:$R,MATCH(C$1,'Storage Expansion'!$C:$C,0)+($B22-2022),VLOOKUP($Z$41,'Notes and Scenario Inputs'!$B$19:$D$28,3,FALSE)+7)*($A22/31)*(1/$D$37)*1000</f>
        <v>0</v>
      </c>
      <c r="D22" s="187" cm="1">
        <f t="array" ref="D22">INDEX('Storage Expansion'!$C:$R,MATCH(D$1,'Storage Expansion'!$C:$C,0)+($B22-2022),VLOOKUP($Z$41,'Notes and Scenario Inputs'!$B$19:$D$28,3,FALSE)+7)*($A22/31)*(1/$D$37)*1000</f>
        <v>0</v>
      </c>
      <c r="E22" s="187" cm="1">
        <f t="array" ref="E22">INDEX('Storage Expansion'!$C:$R,MATCH(E$1,'Storage Expansion'!$C:$C,0)+($B22-2022),VLOOKUP($Z$41,'Notes and Scenario Inputs'!$B$19:$D$28,3,FALSE)+7)*($A22/31)*(1/$D$38)*1000</f>
        <v>0</v>
      </c>
      <c r="F22" s="187" cm="1">
        <f t="array" ref="F22">INDEX('Storage Expansion'!$C:$R,MATCH(F$1,'Storage Expansion'!$C:$C,0)+($B22-2022),VLOOKUP($Z$41,'Notes and Scenario Inputs'!$B$19:$D$28,3,FALSE)+7)*($A22/31)*(1/$D$38)*1000</f>
        <v>0</v>
      </c>
      <c r="G22" s="187">
        <f t="shared" si="1"/>
        <v>0</v>
      </c>
      <c r="H22" s="187" cm="1">
        <f t="array" ref="H22">INDEX('Storage Expansion'!$C:$R,MATCH(H$1,'Storage Expansion'!$C:$C,0)+($B22-2022),VLOOKUP($Z$41,'Notes and Scenario Inputs'!$B$19:$D$28,3,FALSE)+7)*($A22/31)*(1/$D$38)*1000</f>
        <v>0</v>
      </c>
      <c r="I22" s="187" cm="1">
        <f t="array" ref="I22">INDEX('Storage Expansion'!$C:$R,MATCH(I$1,'Storage Expansion'!$C:$C,0)+($B22-2022),VLOOKUP($Z$41,'Notes and Scenario Inputs'!$B$19:$D$28,3,FALSE)+7)*($A22/31)*(1/$D$39)*1000</f>
        <v>0</v>
      </c>
      <c r="J22" s="187"/>
      <c r="K22" s="187" cm="1">
        <f t="array" ref="K22">INDEX('Pipeline Expansion'!$C:$R,MATCH(K$1,'Pipeline Expansion'!$C:$C,0)+($B22-2022),VLOOKUP($Z$41,'Notes and Scenario Inputs'!$B$19:$D$28,3,FALSE)+7)*($A22/30)*1000</f>
        <v>0</v>
      </c>
      <c r="L22" s="187" cm="1">
        <f t="array" ref="L22">INDEX('Pipeline Expansion'!$C:$R,MATCH(L$1,'Pipeline Expansion'!$C:$C,0)+($B22-2022),VLOOKUP($Z$41,'Notes and Scenario Inputs'!$B$19:$D$28,3,FALSE)+7)*($A22/30)*1000</f>
        <v>0</v>
      </c>
      <c r="M22" s="187" cm="1">
        <f t="array" ref="M22">INDEX('Pipeline Expansion'!$C:$R,MATCH(M$1,'Pipeline Expansion'!$C:$C,0)+($B22-2022),VLOOKUP($Z$41,'Notes and Scenario Inputs'!$B$19:$D$28,3,FALSE)+7)*($A22/30)*1000</f>
        <v>0</v>
      </c>
      <c r="N22" s="187" cm="1">
        <f t="array" ref="N22">INDEX('Pipeline Expansion'!$C:$R,MATCH(N$1,'Pipeline Expansion'!$C:$C,0)+($B22-2022),VLOOKUP($Z$41,'Notes and Scenario Inputs'!$B$19:$D$28,3,FALSE)+7)*($A22/30)*1000</f>
        <v>0</v>
      </c>
      <c r="O22" s="187" cm="1">
        <f t="array" ref="O22">INDEX('Pipeline Expansion'!$C:$R,MATCH(O$1,'Pipeline Expansion'!$C:$C,0)+($B22-2022),VLOOKUP($Z$41,'Notes and Scenario Inputs'!$B$19:$D$28,3,FALSE)+7)*($A22/30)*1000</f>
        <v>0</v>
      </c>
      <c r="P22" s="187" cm="1">
        <f t="array" ref="P22">INDEX('Pipeline Expansion'!$C:$R,MATCH(P$1,'Pipeline Expansion'!$C:$C,0)+($B22-2022),VLOOKUP($Z$41,'Notes and Scenario Inputs'!$B$19:$D$28,3,FALSE)+7)*($A22/30)*1000</f>
        <v>0</v>
      </c>
      <c r="Q22" s="187" cm="1">
        <f t="array" ref="Q22">INDEX('Pipeline Expansion'!$C:$R,MATCH(Q$1,'Pipeline Expansion'!$C:$C,0)+($B22-2022),VLOOKUP($Z$41,'Notes and Scenario Inputs'!$B$19:$D$28,3,FALSE)+7)*($A22/30)*1000</f>
        <v>0</v>
      </c>
      <c r="R22" s="199">
        <f t="shared" si="2"/>
        <v>2037</v>
      </c>
      <c r="S22">
        <v>2038</v>
      </c>
      <c r="T22" t="str">
        <f t="shared" si="3"/>
        <v>2037-38</v>
      </c>
      <c r="U22" s="187">
        <v>799434.07850000006</v>
      </c>
      <c r="V22" s="187">
        <f>VLOOKUP($B22,'[1]Peak Day Forecast'!$A:$M,VLOOKUP($Z$41,[1]Scenarios!$B:$D,3,FALSE)+3,FALSE)</f>
        <v>759251</v>
      </c>
      <c r="W22" s="187">
        <v>24000</v>
      </c>
      <c r="X22" s="187">
        <f t="shared" si="5"/>
        <v>783251</v>
      </c>
      <c r="Y22" s="187">
        <v>192719.48539304547</v>
      </c>
      <c r="Z22" s="187">
        <f t="shared" si="6"/>
        <v>823434.07850000006</v>
      </c>
      <c r="AA22" s="187"/>
      <c r="AB22" s="187">
        <f t="shared" si="7"/>
        <v>27022.00348152536</v>
      </c>
      <c r="AC22" s="187">
        <f t="shared" si="7"/>
        <v>130800.00000057208</v>
      </c>
      <c r="AD22" s="187">
        <f t="shared" si="7"/>
        <v>0</v>
      </c>
      <c r="AE22" s="187"/>
      <c r="AF22" s="187">
        <f t="shared" si="8"/>
        <v>0</v>
      </c>
      <c r="AG22" s="187">
        <f t="shared" si="8"/>
        <v>0</v>
      </c>
      <c r="AH22" s="187">
        <f t="shared" si="8"/>
        <v>0</v>
      </c>
      <c r="AI22" s="187">
        <f t="shared" si="8"/>
        <v>0</v>
      </c>
      <c r="AJ22" s="187">
        <f t="shared" si="8"/>
        <v>0</v>
      </c>
      <c r="AK22" s="187">
        <f t="shared" si="8"/>
        <v>0</v>
      </c>
      <c r="AL22" s="187">
        <f t="shared" si="8"/>
        <v>0</v>
      </c>
    </row>
    <row r="23" spans="1:38" x14ac:dyDescent="0.25">
      <c r="A23">
        <v>365</v>
      </c>
      <c r="B23">
        <v>2039</v>
      </c>
      <c r="C23" s="187" cm="1">
        <f t="array" ref="C23">INDEX('Storage Expansion'!$C:$R,MATCH(C$1,'Storage Expansion'!$C:$C,0)+($B23-2022),VLOOKUP($Z$41,'Notes and Scenario Inputs'!$B$19:$D$28,3,FALSE)+7)*($A23/31)*(1/$D$37)*1000</f>
        <v>0</v>
      </c>
      <c r="D23" s="187" cm="1">
        <f t="array" ref="D23">INDEX('Storage Expansion'!$C:$R,MATCH(D$1,'Storage Expansion'!$C:$C,0)+($B23-2022),VLOOKUP($Z$41,'Notes and Scenario Inputs'!$B$19:$D$28,3,FALSE)+7)*($A23/31)*(1/$D$37)*1000</f>
        <v>0</v>
      </c>
      <c r="E23" s="187" cm="1">
        <f t="array" ref="E23">INDEX('Storage Expansion'!$C:$R,MATCH(E$1,'Storage Expansion'!$C:$C,0)+($B23-2022),VLOOKUP($Z$41,'Notes and Scenario Inputs'!$B$19:$D$28,3,FALSE)+7)*($A23/31)*(1/$D$38)*1000</f>
        <v>0</v>
      </c>
      <c r="F23" s="187" cm="1">
        <f t="array" ref="F23">INDEX('Storage Expansion'!$C:$R,MATCH(F$1,'Storage Expansion'!$C:$C,0)+($B23-2022),VLOOKUP($Z$41,'Notes and Scenario Inputs'!$B$19:$D$28,3,FALSE)+7)*($A23/31)*(1/$D$38)*1000</f>
        <v>0</v>
      </c>
      <c r="G23" s="187">
        <f t="shared" si="1"/>
        <v>0</v>
      </c>
      <c r="H23" s="187" cm="1">
        <f t="array" ref="H23">INDEX('Storage Expansion'!$C:$R,MATCH(H$1,'Storage Expansion'!$C:$C,0)+($B23-2022),VLOOKUP($Z$41,'Notes and Scenario Inputs'!$B$19:$D$28,3,FALSE)+7)*($A23/31)*(1/$D$38)*1000</f>
        <v>0</v>
      </c>
      <c r="I23" s="187" cm="1">
        <f t="array" ref="I23">INDEX('Storage Expansion'!$C:$R,MATCH(I$1,'Storage Expansion'!$C:$C,0)+($B23-2022),VLOOKUP($Z$41,'Notes and Scenario Inputs'!$B$19:$D$28,3,FALSE)+7)*($A23/31)*(1/$D$39)*1000</f>
        <v>0</v>
      </c>
      <c r="J23" s="187"/>
      <c r="K23" s="187" cm="1">
        <f t="array" ref="K23">INDEX('Pipeline Expansion'!$C:$R,MATCH(K$1,'Pipeline Expansion'!$C:$C,0)+($B23-2022),VLOOKUP($Z$41,'Notes and Scenario Inputs'!$B$19:$D$28,3,FALSE)+7)*($A23/30)*1000</f>
        <v>0</v>
      </c>
      <c r="L23" s="187" cm="1">
        <f t="array" ref="L23">INDEX('Pipeline Expansion'!$C:$R,MATCH(L$1,'Pipeline Expansion'!$C:$C,0)+($B23-2022),VLOOKUP($Z$41,'Notes and Scenario Inputs'!$B$19:$D$28,3,FALSE)+7)*($A23/30)*1000</f>
        <v>0</v>
      </c>
      <c r="M23" s="187" cm="1">
        <f t="array" ref="M23">INDEX('Pipeline Expansion'!$C:$R,MATCH(M$1,'Pipeline Expansion'!$C:$C,0)+($B23-2022),VLOOKUP($Z$41,'Notes and Scenario Inputs'!$B$19:$D$28,3,FALSE)+7)*($A23/30)*1000</f>
        <v>0</v>
      </c>
      <c r="N23" s="187" cm="1">
        <f t="array" ref="N23">INDEX('Pipeline Expansion'!$C:$R,MATCH(N$1,'Pipeline Expansion'!$C:$C,0)+($B23-2022),VLOOKUP($Z$41,'Notes and Scenario Inputs'!$B$19:$D$28,3,FALSE)+7)*($A23/30)*1000</f>
        <v>0</v>
      </c>
      <c r="O23" s="187" cm="1">
        <f t="array" ref="O23">INDEX('Pipeline Expansion'!$C:$R,MATCH(O$1,'Pipeline Expansion'!$C:$C,0)+($B23-2022),VLOOKUP($Z$41,'Notes and Scenario Inputs'!$B$19:$D$28,3,FALSE)+7)*($A23/30)*1000</f>
        <v>0</v>
      </c>
      <c r="P23" s="187" cm="1">
        <f t="array" ref="P23">INDEX('Pipeline Expansion'!$C:$R,MATCH(P$1,'Pipeline Expansion'!$C:$C,0)+($B23-2022),VLOOKUP($Z$41,'Notes and Scenario Inputs'!$B$19:$D$28,3,FALSE)+7)*($A23/30)*1000</f>
        <v>0</v>
      </c>
      <c r="Q23" s="187" cm="1">
        <f t="array" ref="Q23">INDEX('Pipeline Expansion'!$C:$R,MATCH(Q$1,'Pipeline Expansion'!$C:$C,0)+($B23-2022),VLOOKUP($Z$41,'Notes and Scenario Inputs'!$B$19:$D$28,3,FALSE)+7)*($A23/30)*1000</f>
        <v>0</v>
      </c>
      <c r="R23" s="199">
        <f t="shared" si="2"/>
        <v>2038</v>
      </c>
      <c r="S23">
        <v>2039</v>
      </c>
      <c r="T23" t="str">
        <f t="shared" si="3"/>
        <v>2038-39</v>
      </c>
      <c r="U23" s="187">
        <v>799434.07850000006</v>
      </c>
      <c r="V23" s="187">
        <f>VLOOKUP($B23,'[1]Peak Day Forecast'!$A:$M,VLOOKUP($Z$41,[1]Scenarios!$B:$D,3,FALSE)+3,FALSE)</f>
        <v>742399</v>
      </c>
      <c r="W23" s="187">
        <v>24000</v>
      </c>
      <c r="X23" s="187">
        <f t="shared" si="5"/>
        <v>766399</v>
      </c>
      <c r="Y23" s="187">
        <v>201365.80833070516</v>
      </c>
      <c r="Z23" s="187">
        <f t="shared" si="6"/>
        <v>823434.07850000006</v>
      </c>
      <c r="AA23" s="187"/>
      <c r="AB23" s="187">
        <f t="shared" si="7"/>
        <v>27022.00348152536</v>
      </c>
      <c r="AC23" s="187">
        <f t="shared" si="7"/>
        <v>130800.00000057208</v>
      </c>
      <c r="AD23" s="187">
        <f t="shared" si="7"/>
        <v>0</v>
      </c>
      <c r="AE23" s="187"/>
      <c r="AF23" s="187">
        <f t="shared" si="8"/>
        <v>0</v>
      </c>
      <c r="AG23" s="187">
        <f t="shared" si="8"/>
        <v>0</v>
      </c>
      <c r="AH23" s="187">
        <f t="shared" si="8"/>
        <v>0</v>
      </c>
      <c r="AI23" s="187">
        <f t="shared" si="8"/>
        <v>0</v>
      </c>
      <c r="AJ23" s="187">
        <f t="shared" si="8"/>
        <v>0</v>
      </c>
      <c r="AK23" s="187">
        <f t="shared" si="8"/>
        <v>0</v>
      </c>
      <c r="AL23" s="187">
        <f t="shared" si="8"/>
        <v>0</v>
      </c>
    </row>
    <row r="24" spans="1:38" x14ac:dyDescent="0.25">
      <c r="A24">
        <v>366</v>
      </c>
      <c r="B24">
        <v>2040</v>
      </c>
      <c r="C24" s="187" cm="1">
        <f t="array" ref="C24">INDEX('Storage Expansion'!$C:$R,MATCH(C$1,'Storage Expansion'!$C:$C,0)+($B24-2022),VLOOKUP($Z$41,'Notes and Scenario Inputs'!$B$19:$D$28,3,FALSE)+7)*($A24/31)*(1/$D$37)*1000</f>
        <v>0</v>
      </c>
      <c r="D24" s="187" cm="1">
        <f t="array" ref="D24">INDEX('Storage Expansion'!$C:$R,MATCH(D$1,'Storage Expansion'!$C:$C,0)+($B24-2022),VLOOKUP($Z$41,'Notes and Scenario Inputs'!$B$19:$D$28,3,FALSE)+7)*($A24/31)*(1/$D$37)*1000</f>
        <v>0</v>
      </c>
      <c r="E24" s="187" cm="1">
        <f t="array" ref="E24">INDEX('Storage Expansion'!$C:$R,MATCH(E$1,'Storage Expansion'!$C:$C,0)+($B24-2022),VLOOKUP($Z$41,'Notes and Scenario Inputs'!$B$19:$D$28,3,FALSE)+7)*($A24/31)*(1/$D$38)*1000</f>
        <v>0</v>
      </c>
      <c r="F24" s="187" cm="1">
        <f t="array" ref="F24">INDEX('Storage Expansion'!$C:$R,MATCH(F$1,'Storage Expansion'!$C:$C,0)+($B24-2022),VLOOKUP($Z$41,'Notes and Scenario Inputs'!$B$19:$D$28,3,FALSE)+7)*($A24/31)*(1/$D$38)*1000</f>
        <v>0</v>
      </c>
      <c r="G24" s="187">
        <f t="shared" si="1"/>
        <v>0</v>
      </c>
      <c r="H24" s="187" cm="1">
        <f t="array" ref="H24">INDEX('Storage Expansion'!$C:$R,MATCH(H$1,'Storage Expansion'!$C:$C,0)+($B24-2022),VLOOKUP($Z$41,'Notes and Scenario Inputs'!$B$19:$D$28,3,FALSE)+7)*($A24/31)*(1/$D$38)*1000</f>
        <v>0</v>
      </c>
      <c r="I24" s="187" cm="1">
        <f t="array" ref="I24">INDEX('Storage Expansion'!$C:$R,MATCH(I$1,'Storage Expansion'!$C:$C,0)+($B24-2022),VLOOKUP($Z$41,'Notes and Scenario Inputs'!$B$19:$D$28,3,FALSE)+7)*($A24/31)*(1/$D$39)*1000</f>
        <v>0</v>
      </c>
      <c r="J24" s="187"/>
      <c r="K24" s="187" cm="1">
        <f t="array" ref="K24">INDEX('Pipeline Expansion'!$C:$R,MATCH(K$1,'Pipeline Expansion'!$C:$C,0)+($B24-2022),VLOOKUP($Z$41,'Notes and Scenario Inputs'!$B$19:$D$28,3,FALSE)+7)*($A24/30)*1000</f>
        <v>0</v>
      </c>
      <c r="L24" s="187" cm="1">
        <f t="array" ref="L24">INDEX('Pipeline Expansion'!$C:$R,MATCH(L$1,'Pipeline Expansion'!$C:$C,0)+($B24-2022),VLOOKUP($Z$41,'Notes and Scenario Inputs'!$B$19:$D$28,3,FALSE)+7)*($A24/30)*1000</f>
        <v>0</v>
      </c>
      <c r="M24" s="187" cm="1">
        <f t="array" ref="M24">INDEX('Pipeline Expansion'!$C:$R,MATCH(M$1,'Pipeline Expansion'!$C:$C,0)+($B24-2022),VLOOKUP($Z$41,'Notes and Scenario Inputs'!$B$19:$D$28,3,FALSE)+7)*($A24/30)*1000</f>
        <v>0</v>
      </c>
      <c r="N24" s="187" cm="1">
        <f t="array" ref="N24">INDEX('Pipeline Expansion'!$C:$R,MATCH(N$1,'Pipeline Expansion'!$C:$C,0)+($B24-2022),VLOOKUP($Z$41,'Notes and Scenario Inputs'!$B$19:$D$28,3,FALSE)+7)*($A24/30)*1000</f>
        <v>0</v>
      </c>
      <c r="O24" s="187" cm="1">
        <f t="array" ref="O24">INDEX('Pipeline Expansion'!$C:$R,MATCH(O$1,'Pipeline Expansion'!$C:$C,0)+($B24-2022),VLOOKUP($Z$41,'Notes and Scenario Inputs'!$B$19:$D$28,3,FALSE)+7)*($A24/30)*1000</f>
        <v>0</v>
      </c>
      <c r="P24" s="187" cm="1">
        <f t="array" ref="P24">INDEX('Pipeline Expansion'!$C:$R,MATCH(P$1,'Pipeline Expansion'!$C:$C,0)+($B24-2022),VLOOKUP($Z$41,'Notes and Scenario Inputs'!$B$19:$D$28,3,FALSE)+7)*($A24/30)*1000</f>
        <v>0</v>
      </c>
      <c r="Q24" s="187" cm="1">
        <f t="array" ref="Q24">INDEX('Pipeline Expansion'!$C:$R,MATCH(Q$1,'Pipeline Expansion'!$C:$C,0)+($B24-2022),VLOOKUP($Z$41,'Notes and Scenario Inputs'!$B$19:$D$28,3,FALSE)+7)*($A24/30)*1000</f>
        <v>0</v>
      </c>
      <c r="R24" s="199">
        <f t="shared" si="2"/>
        <v>2039</v>
      </c>
      <c r="S24">
        <v>2040</v>
      </c>
      <c r="T24" t="str">
        <f t="shared" si="3"/>
        <v>2039-40</v>
      </c>
      <c r="U24" s="187">
        <v>799434.07850000006</v>
      </c>
      <c r="V24" s="187">
        <f>VLOOKUP($B24,'[1]Peak Day Forecast'!$A:$M,VLOOKUP($Z$41,[1]Scenarios!$B:$D,3,FALSE)+3,FALSE)</f>
        <v>724441</v>
      </c>
      <c r="W24" s="187">
        <v>24000</v>
      </c>
      <c r="X24" s="187">
        <f t="shared" si="5"/>
        <v>748441</v>
      </c>
      <c r="Y24" s="187">
        <v>210089.57362880668</v>
      </c>
      <c r="Z24" s="187">
        <f t="shared" si="6"/>
        <v>823434.07850000006</v>
      </c>
      <c r="AA24" s="187"/>
      <c r="AB24" s="187">
        <f t="shared" ref="AB24:AD34" si="9">IF($S24=2023,IF(ISNA(G24),0,G24),IF(ISNA(G24),0,G24+AB23))</f>
        <v>27022.00348152536</v>
      </c>
      <c r="AC24" s="187">
        <f t="shared" si="9"/>
        <v>130800.00000057208</v>
      </c>
      <c r="AD24" s="187">
        <f t="shared" si="9"/>
        <v>0</v>
      </c>
      <c r="AE24" s="187"/>
      <c r="AF24" s="187">
        <f t="shared" ref="AF24:AL34" si="10">IF($S24=2023,IF(ISNA(K24),0,K24),IF(ISNA(K24),0,K24+AF23))</f>
        <v>0</v>
      </c>
      <c r="AG24" s="187">
        <f t="shared" si="10"/>
        <v>0</v>
      </c>
      <c r="AH24" s="187">
        <f t="shared" si="10"/>
        <v>0</v>
      </c>
      <c r="AI24" s="187">
        <f t="shared" si="10"/>
        <v>0</v>
      </c>
      <c r="AJ24" s="187">
        <f t="shared" si="10"/>
        <v>0</v>
      </c>
      <c r="AK24" s="187">
        <f t="shared" si="10"/>
        <v>0</v>
      </c>
      <c r="AL24" s="187">
        <f t="shared" si="10"/>
        <v>0</v>
      </c>
    </row>
    <row r="25" spans="1:38" x14ac:dyDescent="0.25">
      <c r="A25">
        <v>365</v>
      </c>
      <c r="B25">
        <v>2041</v>
      </c>
      <c r="C25" s="187" cm="1">
        <f t="array" ref="C25">INDEX('Storage Expansion'!$C:$R,MATCH(C$1,'Storage Expansion'!$C:$C,0)+($B25-2022),VLOOKUP($Z$41,'Notes and Scenario Inputs'!$B$19:$D$28,3,FALSE)+7)*($A25/31)*(1/$D$37)*1000</f>
        <v>0</v>
      </c>
      <c r="D25" s="187" cm="1">
        <f t="array" ref="D25">INDEX('Storage Expansion'!$C:$R,MATCH(D$1,'Storage Expansion'!$C:$C,0)+($B25-2022),VLOOKUP($Z$41,'Notes and Scenario Inputs'!$B$19:$D$28,3,FALSE)+7)*($A25/31)*(1/$D$37)*1000</f>
        <v>0</v>
      </c>
      <c r="E25" s="187" cm="1">
        <f t="array" ref="E25">INDEX('Storage Expansion'!$C:$R,MATCH(E$1,'Storage Expansion'!$C:$C,0)+($B25-2022),VLOOKUP($Z$41,'Notes and Scenario Inputs'!$B$19:$D$28,3,FALSE)+7)*($A25/31)*(1/$D$38)*1000</f>
        <v>0</v>
      </c>
      <c r="F25" s="187" cm="1">
        <f t="array" ref="F25">INDEX('Storage Expansion'!$C:$R,MATCH(F$1,'Storage Expansion'!$C:$C,0)+($B25-2022),VLOOKUP($Z$41,'Notes and Scenario Inputs'!$B$19:$D$28,3,FALSE)+7)*($A25/31)*(1/$D$38)*1000</f>
        <v>0</v>
      </c>
      <c r="G25" s="187">
        <f t="shared" si="1"/>
        <v>0</v>
      </c>
      <c r="H25" s="187" cm="1">
        <f t="array" ref="H25">INDEX('Storage Expansion'!$C:$R,MATCH(H$1,'Storage Expansion'!$C:$C,0)+($B25-2022),VLOOKUP($Z$41,'Notes and Scenario Inputs'!$B$19:$D$28,3,FALSE)+7)*($A25/31)*(1/$D$38)*1000</f>
        <v>0</v>
      </c>
      <c r="I25" s="187" cm="1">
        <f t="array" ref="I25">INDEX('Storage Expansion'!$C:$R,MATCH(I$1,'Storage Expansion'!$C:$C,0)+($B25-2022),VLOOKUP($Z$41,'Notes and Scenario Inputs'!$B$19:$D$28,3,FALSE)+7)*($A25/31)*(1/$D$39)*1000</f>
        <v>0</v>
      </c>
      <c r="J25" s="187"/>
      <c r="K25" s="187" cm="1">
        <f t="array" ref="K25">INDEX('Pipeline Expansion'!$C:$R,MATCH(K$1,'Pipeline Expansion'!$C:$C,0)+($B25-2022),VLOOKUP($Z$41,'Notes and Scenario Inputs'!$B$19:$D$28,3,FALSE)+7)*($A25/30)*1000</f>
        <v>0</v>
      </c>
      <c r="L25" s="187" cm="1">
        <f t="array" ref="L25">INDEX('Pipeline Expansion'!$C:$R,MATCH(L$1,'Pipeline Expansion'!$C:$C,0)+($B25-2022),VLOOKUP($Z$41,'Notes and Scenario Inputs'!$B$19:$D$28,3,FALSE)+7)*($A25/30)*1000</f>
        <v>0</v>
      </c>
      <c r="M25" s="187" cm="1">
        <f t="array" ref="M25">INDEX('Pipeline Expansion'!$C:$R,MATCH(M$1,'Pipeline Expansion'!$C:$C,0)+($B25-2022),VLOOKUP($Z$41,'Notes and Scenario Inputs'!$B$19:$D$28,3,FALSE)+7)*($A25/30)*1000</f>
        <v>0</v>
      </c>
      <c r="N25" s="187" cm="1">
        <f t="array" ref="N25">INDEX('Pipeline Expansion'!$C:$R,MATCH(N$1,'Pipeline Expansion'!$C:$C,0)+($B25-2022),VLOOKUP($Z$41,'Notes and Scenario Inputs'!$B$19:$D$28,3,FALSE)+7)*($A25/30)*1000</f>
        <v>0</v>
      </c>
      <c r="O25" s="187" cm="1">
        <f t="array" ref="O25">INDEX('Pipeline Expansion'!$C:$R,MATCH(O$1,'Pipeline Expansion'!$C:$C,0)+($B25-2022),VLOOKUP($Z$41,'Notes and Scenario Inputs'!$B$19:$D$28,3,FALSE)+7)*($A25/30)*1000</f>
        <v>0</v>
      </c>
      <c r="P25" s="187" cm="1">
        <f t="array" ref="P25">INDEX('Pipeline Expansion'!$C:$R,MATCH(P$1,'Pipeline Expansion'!$C:$C,0)+($B25-2022),VLOOKUP($Z$41,'Notes and Scenario Inputs'!$B$19:$D$28,3,FALSE)+7)*($A25/30)*1000</f>
        <v>0</v>
      </c>
      <c r="Q25" s="187" cm="1">
        <f t="array" ref="Q25">INDEX('Pipeline Expansion'!$C:$R,MATCH(Q$1,'Pipeline Expansion'!$C:$C,0)+($B25-2022),VLOOKUP($Z$41,'Notes and Scenario Inputs'!$B$19:$D$28,3,FALSE)+7)*($A25/30)*1000</f>
        <v>0</v>
      </c>
      <c r="R25" s="199">
        <f t="shared" si="2"/>
        <v>2040</v>
      </c>
      <c r="S25">
        <v>2041</v>
      </c>
      <c r="T25" t="str">
        <f t="shared" si="3"/>
        <v>2040-41</v>
      </c>
      <c r="U25" s="187">
        <v>799434.07850000006</v>
      </c>
      <c r="V25" s="187">
        <f>VLOOKUP($B25,'[1]Peak Day Forecast'!$A:$M,VLOOKUP($Z$41,[1]Scenarios!$B:$D,3,FALSE)+3,FALSE)</f>
        <v>706140</v>
      </c>
      <c r="W25" s="187">
        <v>24000</v>
      </c>
      <c r="X25" s="187">
        <f t="shared" si="5"/>
        <v>730140</v>
      </c>
      <c r="Y25" s="187">
        <v>218680.73633319332</v>
      </c>
      <c r="Z25" s="187">
        <f t="shared" si="6"/>
        <v>823434.07850000006</v>
      </c>
      <c r="AA25" s="187"/>
      <c r="AB25" s="187">
        <f t="shared" si="9"/>
        <v>27022.00348152536</v>
      </c>
      <c r="AC25" s="187">
        <f t="shared" si="9"/>
        <v>130800.00000057208</v>
      </c>
      <c r="AD25" s="187">
        <f t="shared" si="9"/>
        <v>0</v>
      </c>
      <c r="AE25" s="187"/>
      <c r="AF25" s="187">
        <f t="shared" si="10"/>
        <v>0</v>
      </c>
      <c r="AG25" s="187">
        <f t="shared" si="10"/>
        <v>0</v>
      </c>
      <c r="AH25" s="187">
        <f t="shared" si="10"/>
        <v>0</v>
      </c>
      <c r="AI25" s="187">
        <f t="shared" si="10"/>
        <v>0</v>
      </c>
      <c r="AJ25" s="187">
        <f t="shared" si="10"/>
        <v>0</v>
      </c>
      <c r="AK25" s="187">
        <f t="shared" si="10"/>
        <v>0</v>
      </c>
      <c r="AL25" s="187">
        <f t="shared" si="10"/>
        <v>0</v>
      </c>
    </row>
    <row r="26" spans="1:38" x14ac:dyDescent="0.25">
      <c r="A26">
        <v>365</v>
      </c>
      <c r="B26">
        <v>2042</v>
      </c>
      <c r="C26" s="187" cm="1">
        <f t="array" ref="C26">INDEX('Storage Expansion'!$C:$R,MATCH(C$1,'Storage Expansion'!$C:$C,0)+($B26-2022),VLOOKUP($Z$41,'Notes and Scenario Inputs'!$B$19:$D$28,3,FALSE)+7)*($A26/31)*(1/$D$37)*1000</f>
        <v>0</v>
      </c>
      <c r="D26" s="187" cm="1">
        <f t="array" ref="D26">INDEX('Storage Expansion'!$C:$R,MATCH(D$1,'Storage Expansion'!$C:$C,0)+($B26-2022),VLOOKUP($Z$41,'Notes and Scenario Inputs'!$B$19:$D$28,3,FALSE)+7)*($A26/31)*(1/$D$37)*1000</f>
        <v>0</v>
      </c>
      <c r="E26" s="187" cm="1">
        <f t="array" ref="E26">INDEX('Storage Expansion'!$C:$R,MATCH(E$1,'Storage Expansion'!$C:$C,0)+($B26-2022),VLOOKUP($Z$41,'Notes and Scenario Inputs'!$B$19:$D$28,3,FALSE)+7)*($A26/31)*(1/$D$38)*1000</f>
        <v>0</v>
      </c>
      <c r="F26" s="187" cm="1">
        <f t="array" ref="F26">INDEX('Storage Expansion'!$C:$R,MATCH(F$1,'Storage Expansion'!$C:$C,0)+($B26-2022),VLOOKUP($Z$41,'Notes and Scenario Inputs'!$B$19:$D$28,3,FALSE)+7)*($A26/31)*(1/$D$38)*1000</f>
        <v>0</v>
      </c>
      <c r="G26" s="187">
        <f t="shared" si="1"/>
        <v>0</v>
      </c>
      <c r="H26" s="187" cm="1">
        <f t="array" ref="H26">INDEX('Storage Expansion'!$C:$R,MATCH(H$1,'Storage Expansion'!$C:$C,0)+($B26-2022),VLOOKUP($Z$41,'Notes and Scenario Inputs'!$B$19:$D$28,3,FALSE)+7)*($A26/31)*(1/$D$38)*1000</f>
        <v>0</v>
      </c>
      <c r="I26" s="187" cm="1">
        <f t="array" ref="I26">INDEX('Storage Expansion'!$C:$R,MATCH(I$1,'Storage Expansion'!$C:$C,0)+($B26-2022),VLOOKUP($Z$41,'Notes and Scenario Inputs'!$B$19:$D$28,3,FALSE)+7)*($A26/31)*(1/$D$39)*1000</f>
        <v>0</v>
      </c>
      <c r="J26" s="187"/>
      <c r="K26" s="187" cm="1">
        <f t="array" ref="K26">INDEX('Pipeline Expansion'!$C:$R,MATCH(K$1,'Pipeline Expansion'!$C:$C,0)+($B26-2022),VLOOKUP($Z$41,'Notes and Scenario Inputs'!$B$19:$D$28,3,FALSE)+7)*($A26/30)*1000</f>
        <v>0</v>
      </c>
      <c r="L26" s="187" cm="1">
        <f t="array" ref="L26">INDEX('Pipeline Expansion'!$C:$R,MATCH(L$1,'Pipeline Expansion'!$C:$C,0)+($B26-2022),VLOOKUP($Z$41,'Notes and Scenario Inputs'!$B$19:$D$28,3,FALSE)+7)*($A26/30)*1000</f>
        <v>0</v>
      </c>
      <c r="M26" s="187" cm="1">
        <f t="array" ref="M26">INDEX('Pipeline Expansion'!$C:$R,MATCH(M$1,'Pipeline Expansion'!$C:$C,0)+($B26-2022),VLOOKUP($Z$41,'Notes and Scenario Inputs'!$B$19:$D$28,3,FALSE)+7)*($A26/30)*1000</f>
        <v>0</v>
      </c>
      <c r="N26" s="187" cm="1">
        <f t="array" ref="N26">INDEX('Pipeline Expansion'!$C:$R,MATCH(N$1,'Pipeline Expansion'!$C:$C,0)+($B26-2022),VLOOKUP($Z$41,'Notes and Scenario Inputs'!$B$19:$D$28,3,FALSE)+7)*($A26/30)*1000</f>
        <v>0</v>
      </c>
      <c r="O26" s="187" cm="1">
        <f t="array" ref="O26">INDEX('Pipeline Expansion'!$C:$R,MATCH(O$1,'Pipeline Expansion'!$C:$C,0)+($B26-2022),VLOOKUP($Z$41,'Notes and Scenario Inputs'!$B$19:$D$28,3,FALSE)+7)*($A26/30)*1000</f>
        <v>0</v>
      </c>
      <c r="P26" s="187" cm="1">
        <f t="array" ref="P26">INDEX('Pipeline Expansion'!$C:$R,MATCH(P$1,'Pipeline Expansion'!$C:$C,0)+($B26-2022),VLOOKUP($Z$41,'Notes and Scenario Inputs'!$B$19:$D$28,3,FALSE)+7)*($A26/30)*1000</f>
        <v>0</v>
      </c>
      <c r="Q26" s="187" cm="1">
        <f t="array" ref="Q26">INDEX('Pipeline Expansion'!$C:$R,MATCH(Q$1,'Pipeline Expansion'!$C:$C,0)+($B26-2022),VLOOKUP($Z$41,'Notes and Scenario Inputs'!$B$19:$D$28,3,FALSE)+7)*($A26/30)*1000</f>
        <v>0</v>
      </c>
      <c r="R26" s="199">
        <f t="shared" si="2"/>
        <v>2041</v>
      </c>
      <c r="S26">
        <v>2042</v>
      </c>
      <c r="T26" t="str">
        <f t="shared" si="3"/>
        <v>2041-42</v>
      </c>
      <c r="U26" s="187">
        <v>799434.07850000006</v>
      </c>
      <c r="V26" s="187">
        <f>VLOOKUP($B26,'[1]Peak Day Forecast'!$A:$M,VLOOKUP($Z$41,[1]Scenarios!$B:$D,3,FALSE)+3,FALSE)</f>
        <v>688401</v>
      </c>
      <c r="W26" s="187">
        <v>24000</v>
      </c>
      <c r="X26" s="187">
        <f t="shared" si="5"/>
        <v>712401</v>
      </c>
      <c r="Y26" s="187">
        <v>226662.54263931082</v>
      </c>
      <c r="Z26" s="187">
        <f t="shared" si="6"/>
        <v>823434.07850000006</v>
      </c>
      <c r="AA26" s="187"/>
      <c r="AB26" s="187">
        <f t="shared" si="9"/>
        <v>27022.00348152536</v>
      </c>
      <c r="AC26" s="187">
        <f t="shared" si="9"/>
        <v>130800.00000057208</v>
      </c>
      <c r="AD26" s="187">
        <f t="shared" si="9"/>
        <v>0</v>
      </c>
      <c r="AE26" s="187"/>
      <c r="AF26" s="187">
        <f t="shared" si="10"/>
        <v>0</v>
      </c>
      <c r="AG26" s="187">
        <f t="shared" si="10"/>
        <v>0</v>
      </c>
      <c r="AH26" s="187">
        <f t="shared" si="10"/>
        <v>0</v>
      </c>
      <c r="AI26" s="187">
        <f t="shared" si="10"/>
        <v>0</v>
      </c>
      <c r="AJ26" s="187">
        <f t="shared" si="10"/>
        <v>0</v>
      </c>
      <c r="AK26" s="187">
        <f t="shared" si="10"/>
        <v>0</v>
      </c>
      <c r="AL26" s="187">
        <f t="shared" si="10"/>
        <v>0</v>
      </c>
    </row>
    <row r="27" spans="1:38" x14ac:dyDescent="0.25">
      <c r="A27">
        <v>365</v>
      </c>
      <c r="B27">
        <v>2043</v>
      </c>
      <c r="C27" s="187" cm="1">
        <f t="array" ref="C27">INDEX('Storage Expansion'!$C:$R,MATCH(C$1,'Storage Expansion'!$C:$C,0)+($B27-2022),VLOOKUP($Z$41,'Notes and Scenario Inputs'!$B$19:$D$28,3,FALSE)+7)*($A27/31)*(1/$D$37)*1000</f>
        <v>0</v>
      </c>
      <c r="D27" s="187" cm="1">
        <f t="array" ref="D27">INDEX('Storage Expansion'!$C:$R,MATCH(D$1,'Storage Expansion'!$C:$C,0)+($B27-2022),VLOOKUP($Z$41,'Notes and Scenario Inputs'!$B$19:$D$28,3,FALSE)+7)*($A27/31)*(1/$D$37)*1000</f>
        <v>0</v>
      </c>
      <c r="E27" s="187" cm="1">
        <f t="array" ref="E27">INDEX('Storage Expansion'!$C:$R,MATCH(E$1,'Storage Expansion'!$C:$C,0)+($B27-2022),VLOOKUP($Z$41,'Notes and Scenario Inputs'!$B$19:$D$28,3,FALSE)+7)*($A27/31)*(1/$D$38)*1000</f>
        <v>0</v>
      </c>
      <c r="F27" s="187" cm="1">
        <f t="array" ref="F27">INDEX('Storage Expansion'!$C:$R,MATCH(F$1,'Storage Expansion'!$C:$C,0)+($B27-2022),VLOOKUP($Z$41,'Notes and Scenario Inputs'!$B$19:$D$28,3,FALSE)+7)*($A27/31)*(1/$D$38)*1000</f>
        <v>0</v>
      </c>
      <c r="G27" s="187">
        <f t="shared" si="1"/>
        <v>0</v>
      </c>
      <c r="H27" s="187" cm="1">
        <f t="array" ref="H27">INDEX('Storage Expansion'!$C:$R,MATCH(H$1,'Storage Expansion'!$C:$C,0)+($B27-2022),VLOOKUP($Z$41,'Notes and Scenario Inputs'!$B$19:$D$28,3,FALSE)+7)*($A27/31)*(1/$D$38)*1000</f>
        <v>0</v>
      </c>
      <c r="I27" s="187" cm="1">
        <f t="array" ref="I27">INDEX('Storage Expansion'!$C:$R,MATCH(I$1,'Storage Expansion'!$C:$C,0)+($B27-2022),VLOOKUP($Z$41,'Notes and Scenario Inputs'!$B$19:$D$28,3,FALSE)+7)*($A27/31)*(1/$D$39)*1000</f>
        <v>0</v>
      </c>
      <c r="J27" s="187"/>
      <c r="K27" s="187" cm="1">
        <f t="array" ref="K27">INDEX('Pipeline Expansion'!$C:$R,MATCH(K$1,'Pipeline Expansion'!$C:$C,0)+($B27-2022),VLOOKUP($Z$41,'Notes and Scenario Inputs'!$B$19:$D$28,3,FALSE)+7)*($A27/30)*1000</f>
        <v>0</v>
      </c>
      <c r="L27" s="187" cm="1">
        <f t="array" ref="L27">INDEX('Pipeline Expansion'!$C:$R,MATCH(L$1,'Pipeline Expansion'!$C:$C,0)+($B27-2022),VLOOKUP($Z$41,'Notes and Scenario Inputs'!$B$19:$D$28,3,FALSE)+7)*($A27/30)*1000</f>
        <v>0</v>
      </c>
      <c r="M27" s="187" cm="1">
        <f t="array" ref="M27">INDEX('Pipeline Expansion'!$C:$R,MATCH(M$1,'Pipeline Expansion'!$C:$C,0)+($B27-2022),VLOOKUP($Z$41,'Notes and Scenario Inputs'!$B$19:$D$28,3,FALSE)+7)*($A27/30)*1000</f>
        <v>0</v>
      </c>
      <c r="N27" s="187" cm="1">
        <f t="array" ref="N27">INDEX('Pipeline Expansion'!$C:$R,MATCH(N$1,'Pipeline Expansion'!$C:$C,0)+($B27-2022),VLOOKUP($Z$41,'Notes and Scenario Inputs'!$B$19:$D$28,3,FALSE)+7)*($A27/30)*1000</f>
        <v>0</v>
      </c>
      <c r="O27" s="187" cm="1">
        <f t="array" ref="O27">INDEX('Pipeline Expansion'!$C:$R,MATCH(O$1,'Pipeline Expansion'!$C:$C,0)+($B27-2022),VLOOKUP($Z$41,'Notes and Scenario Inputs'!$B$19:$D$28,3,FALSE)+7)*($A27/30)*1000</f>
        <v>0</v>
      </c>
      <c r="P27" s="187" cm="1">
        <f t="array" ref="P27">INDEX('Pipeline Expansion'!$C:$R,MATCH(P$1,'Pipeline Expansion'!$C:$C,0)+($B27-2022),VLOOKUP($Z$41,'Notes and Scenario Inputs'!$B$19:$D$28,3,FALSE)+7)*($A27/30)*1000</f>
        <v>0</v>
      </c>
      <c r="Q27" s="187" cm="1">
        <f t="array" ref="Q27">INDEX('Pipeline Expansion'!$C:$R,MATCH(Q$1,'Pipeline Expansion'!$C:$C,0)+($B27-2022),VLOOKUP($Z$41,'Notes and Scenario Inputs'!$B$19:$D$28,3,FALSE)+7)*($A27/30)*1000</f>
        <v>0</v>
      </c>
      <c r="R27" s="199">
        <f t="shared" si="2"/>
        <v>2042</v>
      </c>
      <c r="S27">
        <v>2043</v>
      </c>
      <c r="T27" t="str">
        <f t="shared" si="3"/>
        <v>2042-43</v>
      </c>
      <c r="U27" s="187">
        <v>799434.07850000006</v>
      </c>
      <c r="V27" s="187">
        <f>VLOOKUP($B27,'[1]Peak Day Forecast'!$A:$M,VLOOKUP($Z$41,[1]Scenarios!$B:$D,3,FALSE)+3,FALSE)</f>
        <v>671121</v>
      </c>
      <c r="W27" s="187">
        <v>24000</v>
      </c>
      <c r="X27" s="187">
        <f t="shared" si="5"/>
        <v>695121</v>
      </c>
      <c r="Y27" s="187">
        <v>234581.25119708493</v>
      </c>
      <c r="Z27" s="187">
        <f t="shared" si="6"/>
        <v>823434.07850000006</v>
      </c>
      <c r="AA27" s="187"/>
      <c r="AB27" s="187">
        <f t="shared" si="9"/>
        <v>27022.00348152536</v>
      </c>
      <c r="AC27" s="187">
        <f t="shared" si="9"/>
        <v>130800.00000057208</v>
      </c>
      <c r="AD27" s="187">
        <f t="shared" si="9"/>
        <v>0</v>
      </c>
      <c r="AE27" s="187"/>
      <c r="AF27" s="187">
        <f t="shared" si="10"/>
        <v>0</v>
      </c>
      <c r="AG27" s="187">
        <f t="shared" si="10"/>
        <v>0</v>
      </c>
      <c r="AH27" s="187">
        <f t="shared" si="10"/>
        <v>0</v>
      </c>
      <c r="AI27" s="187">
        <f t="shared" si="10"/>
        <v>0</v>
      </c>
      <c r="AJ27" s="187">
        <f t="shared" si="10"/>
        <v>0</v>
      </c>
      <c r="AK27" s="187">
        <f t="shared" si="10"/>
        <v>0</v>
      </c>
      <c r="AL27" s="187">
        <f t="shared" si="10"/>
        <v>0</v>
      </c>
    </row>
    <row r="28" spans="1:38" x14ac:dyDescent="0.25">
      <c r="A28">
        <v>366</v>
      </c>
      <c r="B28">
        <v>2044</v>
      </c>
      <c r="C28" s="187" cm="1">
        <f t="array" ref="C28">INDEX('Storage Expansion'!$C:$R,MATCH(C$1,'Storage Expansion'!$C:$C,0)+($B28-2022),VLOOKUP($Z$41,'Notes and Scenario Inputs'!$B$19:$D$28,3,FALSE)+7)*($A28/31)*(1/$D$37)*1000</f>
        <v>0</v>
      </c>
      <c r="D28" s="187" cm="1">
        <f t="array" ref="D28">INDEX('Storage Expansion'!$C:$R,MATCH(D$1,'Storage Expansion'!$C:$C,0)+($B28-2022),VLOOKUP($Z$41,'Notes and Scenario Inputs'!$B$19:$D$28,3,FALSE)+7)*($A28/31)*(1/$D$37)*1000</f>
        <v>0</v>
      </c>
      <c r="E28" s="187" cm="1">
        <f t="array" ref="E28">INDEX('Storage Expansion'!$C:$R,MATCH(E$1,'Storage Expansion'!$C:$C,0)+($B28-2022),VLOOKUP($Z$41,'Notes and Scenario Inputs'!$B$19:$D$28,3,FALSE)+7)*($A28/31)*(1/$D$38)*1000</f>
        <v>0</v>
      </c>
      <c r="F28" s="187" cm="1">
        <f t="array" ref="F28">INDEX('Storage Expansion'!$C:$R,MATCH(F$1,'Storage Expansion'!$C:$C,0)+($B28-2022),VLOOKUP($Z$41,'Notes and Scenario Inputs'!$B$19:$D$28,3,FALSE)+7)*($A28/31)*(1/$D$38)*1000</f>
        <v>0</v>
      </c>
      <c r="G28" s="187">
        <f t="shared" si="1"/>
        <v>0</v>
      </c>
      <c r="H28" s="187" cm="1">
        <f t="array" ref="H28">INDEX('Storage Expansion'!$C:$R,MATCH(H$1,'Storage Expansion'!$C:$C,0)+($B28-2022),VLOOKUP($Z$41,'Notes and Scenario Inputs'!$B$19:$D$28,3,FALSE)+7)*($A28/31)*(1/$D$38)*1000</f>
        <v>0</v>
      </c>
      <c r="I28" s="187" cm="1">
        <f t="array" ref="I28">INDEX('Storage Expansion'!$C:$R,MATCH(I$1,'Storage Expansion'!$C:$C,0)+($B28-2022),VLOOKUP($Z$41,'Notes and Scenario Inputs'!$B$19:$D$28,3,FALSE)+7)*($A28/31)*(1/$D$39)*1000</f>
        <v>0</v>
      </c>
      <c r="J28" s="187"/>
      <c r="K28" s="187" cm="1">
        <f t="array" ref="K28">INDEX('Pipeline Expansion'!$C:$R,MATCH(K$1,'Pipeline Expansion'!$C:$C,0)+($B28-2022),VLOOKUP($Z$41,'Notes and Scenario Inputs'!$B$19:$D$28,3,FALSE)+7)*($A28/30)*1000</f>
        <v>0</v>
      </c>
      <c r="L28" s="187" cm="1">
        <f t="array" ref="L28">INDEX('Pipeline Expansion'!$C:$R,MATCH(L$1,'Pipeline Expansion'!$C:$C,0)+($B28-2022),VLOOKUP($Z$41,'Notes and Scenario Inputs'!$B$19:$D$28,3,FALSE)+7)*($A28/30)*1000</f>
        <v>0</v>
      </c>
      <c r="M28" s="187" cm="1">
        <f t="array" ref="M28">INDEX('Pipeline Expansion'!$C:$R,MATCH(M$1,'Pipeline Expansion'!$C:$C,0)+($B28-2022),VLOOKUP($Z$41,'Notes and Scenario Inputs'!$B$19:$D$28,3,FALSE)+7)*($A28/30)*1000</f>
        <v>0</v>
      </c>
      <c r="N28" s="187" cm="1">
        <f t="array" ref="N28">INDEX('Pipeline Expansion'!$C:$R,MATCH(N$1,'Pipeline Expansion'!$C:$C,0)+($B28-2022),VLOOKUP($Z$41,'Notes and Scenario Inputs'!$B$19:$D$28,3,FALSE)+7)*($A28/30)*1000</f>
        <v>0</v>
      </c>
      <c r="O28" s="187" cm="1">
        <f t="array" ref="O28">INDEX('Pipeline Expansion'!$C:$R,MATCH(O$1,'Pipeline Expansion'!$C:$C,0)+($B28-2022),VLOOKUP($Z$41,'Notes and Scenario Inputs'!$B$19:$D$28,3,FALSE)+7)*($A28/30)*1000</f>
        <v>0</v>
      </c>
      <c r="P28" s="187" cm="1">
        <f t="array" ref="P28">INDEX('Pipeline Expansion'!$C:$R,MATCH(P$1,'Pipeline Expansion'!$C:$C,0)+($B28-2022),VLOOKUP($Z$41,'Notes and Scenario Inputs'!$B$19:$D$28,3,FALSE)+7)*($A28/30)*1000</f>
        <v>0</v>
      </c>
      <c r="Q28" s="187" cm="1">
        <f t="array" ref="Q28">INDEX('Pipeline Expansion'!$C:$R,MATCH(Q$1,'Pipeline Expansion'!$C:$C,0)+($B28-2022),VLOOKUP($Z$41,'Notes and Scenario Inputs'!$B$19:$D$28,3,FALSE)+7)*($A28/30)*1000</f>
        <v>0</v>
      </c>
      <c r="R28" s="199">
        <f t="shared" si="2"/>
        <v>2043</v>
      </c>
      <c r="S28">
        <v>2044</v>
      </c>
      <c r="T28" t="str">
        <f t="shared" si="3"/>
        <v>2043-44</v>
      </c>
      <c r="U28" s="187">
        <v>799434.07850000006</v>
      </c>
      <c r="V28" s="187">
        <f>VLOOKUP($B28,'[1]Peak Day Forecast'!$A:$M,VLOOKUP($Z$41,[1]Scenarios!$B:$D,3,FALSE)+3,FALSE)</f>
        <v>653213</v>
      </c>
      <c r="W28" s="187">
        <v>24000</v>
      </c>
      <c r="X28" s="187">
        <f t="shared" si="5"/>
        <v>677213</v>
      </c>
      <c r="Y28" s="187">
        <v>242490.51227431252</v>
      </c>
      <c r="Z28" s="187">
        <f t="shared" si="6"/>
        <v>823434.07850000006</v>
      </c>
      <c r="AA28" s="187"/>
      <c r="AB28" s="187">
        <f t="shared" si="9"/>
        <v>27022.00348152536</v>
      </c>
      <c r="AC28" s="187">
        <f t="shared" si="9"/>
        <v>130800.00000057208</v>
      </c>
      <c r="AD28" s="187">
        <f t="shared" si="9"/>
        <v>0</v>
      </c>
      <c r="AE28" s="187"/>
      <c r="AF28" s="187">
        <f t="shared" si="10"/>
        <v>0</v>
      </c>
      <c r="AG28" s="187">
        <f t="shared" si="10"/>
        <v>0</v>
      </c>
      <c r="AH28" s="187">
        <f t="shared" si="10"/>
        <v>0</v>
      </c>
      <c r="AI28" s="187">
        <f t="shared" si="10"/>
        <v>0</v>
      </c>
      <c r="AJ28" s="187">
        <f t="shared" si="10"/>
        <v>0</v>
      </c>
      <c r="AK28" s="187">
        <f t="shared" si="10"/>
        <v>0</v>
      </c>
      <c r="AL28" s="187">
        <f t="shared" si="10"/>
        <v>0</v>
      </c>
    </row>
    <row r="29" spans="1:38" x14ac:dyDescent="0.25">
      <c r="A29">
        <v>365</v>
      </c>
      <c r="B29">
        <v>2045</v>
      </c>
      <c r="C29" s="187" cm="1">
        <f t="array" ref="C29">INDEX('Storage Expansion'!$C:$R,MATCH(C$1,'Storage Expansion'!$C:$C,0)+($B29-2022),VLOOKUP($Z$41,'Notes and Scenario Inputs'!$B$19:$D$28,3,FALSE)+7)*($A29/31)*(1/$D$37)*1000</f>
        <v>0</v>
      </c>
      <c r="D29" s="187" cm="1">
        <f t="array" ref="D29">INDEX('Storage Expansion'!$C:$R,MATCH(D$1,'Storage Expansion'!$C:$C,0)+($B29-2022),VLOOKUP($Z$41,'Notes and Scenario Inputs'!$B$19:$D$28,3,FALSE)+7)*($A29/31)*(1/$D$37)*1000</f>
        <v>0</v>
      </c>
      <c r="E29" s="187" cm="1">
        <f t="array" ref="E29">INDEX('Storage Expansion'!$C:$R,MATCH(E$1,'Storage Expansion'!$C:$C,0)+($B29-2022),VLOOKUP($Z$41,'Notes and Scenario Inputs'!$B$19:$D$28,3,FALSE)+7)*($A29/31)*(1/$D$38)*1000</f>
        <v>0</v>
      </c>
      <c r="F29" s="187" cm="1">
        <f t="array" ref="F29">INDEX('Storage Expansion'!$C:$R,MATCH(F$1,'Storage Expansion'!$C:$C,0)+($B29-2022),VLOOKUP($Z$41,'Notes and Scenario Inputs'!$B$19:$D$28,3,FALSE)+7)*($A29/31)*(1/$D$38)*1000</f>
        <v>0</v>
      </c>
      <c r="G29" s="187">
        <f t="shared" si="1"/>
        <v>0</v>
      </c>
      <c r="H29" s="187" cm="1">
        <f t="array" ref="H29">INDEX('Storage Expansion'!$C:$R,MATCH(H$1,'Storage Expansion'!$C:$C,0)+($B29-2022),VLOOKUP($Z$41,'Notes and Scenario Inputs'!$B$19:$D$28,3,FALSE)+7)*($A29/31)*(1/$D$38)*1000</f>
        <v>0</v>
      </c>
      <c r="I29" s="187" cm="1">
        <f t="array" ref="I29">INDEX('Storage Expansion'!$C:$R,MATCH(I$1,'Storage Expansion'!$C:$C,0)+($B29-2022),VLOOKUP($Z$41,'Notes and Scenario Inputs'!$B$19:$D$28,3,FALSE)+7)*($A29/31)*(1/$D$39)*1000</f>
        <v>0</v>
      </c>
      <c r="J29" s="187"/>
      <c r="K29" s="187" cm="1">
        <f t="array" ref="K29">INDEX('Pipeline Expansion'!$C:$R,MATCH(K$1,'Pipeline Expansion'!$C:$C,0)+($B29-2022),VLOOKUP($Z$41,'Notes and Scenario Inputs'!$B$19:$D$28,3,FALSE)+7)*($A29/30)*1000</f>
        <v>0</v>
      </c>
      <c r="L29" s="187" cm="1">
        <f t="array" ref="L29">INDEX('Pipeline Expansion'!$C:$R,MATCH(L$1,'Pipeline Expansion'!$C:$C,0)+($B29-2022),VLOOKUP($Z$41,'Notes and Scenario Inputs'!$B$19:$D$28,3,FALSE)+7)*($A29/30)*1000</f>
        <v>0</v>
      </c>
      <c r="M29" s="187" cm="1">
        <f t="array" ref="M29">INDEX('Pipeline Expansion'!$C:$R,MATCH(M$1,'Pipeline Expansion'!$C:$C,0)+($B29-2022),VLOOKUP($Z$41,'Notes and Scenario Inputs'!$B$19:$D$28,3,FALSE)+7)*($A29/30)*1000</f>
        <v>0</v>
      </c>
      <c r="N29" s="187" cm="1">
        <f t="array" ref="N29">INDEX('Pipeline Expansion'!$C:$R,MATCH(N$1,'Pipeline Expansion'!$C:$C,0)+($B29-2022),VLOOKUP($Z$41,'Notes and Scenario Inputs'!$B$19:$D$28,3,FALSE)+7)*($A29/30)*1000</f>
        <v>0</v>
      </c>
      <c r="O29" s="187" cm="1">
        <f t="array" ref="O29">INDEX('Pipeline Expansion'!$C:$R,MATCH(O$1,'Pipeline Expansion'!$C:$C,0)+($B29-2022),VLOOKUP($Z$41,'Notes and Scenario Inputs'!$B$19:$D$28,3,FALSE)+7)*($A29/30)*1000</f>
        <v>0</v>
      </c>
      <c r="P29" s="187" cm="1">
        <f t="array" ref="P29">INDEX('Pipeline Expansion'!$C:$R,MATCH(P$1,'Pipeline Expansion'!$C:$C,0)+($B29-2022),VLOOKUP($Z$41,'Notes and Scenario Inputs'!$B$19:$D$28,3,FALSE)+7)*($A29/30)*1000</f>
        <v>0</v>
      </c>
      <c r="Q29" s="187" cm="1">
        <f t="array" ref="Q29">INDEX('Pipeline Expansion'!$C:$R,MATCH(Q$1,'Pipeline Expansion'!$C:$C,0)+($B29-2022),VLOOKUP($Z$41,'Notes and Scenario Inputs'!$B$19:$D$28,3,FALSE)+7)*($A29/30)*1000</f>
        <v>0</v>
      </c>
      <c r="R29" s="199">
        <f t="shared" si="2"/>
        <v>2044</v>
      </c>
      <c r="S29">
        <v>2045</v>
      </c>
      <c r="T29" t="str">
        <f t="shared" si="3"/>
        <v>2044-45</v>
      </c>
      <c r="U29" s="187">
        <v>799434.07850000006</v>
      </c>
      <c r="V29" s="187">
        <f>VLOOKUP($B29,'[1]Peak Day Forecast'!$A:$M,VLOOKUP($Z$41,[1]Scenarios!$B:$D,3,FALSE)+3,FALSE)</f>
        <v>635105</v>
      </c>
      <c r="W29" s="187">
        <v>24000</v>
      </c>
      <c r="X29" s="187">
        <f t="shared" si="5"/>
        <v>659105</v>
      </c>
      <c r="Y29" s="187">
        <v>250345.63523641828</v>
      </c>
      <c r="Z29" s="187">
        <f t="shared" si="6"/>
        <v>823434.07850000006</v>
      </c>
      <c r="AA29" s="187"/>
      <c r="AB29" s="187">
        <f t="shared" si="9"/>
        <v>27022.00348152536</v>
      </c>
      <c r="AC29" s="187">
        <f t="shared" si="9"/>
        <v>130800.00000057208</v>
      </c>
      <c r="AD29" s="187">
        <f t="shared" si="9"/>
        <v>0</v>
      </c>
      <c r="AE29" s="187"/>
      <c r="AF29" s="187">
        <f t="shared" si="10"/>
        <v>0</v>
      </c>
      <c r="AG29" s="187">
        <f t="shared" si="10"/>
        <v>0</v>
      </c>
      <c r="AH29" s="187">
        <f t="shared" si="10"/>
        <v>0</v>
      </c>
      <c r="AI29" s="187">
        <f t="shared" si="10"/>
        <v>0</v>
      </c>
      <c r="AJ29" s="187">
        <f t="shared" si="10"/>
        <v>0</v>
      </c>
      <c r="AK29" s="187">
        <f t="shared" si="10"/>
        <v>0</v>
      </c>
      <c r="AL29" s="187">
        <f t="shared" si="10"/>
        <v>0</v>
      </c>
    </row>
    <row r="30" spans="1:38" x14ac:dyDescent="0.25">
      <c r="A30">
        <v>365</v>
      </c>
      <c r="B30">
        <v>2046</v>
      </c>
      <c r="C30" s="187" cm="1">
        <f t="array" ref="C30">INDEX('Storage Expansion'!$C:$R,MATCH(C$1,'Storage Expansion'!$C:$C,0)+($B30-2022),VLOOKUP($Z$41,'Notes and Scenario Inputs'!$B$19:$D$28,3,FALSE)+7)*($A30/31)*(1/$D$37)*1000</f>
        <v>0</v>
      </c>
      <c r="D30" s="187" cm="1">
        <f t="array" ref="D30">INDEX('Storage Expansion'!$C:$R,MATCH(D$1,'Storage Expansion'!$C:$C,0)+($B30-2022),VLOOKUP($Z$41,'Notes and Scenario Inputs'!$B$19:$D$28,3,FALSE)+7)*($A30/31)*(1/$D$37)*1000</f>
        <v>0</v>
      </c>
      <c r="E30" s="187" cm="1">
        <f t="array" ref="E30">INDEX('Storage Expansion'!$C:$R,MATCH(E$1,'Storage Expansion'!$C:$C,0)+($B30-2022),VLOOKUP($Z$41,'Notes and Scenario Inputs'!$B$19:$D$28,3,FALSE)+7)*($A30/31)*(1/$D$38)*1000</f>
        <v>0</v>
      </c>
      <c r="F30" s="187" cm="1">
        <f t="array" ref="F30">INDEX('Storage Expansion'!$C:$R,MATCH(F$1,'Storage Expansion'!$C:$C,0)+($B30-2022),VLOOKUP($Z$41,'Notes and Scenario Inputs'!$B$19:$D$28,3,FALSE)+7)*($A30/31)*(1/$D$38)*1000</f>
        <v>0</v>
      </c>
      <c r="G30" s="187">
        <f t="shared" si="1"/>
        <v>0</v>
      </c>
      <c r="H30" s="187" cm="1">
        <f t="array" ref="H30">INDEX('Storage Expansion'!$C:$R,MATCH(H$1,'Storage Expansion'!$C:$C,0)+($B30-2022),VLOOKUP($Z$41,'Notes and Scenario Inputs'!$B$19:$D$28,3,FALSE)+7)*($A30/31)*(1/$D$38)*1000</f>
        <v>0</v>
      </c>
      <c r="I30" s="187" cm="1">
        <f t="array" ref="I30">INDEX('Storage Expansion'!$C:$R,MATCH(I$1,'Storage Expansion'!$C:$C,0)+($B30-2022),VLOOKUP($Z$41,'Notes and Scenario Inputs'!$B$19:$D$28,3,FALSE)+7)*($A30/31)*(1/$D$39)*1000</f>
        <v>0</v>
      </c>
      <c r="J30" s="187"/>
      <c r="K30" s="187" cm="1">
        <f t="array" ref="K30">INDEX('Pipeline Expansion'!$C:$R,MATCH(K$1,'Pipeline Expansion'!$C:$C,0)+($B30-2022),VLOOKUP($Z$41,'Notes and Scenario Inputs'!$B$19:$D$28,3,FALSE)+7)*($A30/30)*1000</f>
        <v>0</v>
      </c>
      <c r="L30" s="187" cm="1">
        <f t="array" ref="L30">INDEX('Pipeline Expansion'!$C:$R,MATCH(L$1,'Pipeline Expansion'!$C:$C,0)+($B30-2022),VLOOKUP($Z$41,'Notes and Scenario Inputs'!$B$19:$D$28,3,FALSE)+7)*($A30/30)*1000</f>
        <v>0</v>
      </c>
      <c r="M30" s="187" cm="1">
        <f t="array" ref="M30">INDEX('Pipeline Expansion'!$C:$R,MATCH(M$1,'Pipeline Expansion'!$C:$C,0)+($B30-2022),VLOOKUP($Z$41,'Notes and Scenario Inputs'!$B$19:$D$28,3,FALSE)+7)*($A30/30)*1000</f>
        <v>0</v>
      </c>
      <c r="N30" s="187" cm="1">
        <f t="array" ref="N30">INDEX('Pipeline Expansion'!$C:$R,MATCH(N$1,'Pipeline Expansion'!$C:$C,0)+($B30-2022),VLOOKUP($Z$41,'Notes and Scenario Inputs'!$B$19:$D$28,3,FALSE)+7)*($A30/30)*1000</f>
        <v>0</v>
      </c>
      <c r="O30" s="187" cm="1">
        <f t="array" ref="O30">INDEX('Pipeline Expansion'!$C:$R,MATCH(O$1,'Pipeline Expansion'!$C:$C,0)+($B30-2022),VLOOKUP($Z$41,'Notes and Scenario Inputs'!$B$19:$D$28,3,FALSE)+7)*($A30/30)*1000</f>
        <v>0</v>
      </c>
      <c r="P30" s="187" cm="1">
        <f t="array" ref="P30">INDEX('Pipeline Expansion'!$C:$R,MATCH(P$1,'Pipeline Expansion'!$C:$C,0)+($B30-2022),VLOOKUP($Z$41,'Notes and Scenario Inputs'!$B$19:$D$28,3,FALSE)+7)*($A30/30)*1000</f>
        <v>0</v>
      </c>
      <c r="Q30" s="187" cm="1">
        <f t="array" ref="Q30">INDEX('Pipeline Expansion'!$C:$R,MATCH(Q$1,'Pipeline Expansion'!$C:$C,0)+($B30-2022),VLOOKUP($Z$41,'Notes and Scenario Inputs'!$B$19:$D$28,3,FALSE)+7)*($A30/30)*1000</f>
        <v>0</v>
      </c>
      <c r="R30" s="199">
        <f t="shared" si="2"/>
        <v>2045</v>
      </c>
      <c r="S30">
        <v>2046</v>
      </c>
      <c r="T30" t="str">
        <f t="shared" si="3"/>
        <v>2045-46</v>
      </c>
      <c r="U30" s="187">
        <v>799434.07850000006</v>
      </c>
      <c r="V30" s="187">
        <f>VLOOKUP($B30,'[1]Peak Day Forecast'!$A:$M,VLOOKUP($Z$41,[1]Scenarios!$B:$D,3,FALSE)+3,FALSE)</f>
        <v>617503</v>
      </c>
      <c r="W30" s="187">
        <v>24000</v>
      </c>
      <c r="X30" s="187">
        <f t="shared" si="5"/>
        <v>641503</v>
      </c>
      <c r="Y30" s="187">
        <v>258285.89391865238</v>
      </c>
      <c r="Z30" s="187">
        <f t="shared" si="6"/>
        <v>823434.07850000006</v>
      </c>
      <c r="AA30" s="187"/>
      <c r="AB30" s="187">
        <f t="shared" si="9"/>
        <v>27022.00348152536</v>
      </c>
      <c r="AC30" s="187">
        <f t="shared" si="9"/>
        <v>130800.00000057208</v>
      </c>
      <c r="AD30" s="187">
        <f t="shared" si="9"/>
        <v>0</v>
      </c>
      <c r="AE30" s="187"/>
      <c r="AF30" s="187">
        <f t="shared" si="10"/>
        <v>0</v>
      </c>
      <c r="AG30" s="187">
        <f t="shared" si="10"/>
        <v>0</v>
      </c>
      <c r="AH30" s="187">
        <f t="shared" si="10"/>
        <v>0</v>
      </c>
      <c r="AI30" s="187">
        <f t="shared" si="10"/>
        <v>0</v>
      </c>
      <c r="AJ30" s="187">
        <f t="shared" si="10"/>
        <v>0</v>
      </c>
      <c r="AK30" s="187">
        <f t="shared" si="10"/>
        <v>0</v>
      </c>
      <c r="AL30" s="187">
        <f t="shared" si="10"/>
        <v>0</v>
      </c>
    </row>
    <row r="31" spans="1:38" x14ac:dyDescent="0.25">
      <c r="A31">
        <v>365</v>
      </c>
      <c r="B31">
        <v>2047</v>
      </c>
      <c r="C31" s="187" cm="1">
        <f t="array" ref="C31">INDEX('Storage Expansion'!$C:$R,MATCH(C$1,'Storage Expansion'!$C:$C,0)+($B31-2022),VLOOKUP($Z$41,'Notes and Scenario Inputs'!$B$19:$D$28,3,FALSE)+7)*($A31/31)*(1/$D$37)*1000</f>
        <v>0</v>
      </c>
      <c r="D31" s="187" cm="1">
        <f t="array" ref="D31">INDEX('Storage Expansion'!$C:$R,MATCH(D$1,'Storage Expansion'!$C:$C,0)+($B31-2022),VLOOKUP($Z$41,'Notes and Scenario Inputs'!$B$19:$D$28,3,FALSE)+7)*($A31/31)*(1/$D$37)*1000</f>
        <v>0</v>
      </c>
      <c r="E31" s="187" cm="1">
        <f t="array" ref="E31">INDEX('Storage Expansion'!$C:$R,MATCH(E$1,'Storage Expansion'!$C:$C,0)+($B31-2022),VLOOKUP($Z$41,'Notes and Scenario Inputs'!$B$19:$D$28,3,FALSE)+7)*($A31/31)*(1/$D$38)*1000</f>
        <v>0</v>
      </c>
      <c r="F31" s="187" cm="1">
        <f t="array" ref="F31">INDEX('Storage Expansion'!$C:$R,MATCH(F$1,'Storage Expansion'!$C:$C,0)+($B31-2022),VLOOKUP($Z$41,'Notes and Scenario Inputs'!$B$19:$D$28,3,FALSE)+7)*($A31/31)*(1/$D$38)*1000</f>
        <v>0</v>
      </c>
      <c r="G31" s="187">
        <f t="shared" si="1"/>
        <v>0</v>
      </c>
      <c r="H31" s="187" cm="1">
        <f t="array" ref="H31">INDEX('Storage Expansion'!$C:$R,MATCH(H$1,'Storage Expansion'!$C:$C,0)+($B31-2022),VLOOKUP($Z$41,'Notes and Scenario Inputs'!$B$19:$D$28,3,FALSE)+7)*($A31/31)*(1/$D$38)*1000</f>
        <v>0</v>
      </c>
      <c r="I31" s="187" cm="1">
        <f t="array" ref="I31">INDEX('Storage Expansion'!$C:$R,MATCH(I$1,'Storage Expansion'!$C:$C,0)+($B31-2022),VLOOKUP($Z$41,'Notes and Scenario Inputs'!$B$19:$D$28,3,FALSE)+7)*($A31/31)*(1/$D$39)*1000</f>
        <v>0</v>
      </c>
      <c r="J31" s="187"/>
      <c r="K31" s="187" cm="1">
        <f t="array" ref="K31">INDEX('Pipeline Expansion'!$C:$R,MATCH(K$1,'Pipeline Expansion'!$C:$C,0)+($B31-2022),VLOOKUP($Z$41,'Notes and Scenario Inputs'!$B$19:$D$28,3,FALSE)+7)*($A31/30)*1000</f>
        <v>0</v>
      </c>
      <c r="L31" s="187" cm="1">
        <f t="array" ref="L31">INDEX('Pipeline Expansion'!$C:$R,MATCH(L$1,'Pipeline Expansion'!$C:$C,0)+($B31-2022),VLOOKUP($Z$41,'Notes and Scenario Inputs'!$B$19:$D$28,3,FALSE)+7)*($A31/30)*1000</f>
        <v>0</v>
      </c>
      <c r="M31" s="187" cm="1">
        <f t="array" ref="M31">INDEX('Pipeline Expansion'!$C:$R,MATCH(M$1,'Pipeline Expansion'!$C:$C,0)+($B31-2022),VLOOKUP($Z$41,'Notes and Scenario Inputs'!$B$19:$D$28,3,FALSE)+7)*($A31/30)*1000</f>
        <v>0</v>
      </c>
      <c r="N31" s="187" cm="1">
        <f t="array" ref="N31">INDEX('Pipeline Expansion'!$C:$R,MATCH(N$1,'Pipeline Expansion'!$C:$C,0)+($B31-2022),VLOOKUP($Z$41,'Notes and Scenario Inputs'!$B$19:$D$28,3,FALSE)+7)*($A31/30)*1000</f>
        <v>0</v>
      </c>
      <c r="O31" s="187" cm="1">
        <f t="array" ref="O31">INDEX('Pipeline Expansion'!$C:$R,MATCH(O$1,'Pipeline Expansion'!$C:$C,0)+($B31-2022),VLOOKUP($Z$41,'Notes and Scenario Inputs'!$B$19:$D$28,3,FALSE)+7)*($A31/30)*1000</f>
        <v>0</v>
      </c>
      <c r="P31" s="187" cm="1">
        <f t="array" ref="P31">INDEX('Pipeline Expansion'!$C:$R,MATCH(P$1,'Pipeline Expansion'!$C:$C,0)+($B31-2022),VLOOKUP($Z$41,'Notes and Scenario Inputs'!$B$19:$D$28,3,FALSE)+7)*($A31/30)*1000</f>
        <v>0</v>
      </c>
      <c r="Q31" s="187" cm="1">
        <f t="array" ref="Q31">INDEX('Pipeline Expansion'!$C:$R,MATCH(Q$1,'Pipeline Expansion'!$C:$C,0)+($B31-2022),VLOOKUP($Z$41,'Notes and Scenario Inputs'!$B$19:$D$28,3,FALSE)+7)*($A31/30)*1000</f>
        <v>0</v>
      </c>
      <c r="R31" s="199">
        <f t="shared" si="2"/>
        <v>2046</v>
      </c>
      <c r="S31">
        <v>2047</v>
      </c>
      <c r="T31" t="str">
        <f t="shared" si="3"/>
        <v>2046-47</v>
      </c>
      <c r="U31" s="187">
        <v>799434.07850000006</v>
      </c>
      <c r="V31" s="187">
        <f>VLOOKUP($B31,'[1]Peak Day Forecast'!$A:$M,VLOOKUP($Z$41,[1]Scenarios!$B:$D,3,FALSE)+3,FALSE)</f>
        <v>598871</v>
      </c>
      <c r="W31" s="187">
        <v>24000</v>
      </c>
      <c r="X31" s="187">
        <f t="shared" si="5"/>
        <v>622871</v>
      </c>
      <c r="Y31" s="187">
        <v>266326.26147072332</v>
      </c>
      <c r="Z31" s="187">
        <f t="shared" si="6"/>
        <v>823434.07850000006</v>
      </c>
      <c r="AA31" s="187"/>
      <c r="AB31" s="187">
        <f t="shared" si="9"/>
        <v>27022.00348152536</v>
      </c>
      <c r="AC31" s="187">
        <f t="shared" si="9"/>
        <v>130800.00000057208</v>
      </c>
      <c r="AD31" s="187">
        <f t="shared" si="9"/>
        <v>0</v>
      </c>
      <c r="AE31" s="187"/>
      <c r="AF31" s="187">
        <f t="shared" si="10"/>
        <v>0</v>
      </c>
      <c r="AG31" s="187">
        <f t="shared" si="10"/>
        <v>0</v>
      </c>
      <c r="AH31" s="187">
        <f t="shared" si="10"/>
        <v>0</v>
      </c>
      <c r="AI31" s="187">
        <f t="shared" si="10"/>
        <v>0</v>
      </c>
      <c r="AJ31" s="187">
        <f t="shared" si="10"/>
        <v>0</v>
      </c>
      <c r="AK31" s="187">
        <f t="shared" si="10"/>
        <v>0</v>
      </c>
      <c r="AL31" s="187">
        <f t="shared" si="10"/>
        <v>0</v>
      </c>
    </row>
    <row r="32" spans="1:38" x14ac:dyDescent="0.25">
      <c r="A32">
        <v>366</v>
      </c>
      <c r="B32">
        <v>2048</v>
      </c>
      <c r="C32" s="187" cm="1">
        <f t="array" ref="C32">INDEX('Storage Expansion'!$C:$R,MATCH(C$1,'Storage Expansion'!$C:$C,0)+($B32-2022),VLOOKUP($Z$41,'Notes and Scenario Inputs'!$B$19:$D$28,3,FALSE)+7)*($A32/31)*(1/$D$37)*1000</f>
        <v>0</v>
      </c>
      <c r="D32" s="187" cm="1">
        <f t="array" ref="D32">INDEX('Storage Expansion'!$C:$R,MATCH(D$1,'Storage Expansion'!$C:$C,0)+($B32-2022),VLOOKUP($Z$41,'Notes and Scenario Inputs'!$B$19:$D$28,3,FALSE)+7)*($A32/31)*(1/$D$37)*1000</f>
        <v>0</v>
      </c>
      <c r="E32" s="187" cm="1">
        <f t="array" ref="E32">INDEX('Storage Expansion'!$C:$R,MATCH(E$1,'Storage Expansion'!$C:$C,0)+($B32-2022),VLOOKUP($Z$41,'Notes and Scenario Inputs'!$B$19:$D$28,3,FALSE)+7)*($A32/31)*(1/$D$38)*1000</f>
        <v>0</v>
      </c>
      <c r="F32" s="187" cm="1">
        <f t="array" ref="F32">INDEX('Storage Expansion'!$C:$R,MATCH(F$1,'Storage Expansion'!$C:$C,0)+($B32-2022),VLOOKUP($Z$41,'Notes and Scenario Inputs'!$B$19:$D$28,3,FALSE)+7)*($A32/31)*(1/$D$38)*1000</f>
        <v>0</v>
      </c>
      <c r="G32" s="187">
        <f t="shared" si="1"/>
        <v>0</v>
      </c>
      <c r="H32" s="187" cm="1">
        <f t="array" ref="H32">INDEX('Storage Expansion'!$C:$R,MATCH(H$1,'Storage Expansion'!$C:$C,0)+($B32-2022),VLOOKUP($Z$41,'Notes and Scenario Inputs'!$B$19:$D$28,3,FALSE)+7)*($A32/31)*(1/$D$38)*1000</f>
        <v>0</v>
      </c>
      <c r="I32" s="187" cm="1">
        <f t="array" ref="I32">INDEX('Storage Expansion'!$C:$R,MATCH(I$1,'Storage Expansion'!$C:$C,0)+($B32-2022),VLOOKUP($Z$41,'Notes and Scenario Inputs'!$B$19:$D$28,3,FALSE)+7)*($A32/31)*(1/$D$39)*1000</f>
        <v>0</v>
      </c>
      <c r="J32" s="187"/>
      <c r="K32" s="187" cm="1">
        <f t="array" ref="K32">INDEX('Pipeline Expansion'!$C:$R,MATCH(K$1,'Pipeline Expansion'!$C:$C,0)+($B32-2022),VLOOKUP($Z$41,'Notes and Scenario Inputs'!$B$19:$D$28,3,FALSE)+7)*($A32/30)*1000</f>
        <v>0</v>
      </c>
      <c r="L32" s="187" cm="1">
        <f t="array" ref="L32">INDEX('Pipeline Expansion'!$C:$R,MATCH(L$1,'Pipeline Expansion'!$C:$C,0)+($B32-2022),VLOOKUP($Z$41,'Notes and Scenario Inputs'!$B$19:$D$28,3,FALSE)+7)*($A32/30)*1000</f>
        <v>0</v>
      </c>
      <c r="M32" s="187" cm="1">
        <f t="array" ref="M32">INDEX('Pipeline Expansion'!$C:$R,MATCH(M$1,'Pipeline Expansion'!$C:$C,0)+($B32-2022),VLOOKUP($Z$41,'Notes and Scenario Inputs'!$B$19:$D$28,3,FALSE)+7)*($A32/30)*1000</f>
        <v>0</v>
      </c>
      <c r="N32" s="187" cm="1">
        <f t="array" ref="N32">INDEX('Pipeline Expansion'!$C:$R,MATCH(N$1,'Pipeline Expansion'!$C:$C,0)+($B32-2022),VLOOKUP($Z$41,'Notes and Scenario Inputs'!$B$19:$D$28,3,FALSE)+7)*($A32/30)*1000</f>
        <v>0</v>
      </c>
      <c r="O32" s="187" cm="1">
        <f t="array" ref="O32">INDEX('Pipeline Expansion'!$C:$R,MATCH(O$1,'Pipeline Expansion'!$C:$C,0)+($B32-2022),VLOOKUP($Z$41,'Notes and Scenario Inputs'!$B$19:$D$28,3,FALSE)+7)*($A32/30)*1000</f>
        <v>0</v>
      </c>
      <c r="P32" s="187" cm="1">
        <f t="array" ref="P32">INDEX('Pipeline Expansion'!$C:$R,MATCH(P$1,'Pipeline Expansion'!$C:$C,0)+($B32-2022),VLOOKUP($Z$41,'Notes and Scenario Inputs'!$B$19:$D$28,3,FALSE)+7)*($A32/30)*1000</f>
        <v>0</v>
      </c>
      <c r="Q32" s="187" cm="1">
        <f t="array" ref="Q32">INDEX('Pipeline Expansion'!$C:$R,MATCH(Q$1,'Pipeline Expansion'!$C:$C,0)+($B32-2022),VLOOKUP($Z$41,'Notes and Scenario Inputs'!$B$19:$D$28,3,FALSE)+7)*($A32/30)*1000</f>
        <v>0</v>
      </c>
      <c r="R32" s="199">
        <f t="shared" si="2"/>
        <v>2047</v>
      </c>
      <c r="S32">
        <v>2048</v>
      </c>
      <c r="T32" t="str">
        <f t="shared" si="3"/>
        <v>2047-48</v>
      </c>
      <c r="U32" s="187">
        <v>799434.07850000006</v>
      </c>
      <c r="V32" s="187">
        <f>VLOOKUP($B32,'[1]Peak Day Forecast'!$A:$M,VLOOKUP($Z$41,[1]Scenarios!$B:$D,3,FALSE)+3,FALSE)</f>
        <v>581096</v>
      </c>
      <c r="W32" s="187">
        <v>24000</v>
      </c>
      <c r="X32" s="187">
        <f t="shared" si="5"/>
        <v>605096</v>
      </c>
      <c r="Y32" s="187">
        <v>274346.82770897739</v>
      </c>
      <c r="Z32" s="187">
        <f t="shared" si="6"/>
        <v>823434.07850000006</v>
      </c>
      <c r="AA32" s="187"/>
      <c r="AB32" s="187">
        <f t="shared" si="9"/>
        <v>27022.00348152536</v>
      </c>
      <c r="AC32" s="187">
        <f t="shared" si="9"/>
        <v>130800.00000057208</v>
      </c>
      <c r="AD32" s="187">
        <f t="shared" si="9"/>
        <v>0</v>
      </c>
      <c r="AE32" s="187"/>
      <c r="AF32" s="187">
        <f t="shared" si="10"/>
        <v>0</v>
      </c>
      <c r="AG32" s="187">
        <f t="shared" si="10"/>
        <v>0</v>
      </c>
      <c r="AH32" s="187">
        <f t="shared" si="10"/>
        <v>0</v>
      </c>
      <c r="AI32" s="187">
        <f t="shared" si="10"/>
        <v>0</v>
      </c>
      <c r="AJ32" s="187">
        <f t="shared" si="10"/>
        <v>0</v>
      </c>
      <c r="AK32" s="187">
        <f t="shared" si="10"/>
        <v>0</v>
      </c>
      <c r="AL32" s="187">
        <f t="shared" si="10"/>
        <v>0</v>
      </c>
    </row>
    <row r="33" spans="1:38" x14ac:dyDescent="0.25">
      <c r="A33">
        <v>365</v>
      </c>
      <c r="B33">
        <v>2049</v>
      </c>
      <c r="C33" s="187" cm="1">
        <f t="array" ref="C33">INDEX('Storage Expansion'!$C:$R,MATCH(C$1,'Storage Expansion'!$C:$C,0)+($B33-2022),VLOOKUP($Z$41,'Notes and Scenario Inputs'!$B$19:$D$28,3,FALSE)+7)*($A33/31)*(1/$D$37)*1000</f>
        <v>0</v>
      </c>
      <c r="D33" s="187" cm="1">
        <f t="array" ref="D33">INDEX('Storage Expansion'!$C:$R,MATCH(D$1,'Storage Expansion'!$C:$C,0)+($B33-2022),VLOOKUP($Z$41,'Notes and Scenario Inputs'!$B$19:$D$28,3,FALSE)+7)*($A33/31)*(1/$D$37)*1000</f>
        <v>0</v>
      </c>
      <c r="E33" s="187" cm="1">
        <f t="array" ref="E33">INDEX('Storage Expansion'!$C:$R,MATCH(E$1,'Storage Expansion'!$C:$C,0)+($B33-2022),VLOOKUP($Z$41,'Notes and Scenario Inputs'!$B$19:$D$28,3,FALSE)+7)*($A33/31)*(1/$D$38)*1000</f>
        <v>0</v>
      </c>
      <c r="F33" s="187" cm="1">
        <f t="array" ref="F33">INDEX('Storage Expansion'!$C:$R,MATCH(F$1,'Storage Expansion'!$C:$C,0)+($B33-2022),VLOOKUP($Z$41,'Notes and Scenario Inputs'!$B$19:$D$28,3,FALSE)+7)*($A33/31)*(1/$D$38)*1000</f>
        <v>0</v>
      </c>
      <c r="G33" s="187">
        <f t="shared" si="1"/>
        <v>0</v>
      </c>
      <c r="H33" s="187" cm="1">
        <f t="array" ref="H33">INDEX('Storage Expansion'!$C:$R,MATCH(H$1,'Storage Expansion'!$C:$C,0)+($B33-2022),VLOOKUP($Z$41,'Notes and Scenario Inputs'!$B$19:$D$28,3,FALSE)+7)*($A33/31)*(1/$D$38)*1000</f>
        <v>0</v>
      </c>
      <c r="I33" s="187" cm="1">
        <f t="array" ref="I33">INDEX('Storage Expansion'!$C:$R,MATCH(I$1,'Storage Expansion'!$C:$C,0)+($B33-2022),VLOOKUP($Z$41,'Notes and Scenario Inputs'!$B$19:$D$28,3,FALSE)+7)*($A33/31)*(1/$D$39)*1000</f>
        <v>0</v>
      </c>
      <c r="J33" s="187"/>
      <c r="K33" s="187" cm="1">
        <f t="array" ref="K33">INDEX('Pipeline Expansion'!$C:$R,MATCH(K$1,'Pipeline Expansion'!$C:$C,0)+($B33-2022),VLOOKUP($Z$41,'Notes and Scenario Inputs'!$B$19:$D$28,3,FALSE)+7)*($A33/30)*1000</f>
        <v>0</v>
      </c>
      <c r="L33" s="187" cm="1">
        <f t="array" ref="L33">INDEX('Pipeline Expansion'!$C:$R,MATCH(L$1,'Pipeline Expansion'!$C:$C,0)+($B33-2022),VLOOKUP($Z$41,'Notes and Scenario Inputs'!$B$19:$D$28,3,FALSE)+7)*($A33/30)*1000</f>
        <v>0</v>
      </c>
      <c r="M33" s="187" cm="1">
        <f t="array" ref="M33">INDEX('Pipeline Expansion'!$C:$R,MATCH(M$1,'Pipeline Expansion'!$C:$C,0)+($B33-2022),VLOOKUP($Z$41,'Notes and Scenario Inputs'!$B$19:$D$28,3,FALSE)+7)*($A33/30)*1000</f>
        <v>0</v>
      </c>
      <c r="N33" s="187" cm="1">
        <f t="array" ref="N33">INDEX('Pipeline Expansion'!$C:$R,MATCH(N$1,'Pipeline Expansion'!$C:$C,0)+($B33-2022),VLOOKUP($Z$41,'Notes and Scenario Inputs'!$B$19:$D$28,3,FALSE)+7)*($A33/30)*1000</f>
        <v>0</v>
      </c>
      <c r="O33" s="187" cm="1">
        <f t="array" ref="O33">INDEX('Pipeline Expansion'!$C:$R,MATCH(O$1,'Pipeline Expansion'!$C:$C,0)+($B33-2022),VLOOKUP($Z$41,'Notes and Scenario Inputs'!$B$19:$D$28,3,FALSE)+7)*($A33/30)*1000</f>
        <v>0</v>
      </c>
      <c r="P33" s="187" cm="1">
        <f t="array" ref="P33">INDEX('Pipeline Expansion'!$C:$R,MATCH(P$1,'Pipeline Expansion'!$C:$C,0)+($B33-2022),VLOOKUP($Z$41,'Notes and Scenario Inputs'!$B$19:$D$28,3,FALSE)+7)*($A33/30)*1000</f>
        <v>0</v>
      </c>
      <c r="Q33" s="187" cm="1">
        <f t="array" ref="Q33">INDEX('Pipeline Expansion'!$C:$R,MATCH(Q$1,'Pipeline Expansion'!$C:$C,0)+($B33-2022),VLOOKUP($Z$41,'Notes and Scenario Inputs'!$B$19:$D$28,3,FALSE)+7)*($A33/30)*1000</f>
        <v>0</v>
      </c>
      <c r="R33" s="199">
        <f t="shared" si="2"/>
        <v>2048</v>
      </c>
      <c r="S33">
        <v>2049</v>
      </c>
      <c r="T33" t="str">
        <f t="shared" si="3"/>
        <v>2048-49</v>
      </c>
      <c r="U33" s="187">
        <v>799434.07850000006</v>
      </c>
      <c r="V33" s="187">
        <f>VLOOKUP($B33,'[1]Peak Day Forecast'!$A:$M,VLOOKUP($Z$41,[1]Scenarios!$B:$D,3,FALSE)+3,FALSE)</f>
        <v>563274</v>
      </c>
      <c r="W33" s="187">
        <v>24000</v>
      </c>
      <c r="X33" s="187">
        <f t="shared" si="5"/>
        <v>587274</v>
      </c>
      <c r="Y33" s="187">
        <v>282362.45300617622</v>
      </c>
      <c r="Z33" s="187">
        <f t="shared" si="6"/>
        <v>823434.07850000006</v>
      </c>
      <c r="AA33" s="187"/>
      <c r="AB33" s="187">
        <f t="shared" si="9"/>
        <v>27022.00348152536</v>
      </c>
      <c r="AC33" s="187">
        <f t="shared" si="9"/>
        <v>130800.00000057208</v>
      </c>
      <c r="AD33" s="187">
        <f t="shared" si="9"/>
        <v>0</v>
      </c>
      <c r="AE33" s="187"/>
      <c r="AF33" s="187">
        <f t="shared" si="10"/>
        <v>0</v>
      </c>
      <c r="AG33" s="187">
        <f t="shared" si="10"/>
        <v>0</v>
      </c>
      <c r="AH33" s="187">
        <f t="shared" si="10"/>
        <v>0</v>
      </c>
      <c r="AI33" s="187">
        <f t="shared" si="10"/>
        <v>0</v>
      </c>
      <c r="AJ33" s="187">
        <f t="shared" si="10"/>
        <v>0</v>
      </c>
      <c r="AK33" s="187">
        <f t="shared" si="10"/>
        <v>0</v>
      </c>
      <c r="AL33" s="187">
        <f t="shared" si="10"/>
        <v>0</v>
      </c>
    </row>
    <row r="34" spans="1:38" x14ac:dyDescent="0.25">
      <c r="A34">
        <v>365</v>
      </c>
      <c r="B34">
        <v>2050</v>
      </c>
      <c r="C34" s="187" cm="1">
        <f t="array" ref="C34">INDEX('Storage Expansion'!$C:$R,MATCH(C$1,'Storage Expansion'!$C:$C,0)+($B34-2022),VLOOKUP($Z$41,'Notes and Scenario Inputs'!$B$19:$D$28,3,FALSE)+7)*($A34/31)*(1/$D$37)*1000</f>
        <v>0</v>
      </c>
      <c r="D34" s="187" cm="1">
        <f t="array" ref="D34">INDEX('Storage Expansion'!$C:$R,MATCH(D$1,'Storage Expansion'!$C:$C,0)+($B34-2022),VLOOKUP($Z$41,'Notes and Scenario Inputs'!$B$19:$D$28,3,FALSE)+7)*($A34/31)*(1/$D$37)*1000</f>
        <v>0</v>
      </c>
      <c r="E34" s="187" cm="1">
        <f t="array" ref="E34">INDEX('Storage Expansion'!$C:$R,MATCH(E$1,'Storage Expansion'!$C:$C,0)+($B34-2022),VLOOKUP($Z$41,'Notes and Scenario Inputs'!$B$19:$D$28,3,FALSE)+7)*($A34/31)*(1/$D$38)*1000</f>
        <v>0</v>
      </c>
      <c r="F34" s="187" cm="1">
        <f t="array" ref="F34">INDEX('Storage Expansion'!$C:$R,MATCH(F$1,'Storage Expansion'!$C:$C,0)+($B34-2022),VLOOKUP($Z$41,'Notes and Scenario Inputs'!$B$19:$D$28,3,FALSE)+7)*($A34/31)*(1/$D$38)*1000</f>
        <v>0</v>
      </c>
      <c r="G34" s="187">
        <f t="shared" si="1"/>
        <v>0</v>
      </c>
      <c r="H34" s="187" cm="1">
        <f t="array" ref="H34">INDEX('Storage Expansion'!$C:$R,MATCH(H$1,'Storage Expansion'!$C:$C,0)+($B34-2022),VLOOKUP($Z$41,'Notes and Scenario Inputs'!$B$19:$D$28,3,FALSE)+7)*($A34/31)*(1/$D$38)*1000</f>
        <v>0</v>
      </c>
      <c r="I34" s="187" cm="1">
        <f t="array" ref="I34">INDEX('Storage Expansion'!$C:$R,MATCH(I$1,'Storage Expansion'!$C:$C,0)+($B34-2022),VLOOKUP($Z$41,'Notes and Scenario Inputs'!$B$19:$D$28,3,FALSE)+7)*($A34/31)*(1/$D$39)*1000</f>
        <v>0</v>
      </c>
      <c r="J34" s="187"/>
      <c r="K34" s="187" cm="1">
        <f t="array" ref="K34">INDEX('Pipeline Expansion'!$C:$R,MATCH(K$1,'Pipeline Expansion'!$C:$C,0)+($B34-2022),VLOOKUP($Z$41,'Notes and Scenario Inputs'!$B$19:$D$28,3,FALSE)+7)*($A34/30)*1000</f>
        <v>0</v>
      </c>
      <c r="L34" s="187" cm="1">
        <f t="array" ref="L34">INDEX('Pipeline Expansion'!$C:$R,MATCH(L$1,'Pipeline Expansion'!$C:$C,0)+($B34-2022),VLOOKUP($Z$41,'Notes and Scenario Inputs'!$B$19:$D$28,3,FALSE)+7)*($A34/30)*1000</f>
        <v>0</v>
      </c>
      <c r="M34" s="187" cm="1">
        <f t="array" ref="M34">INDEX('Pipeline Expansion'!$C:$R,MATCH(M$1,'Pipeline Expansion'!$C:$C,0)+($B34-2022),VLOOKUP($Z$41,'Notes and Scenario Inputs'!$B$19:$D$28,3,FALSE)+7)*($A34/30)*1000</f>
        <v>0</v>
      </c>
      <c r="N34" s="187" cm="1">
        <f t="array" ref="N34">INDEX('Pipeline Expansion'!$C:$R,MATCH(N$1,'Pipeline Expansion'!$C:$C,0)+($B34-2022),VLOOKUP($Z$41,'Notes and Scenario Inputs'!$B$19:$D$28,3,FALSE)+7)*($A34/30)*1000</f>
        <v>0</v>
      </c>
      <c r="O34" s="187" cm="1">
        <f t="array" ref="O34">INDEX('Pipeline Expansion'!$C:$R,MATCH(O$1,'Pipeline Expansion'!$C:$C,0)+($B34-2022),VLOOKUP($Z$41,'Notes and Scenario Inputs'!$B$19:$D$28,3,FALSE)+7)*($A34/30)*1000</f>
        <v>0</v>
      </c>
      <c r="P34" s="187" cm="1">
        <f t="array" ref="P34">INDEX('Pipeline Expansion'!$C:$R,MATCH(P$1,'Pipeline Expansion'!$C:$C,0)+($B34-2022),VLOOKUP($Z$41,'Notes and Scenario Inputs'!$B$19:$D$28,3,FALSE)+7)*($A34/30)*1000</f>
        <v>0</v>
      </c>
      <c r="Q34" s="187" cm="1">
        <f t="array" ref="Q34">INDEX('Pipeline Expansion'!$C:$R,MATCH(Q$1,'Pipeline Expansion'!$C:$C,0)+($B34-2022),VLOOKUP($Z$41,'Notes and Scenario Inputs'!$B$19:$D$28,3,FALSE)+7)*($A34/30)*1000</f>
        <v>0</v>
      </c>
      <c r="R34" s="199">
        <f t="shared" si="2"/>
        <v>2049</v>
      </c>
      <c r="S34">
        <v>2050</v>
      </c>
      <c r="T34" t="str">
        <f t="shared" si="3"/>
        <v>2049-50</v>
      </c>
      <c r="U34" s="187">
        <v>799434.07850000006</v>
      </c>
      <c r="V34" s="187">
        <f>VLOOKUP($B34,'[1]Peak Day Forecast'!$A:$M,VLOOKUP($Z$41,[1]Scenarios!$B:$D,3,FALSE)+3,FALSE)</f>
        <v>545291</v>
      </c>
      <c r="W34" s="187">
        <v>24000</v>
      </c>
      <c r="X34" s="187">
        <f t="shared" si="5"/>
        <v>569291</v>
      </c>
      <c r="Y34" s="187">
        <v>290593.09557594272</v>
      </c>
      <c r="Z34" s="187">
        <f t="shared" si="6"/>
        <v>823434.07850000006</v>
      </c>
      <c r="AA34" s="187"/>
      <c r="AB34" s="187">
        <f t="shared" si="9"/>
        <v>27022.00348152536</v>
      </c>
      <c r="AC34" s="187">
        <f t="shared" si="9"/>
        <v>130800.00000057208</v>
      </c>
      <c r="AD34" s="187">
        <f t="shared" si="9"/>
        <v>0</v>
      </c>
      <c r="AE34" s="187"/>
      <c r="AF34" s="187">
        <f t="shared" si="10"/>
        <v>0</v>
      </c>
      <c r="AG34" s="187">
        <f t="shared" si="10"/>
        <v>0</v>
      </c>
      <c r="AH34" s="187">
        <f t="shared" si="10"/>
        <v>0</v>
      </c>
      <c r="AI34" s="187">
        <f t="shared" si="10"/>
        <v>0</v>
      </c>
      <c r="AJ34" s="187">
        <f t="shared" si="10"/>
        <v>0</v>
      </c>
      <c r="AK34" s="187">
        <f t="shared" si="10"/>
        <v>0</v>
      </c>
      <c r="AL34" s="187">
        <f t="shared" si="10"/>
        <v>0</v>
      </c>
    </row>
    <row r="35" spans="1:38" ht="15.75" thickBot="1" x14ac:dyDescent="0.3"/>
    <row r="36" spans="1:38" x14ac:dyDescent="0.25">
      <c r="C36" s="290" t="s">
        <v>496</v>
      </c>
      <c r="D36" s="291"/>
    </row>
    <row r="37" spans="1:38" x14ac:dyDescent="0.25">
      <c r="C37" s="53" t="s">
        <v>497</v>
      </c>
      <c r="D37" s="54">
        <v>30.052538032106604</v>
      </c>
    </row>
    <row r="38" spans="1:38" x14ac:dyDescent="0.25">
      <c r="C38" s="53" t="s">
        <v>498</v>
      </c>
      <c r="D38" s="54">
        <f>368776/130800</f>
        <v>2.8193883792048928</v>
      </c>
    </row>
    <row r="39" spans="1:38" ht="15.75" thickBot="1" x14ac:dyDescent="0.3">
      <c r="C39" s="59" t="s">
        <v>499</v>
      </c>
      <c r="D39" s="57">
        <f>4240000/106000</f>
        <v>40</v>
      </c>
    </row>
    <row r="40" spans="1:38" x14ac:dyDescent="0.25">
      <c r="Z40" s="292" t="s">
        <v>79</v>
      </c>
      <c r="AA40" s="293"/>
      <c r="AB40" s="294"/>
      <c r="AC40" s="187"/>
    </row>
    <row r="41" spans="1:38" ht="45.75" thickBot="1" x14ac:dyDescent="0.3">
      <c r="G41" s="3"/>
      <c r="H41" s="3"/>
      <c r="Y41" s="236" t="s">
        <v>500</v>
      </c>
      <c r="Z41" s="237" t="str">
        <f>'Scenario Selection and Summary'!$B$3</f>
        <v>Scenario 5- Aggressive Building Electrification</v>
      </c>
      <c r="AA41" s="238"/>
      <c r="AB41" s="239"/>
    </row>
    <row r="43" spans="1:38" x14ac:dyDescent="0.25">
      <c r="G43" s="151"/>
      <c r="H43" s="151"/>
      <c r="Y43" s="187"/>
    </row>
  </sheetData>
  <mergeCells count="5">
    <mergeCell ref="A2:B2"/>
    <mergeCell ref="C4:Q4"/>
    <mergeCell ref="AB4:AL4"/>
    <mergeCell ref="C36:D36"/>
    <mergeCell ref="Z40:AB40"/>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00544-D515-4267-A7AD-CAC74DAB9393}">
  <sheetPr>
    <tabColor rgb="FF00B0F0"/>
  </sheetPr>
  <dimension ref="A1:Q31"/>
  <sheetViews>
    <sheetView topLeftCell="A10" zoomScaleNormal="100" workbookViewId="0">
      <selection activeCell="X62" sqref="X62"/>
    </sheetView>
  </sheetViews>
  <sheetFormatPr defaultRowHeight="15" x14ac:dyDescent="0.25"/>
  <cols>
    <col min="3" max="3" width="3.85546875" customWidth="1"/>
    <col min="4" max="4" width="23" customWidth="1"/>
    <col min="5" max="14" width="21" customWidth="1"/>
    <col min="16" max="16" width="12.5703125" bestFit="1" customWidth="1"/>
  </cols>
  <sheetData>
    <row r="1" spans="1:17" x14ac:dyDescent="0.25">
      <c r="D1" s="295" t="s">
        <v>464</v>
      </c>
      <c r="E1" s="295"/>
      <c r="F1" s="295"/>
      <c r="G1" s="295"/>
      <c r="H1" s="295"/>
      <c r="I1" s="295"/>
      <c r="J1" s="295"/>
      <c r="K1" s="295"/>
      <c r="L1" s="295"/>
    </row>
    <row r="2" spans="1:17" ht="45" x14ac:dyDescent="0.25">
      <c r="A2" s="32" t="s">
        <v>0</v>
      </c>
      <c r="B2" t="s">
        <v>465</v>
      </c>
      <c r="D2" t="s">
        <v>94</v>
      </c>
      <c r="E2" s="186" t="s">
        <v>98</v>
      </c>
      <c r="F2" s="186" t="s">
        <v>99</v>
      </c>
      <c r="G2" s="186" t="s">
        <v>100</v>
      </c>
      <c r="H2" s="186" t="s">
        <v>101</v>
      </c>
      <c r="I2" s="186" t="s">
        <v>102</v>
      </c>
      <c r="J2" s="186" t="s">
        <v>103</v>
      </c>
      <c r="K2" s="186" t="s">
        <v>104</v>
      </c>
      <c r="L2" s="186" t="s">
        <v>105</v>
      </c>
      <c r="M2" s="186" t="s">
        <v>106</v>
      </c>
    </row>
    <row r="3" spans="1:17" x14ac:dyDescent="0.25">
      <c r="A3" s="32"/>
      <c r="D3" s="32" t="s">
        <v>466</v>
      </c>
      <c r="E3" s="32" t="s">
        <v>466</v>
      </c>
      <c r="F3" s="32" t="s">
        <v>466</v>
      </c>
      <c r="G3" s="32" t="s">
        <v>466</v>
      </c>
      <c r="H3" s="32" t="s">
        <v>466</v>
      </c>
      <c r="I3" s="32" t="s">
        <v>466</v>
      </c>
      <c r="J3" s="32" t="s">
        <v>466</v>
      </c>
      <c r="K3" s="32" t="s">
        <v>466</v>
      </c>
      <c r="L3" s="32" t="s">
        <v>466</v>
      </c>
      <c r="M3" s="32" t="s">
        <v>466</v>
      </c>
      <c r="Q3" s="1"/>
    </row>
    <row r="4" spans="1:17" x14ac:dyDescent="0.25">
      <c r="A4">
        <v>2023</v>
      </c>
      <c r="B4" t="str">
        <f t="shared" ref="B4:B31" si="0">A4-1&amp;"-"&amp;RIGHT(A4,2)</f>
        <v>2022-23</v>
      </c>
      <c r="D4" s="187">
        <v>1008708</v>
      </c>
      <c r="E4" s="187">
        <v>1008709</v>
      </c>
      <c r="F4" s="187">
        <v>1008708</v>
      </c>
      <c r="G4" s="187">
        <v>1008709</v>
      </c>
      <c r="H4" s="187">
        <v>1008709</v>
      </c>
      <c r="I4" s="187">
        <v>1008708</v>
      </c>
      <c r="J4" s="187">
        <v>1008708</v>
      </c>
      <c r="K4" s="187">
        <v>1008709</v>
      </c>
      <c r="L4" s="187">
        <v>1008709</v>
      </c>
      <c r="M4" s="187">
        <v>1008709</v>
      </c>
      <c r="N4" s="52"/>
      <c r="P4" s="52"/>
      <c r="Q4" s="3"/>
    </row>
    <row r="5" spans="1:17" x14ac:dyDescent="0.25">
      <c r="A5">
        <v>2024</v>
      </c>
      <c r="B5" t="str">
        <f t="shared" si="0"/>
        <v>2023-24</v>
      </c>
      <c r="D5" s="187">
        <v>1018191</v>
      </c>
      <c r="E5" s="187">
        <v>1010720</v>
      </c>
      <c r="F5" s="187">
        <v>1008013</v>
      </c>
      <c r="G5" s="187">
        <v>1010720</v>
      </c>
      <c r="H5" s="187">
        <v>1010720</v>
      </c>
      <c r="I5" s="187">
        <v>1017804</v>
      </c>
      <c r="J5" s="187">
        <v>984991</v>
      </c>
      <c r="K5" s="187">
        <v>1010720</v>
      </c>
      <c r="L5" s="187">
        <v>1010720</v>
      </c>
      <c r="M5" s="187">
        <v>1010714</v>
      </c>
      <c r="N5" s="52"/>
      <c r="P5" s="52"/>
      <c r="Q5" s="3"/>
    </row>
    <row r="6" spans="1:17" x14ac:dyDescent="0.25">
      <c r="A6">
        <v>2025</v>
      </c>
      <c r="B6" t="str">
        <f t="shared" si="0"/>
        <v>2024-25</v>
      </c>
      <c r="D6" s="187">
        <v>1027864</v>
      </c>
      <c r="E6" s="187">
        <v>1011574</v>
      </c>
      <c r="F6" s="187">
        <v>1006556</v>
      </c>
      <c r="G6" s="187">
        <v>1012252</v>
      </c>
      <c r="H6" s="187">
        <v>997832</v>
      </c>
      <c r="I6" s="187">
        <v>997645</v>
      </c>
      <c r="J6" s="187">
        <v>946244</v>
      </c>
      <c r="K6" s="187">
        <v>1011574</v>
      </c>
      <c r="L6" s="187">
        <v>1011516</v>
      </c>
      <c r="M6" s="187">
        <v>1012239</v>
      </c>
      <c r="N6" s="52"/>
      <c r="P6" s="52"/>
      <c r="Q6" s="3"/>
    </row>
    <row r="7" spans="1:17" x14ac:dyDescent="0.25">
      <c r="A7">
        <v>2026</v>
      </c>
      <c r="B7" t="str">
        <f t="shared" si="0"/>
        <v>2025-26</v>
      </c>
      <c r="D7" s="187">
        <v>1038545</v>
      </c>
      <c r="E7" s="187">
        <v>1012970</v>
      </c>
      <c r="F7" s="187">
        <v>1006030</v>
      </c>
      <c r="G7" s="187">
        <v>1015004</v>
      </c>
      <c r="H7" s="187">
        <v>985146</v>
      </c>
      <c r="I7" s="187">
        <v>978203</v>
      </c>
      <c r="J7" s="187">
        <v>908252</v>
      </c>
      <c r="K7" s="187">
        <v>1012970</v>
      </c>
      <c r="L7" s="187">
        <v>1012857</v>
      </c>
      <c r="M7" s="187">
        <v>1014983</v>
      </c>
      <c r="N7" s="52"/>
      <c r="P7" s="52"/>
      <c r="Q7" s="3"/>
    </row>
    <row r="8" spans="1:17" x14ac:dyDescent="0.25">
      <c r="A8">
        <v>2027</v>
      </c>
      <c r="B8" t="str">
        <f t="shared" si="0"/>
        <v>2026-27</v>
      </c>
      <c r="D8" s="187">
        <v>1051101</v>
      </c>
      <c r="E8" s="187">
        <v>1015329</v>
      </c>
      <c r="F8" s="187">
        <v>1006869</v>
      </c>
      <c r="G8" s="187">
        <v>1019437</v>
      </c>
      <c r="H8" s="187">
        <v>974156</v>
      </c>
      <c r="I8" s="187">
        <v>960909</v>
      </c>
      <c r="J8" s="187">
        <v>872203</v>
      </c>
      <c r="K8" s="187">
        <v>1015406</v>
      </c>
      <c r="L8" s="187">
        <v>1015237</v>
      </c>
      <c r="M8" s="187">
        <v>1019407</v>
      </c>
      <c r="N8" s="52"/>
      <c r="P8" s="52"/>
      <c r="Q8" s="3"/>
    </row>
    <row r="9" spans="1:17" x14ac:dyDescent="0.25">
      <c r="A9">
        <v>2028</v>
      </c>
      <c r="B9" t="str">
        <f t="shared" si="0"/>
        <v>2027-28</v>
      </c>
      <c r="D9" s="187">
        <v>1060815</v>
      </c>
      <c r="E9" s="187">
        <v>1014358</v>
      </c>
      <c r="F9" s="187">
        <v>1004614</v>
      </c>
      <c r="G9" s="187">
        <v>1021126</v>
      </c>
      <c r="H9" s="187">
        <v>960585</v>
      </c>
      <c r="I9" s="187">
        <v>941520</v>
      </c>
      <c r="J9" s="187">
        <v>834291</v>
      </c>
      <c r="K9" s="187">
        <v>1014510</v>
      </c>
      <c r="L9" s="187">
        <v>1014287</v>
      </c>
      <c r="M9" s="187">
        <v>1021098</v>
      </c>
      <c r="N9" s="52"/>
      <c r="P9" s="52"/>
      <c r="Q9" s="3"/>
    </row>
    <row r="10" spans="1:17" x14ac:dyDescent="0.25">
      <c r="A10">
        <v>2029</v>
      </c>
      <c r="B10" t="str">
        <f t="shared" si="0"/>
        <v>2028-29</v>
      </c>
      <c r="D10" s="187">
        <v>1072524</v>
      </c>
      <c r="E10" s="187">
        <v>1014039</v>
      </c>
      <c r="F10" s="187">
        <v>1003294</v>
      </c>
      <c r="G10" s="187">
        <v>1024060</v>
      </c>
      <c r="H10" s="187">
        <v>948233</v>
      </c>
      <c r="I10" s="187">
        <v>923767</v>
      </c>
      <c r="J10" s="187">
        <v>797818</v>
      </c>
      <c r="K10" s="187">
        <v>1014263</v>
      </c>
      <c r="L10" s="187">
        <v>1013988</v>
      </c>
      <c r="M10" s="187">
        <v>1024034</v>
      </c>
      <c r="N10" s="52"/>
      <c r="P10" s="52"/>
      <c r="Q10" s="3"/>
    </row>
    <row r="11" spans="1:17" x14ac:dyDescent="0.25">
      <c r="A11">
        <v>2030</v>
      </c>
      <c r="B11" t="str">
        <f t="shared" si="0"/>
        <v>2029-30</v>
      </c>
      <c r="D11" s="187">
        <v>1081316</v>
      </c>
      <c r="E11" s="187">
        <v>1010367</v>
      </c>
      <c r="F11" s="187">
        <v>998738</v>
      </c>
      <c r="G11" s="187">
        <v>1024172</v>
      </c>
      <c r="H11" s="187">
        <v>933842</v>
      </c>
      <c r="I11" s="187">
        <v>903812</v>
      </c>
      <c r="J11" s="187">
        <v>759531</v>
      </c>
      <c r="K11" s="187">
        <v>1010653</v>
      </c>
      <c r="L11" s="187">
        <v>1010337</v>
      </c>
      <c r="M11" s="187">
        <v>1024147</v>
      </c>
      <c r="N11" s="52"/>
      <c r="P11" s="52"/>
      <c r="Q11" s="3"/>
    </row>
    <row r="12" spans="1:17" x14ac:dyDescent="0.25">
      <c r="A12">
        <v>2031</v>
      </c>
      <c r="B12" t="str">
        <f t="shared" si="0"/>
        <v>2030-31</v>
      </c>
      <c r="D12" s="187">
        <v>1091507</v>
      </c>
      <c r="E12" s="187">
        <v>1008086</v>
      </c>
      <c r="F12" s="187">
        <v>995008</v>
      </c>
      <c r="G12" s="187">
        <v>1025592</v>
      </c>
      <c r="H12" s="187">
        <v>921272</v>
      </c>
      <c r="I12" s="187">
        <v>885219</v>
      </c>
      <c r="J12" s="187">
        <v>722445</v>
      </c>
      <c r="K12" s="187">
        <v>1008433</v>
      </c>
      <c r="L12" s="187">
        <v>1008076</v>
      </c>
      <c r="M12" s="187">
        <v>1025569</v>
      </c>
      <c r="N12" s="52"/>
      <c r="P12" s="52"/>
      <c r="Q12" s="3"/>
    </row>
    <row r="13" spans="1:17" x14ac:dyDescent="0.25">
      <c r="A13">
        <v>2032</v>
      </c>
      <c r="B13" t="str">
        <f t="shared" si="0"/>
        <v>2031-32</v>
      </c>
      <c r="D13" s="187">
        <v>1102273</v>
      </c>
      <c r="E13" s="187">
        <v>1005792</v>
      </c>
      <c r="F13" s="187">
        <v>990518</v>
      </c>
      <c r="G13" s="187">
        <v>1026869</v>
      </c>
      <c r="H13" s="187">
        <v>909993</v>
      </c>
      <c r="I13" s="187">
        <v>867586</v>
      </c>
      <c r="J13" s="187">
        <v>686172</v>
      </c>
      <c r="K13" s="187">
        <v>1006199</v>
      </c>
      <c r="L13" s="187">
        <v>1005802</v>
      </c>
      <c r="M13" s="187">
        <v>1026846</v>
      </c>
      <c r="N13" s="52"/>
      <c r="P13" s="52"/>
      <c r="Q13" s="3"/>
    </row>
    <row r="14" spans="1:17" x14ac:dyDescent="0.25">
      <c r="A14">
        <v>2033</v>
      </c>
      <c r="B14" t="str">
        <f t="shared" si="0"/>
        <v>2032-33</v>
      </c>
      <c r="D14" s="187">
        <v>1112746</v>
      </c>
      <c r="E14" s="187">
        <v>1002488</v>
      </c>
      <c r="F14" s="187">
        <v>984453</v>
      </c>
      <c r="G14" s="187">
        <v>1026990</v>
      </c>
      <c r="H14" s="187">
        <v>899077</v>
      </c>
      <c r="I14" s="187">
        <v>849890</v>
      </c>
      <c r="J14" s="187">
        <v>649798</v>
      </c>
      <c r="K14" s="187">
        <v>1002953</v>
      </c>
      <c r="L14" s="187">
        <v>1002516</v>
      </c>
      <c r="M14" s="187">
        <v>1026969</v>
      </c>
      <c r="N14" s="52"/>
      <c r="P14" s="52"/>
      <c r="Q14" s="3"/>
    </row>
    <row r="15" spans="1:17" x14ac:dyDescent="0.25">
      <c r="A15">
        <v>2034</v>
      </c>
      <c r="B15" t="str">
        <f t="shared" si="0"/>
        <v>2033-34</v>
      </c>
      <c r="D15" s="187">
        <v>1121629</v>
      </c>
      <c r="E15" s="187">
        <v>999298</v>
      </c>
      <c r="F15" s="187">
        <v>978003</v>
      </c>
      <c r="G15" s="187">
        <v>1027140</v>
      </c>
      <c r="H15" s="187">
        <v>888343</v>
      </c>
      <c r="I15" s="187">
        <v>831527</v>
      </c>
      <c r="J15" s="187">
        <v>612948</v>
      </c>
      <c r="K15" s="187">
        <v>999820</v>
      </c>
      <c r="L15" s="187">
        <v>999345</v>
      </c>
      <c r="M15" s="187">
        <v>1027121</v>
      </c>
      <c r="N15" s="52"/>
      <c r="P15" s="52"/>
      <c r="Q15" s="3"/>
    </row>
    <row r="16" spans="1:17" x14ac:dyDescent="0.25">
      <c r="A16">
        <v>2035</v>
      </c>
      <c r="B16" t="str">
        <f t="shared" si="0"/>
        <v>2034-35</v>
      </c>
      <c r="D16" s="187">
        <v>1130124</v>
      </c>
      <c r="E16" s="187">
        <v>996014</v>
      </c>
      <c r="F16" s="187">
        <v>970749</v>
      </c>
      <c r="G16" s="187">
        <v>1027118</v>
      </c>
      <c r="H16" s="187">
        <v>877960</v>
      </c>
      <c r="I16" s="187">
        <v>812964</v>
      </c>
      <c r="J16" s="187">
        <v>575985</v>
      </c>
      <c r="K16" s="187">
        <v>996592</v>
      </c>
      <c r="L16" s="187">
        <v>996079</v>
      </c>
      <c r="M16" s="187">
        <v>1027100</v>
      </c>
      <c r="N16" s="52"/>
      <c r="P16" s="52"/>
      <c r="Q16" s="3"/>
    </row>
    <row r="17" spans="1:17" x14ac:dyDescent="0.25">
      <c r="A17">
        <v>2036</v>
      </c>
      <c r="B17" t="str">
        <f t="shared" si="0"/>
        <v>2035-36</v>
      </c>
      <c r="D17" s="187">
        <v>1140104</v>
      </c>
      <c r="E17" s="187">
        <v>993029</v>
      </c>
      <c r="F17" s="187">
        <v>962939</v>
      </c>
      <c r="G17" s="187">
        <v>1027307</v>
      </c>
      <c r="H17" s="187">
        <v>869125</v>
      </c>
      <c r="I17" s="187">
        <v>795768</v>
      </c>
      <c r="J17" s="187">
        <v>540003</v>
      </c>
      <c r="K17" s="187">
        <v>993663</v>
      </c>
      <c r="L17" s="187">
        <v>993112</v>
      </c>
      <c r="M17" s="187">
        <v>1027290</v>
      </c>
      <c r="N17" s="52"/>
      <c r="P17" s="52"/>
      <c r="Q17" s="3"/>
    </row>
    <row r="18" spans="1:17" x14ac:dyDescent="0.25">
      <c r="A18">
        <v>2037</v>
      </c>
      <c r="B18" t="str">
        <f t="shared" si="0"/>
        <v>2036-37</v>
      </c>
      <c r="D18" s="187">
        <v>1149011</v>
      </c>
      <c r="E18" s="187">
        <v>988199</v>
      </c>
      <c r="F18" s="187">
        <v>952918</v>
      </c>
      <c r="G18" s="187">
        <v>1025480</v>
      </c>
      <c r="H18" s="187">
        <v>859615</v>
      </c>
      <c r="I18" s="187">
        <v>777792</v>
      </c>
      <c r="J18" s="187">
        <v>503429</v>
      </c>
      <c r="K18" s="187">
        <v>988886</v>
      </c>
      <c r="L18" s="187">
        <v>988299</v>
      </c>
      <c r="M18" s="187">
        <v>1025464</v>
      </c>
      <c r="N18" s="52"/>
      <c r="P18" s="52"/>
      <c r="Q18" s="3"/>
    </row>
    <row r="19" spans="1:17" x14ac:dyDescent="0.25">
      <c r="A19">
        <v>2038</v>
      </c>
      <c r="B19" t="str">
        <f t="shared" si="0"/>
        <v>2037-38</v>
      </c>
      <c r="D19" s="187">
        <v>1156416</v>
      </c>
      <c r="E19" s="187">
        <v>982951</v>
      </c>
      <c r="F19" s="187">
        <v>942161</v>
      </c>
      <c r="G19" s="187">
        <v>1023110</v>
      </c>
      <c r="H19" s="187">
        <v>849848</v>
      </c>
      <c r="I19" s="187">
        <v>759251</v>
      </c>
      <c r="J19" s="187">
        <v>466541</v>
      </c>
      <c r="K19" s="187">
        <v>983690</v>
      </c>
      <c r="L19" s="187">
        <v>983068</v>
      </c>
      <c r="M19" s="187">
        <v>1023096</v>
      </c>
      <c r="N19" s="52"/>
      <c r="P19" s="52"/>
      <c r="Q19" s="3"/>
    </row>
    <row r="20" spans="1:17" x14ac:dyDescent="0.25">
      <c r="A20">
        <v>2039</v>
      </c>
      <c r="B20" t="str">
        <f t="shared" si="0"/>
        <v>2038-39</v>
      </c>
      <c r="D20" s="187">
        <v>1166190</v>
      </c>
      <c r="E20" s="187">
        <v>980021</v>
      </c>
      <c r="F20" s="187">
        <v>933473</v>
      </c>
      <c r="G20" s="187">
        <v>1023077</v>
      </c>
      <c r="H20" s="187">
        <v>842105</v>
      </c>
      <c r="I20" s="187">
        <v>742399</v>
      </c>
      <c r="J20" s="187">
        <v>430653</v>
      </c>
      <c r="K20" s="187">
        <v>980813</v>
      </c>
      <c r="L20" s="187">
        <v>980156</v>
      </c>
      <c r="M20" s="187">
        <v>1023064</v>
      </c>
      <c r="N20" s="52"/>
      <c r="P20" s="52"/>
      <c r="Q20" s="3"/>
    </row>
    <row r="21" spans="1:17" x14ac:dyDescent="0.25">
      <c r="A21">
        <v>2040</v>
      </c>
      <c r="B21" t="str">
        <f t="shared" si="0"/>
        <v>2039-40</v>
      </c>
      <c r="D21" s="187">
        <v>1173967</v>
      </c>
      <c r="E21" s="187">
        <v>975624</v>
      </c>
      <c r="F21" s="187">
        <v>923133</v>
      </c>
      <c r="G21" s="187">
        <v>1021413</v>
      </c>
      <c r="H21" s="187">
        <v>833321</v>
      </c>
      <c r="I21" s="187">
        <v>724441</v>
      </c>
      <c r="J21" s="187">
        <v>394125</v>
      </c>
      <c r="K21" s="187">
        <v>976466</v>
      </c>
      <c r="L21" s="187">
        <v>975775</v>
      </c>
      <c r="M21" s="187">
        <v>1021401</v>
      </c>
      <c r="N21" s="52"/>
      <c r="P21" s="52"/>
      <c r="Q21" s="3"/>
    </row>
    <row r="22" spans="1:17" x14ac:dyDescent="0.25">
      <c r="A22">
        <v>2041</v>
      </c>
      <c r="B22" t="str">
        <f t="shared" si="0"/>
        <v>2040-41</v>
      </c>
      <c r="D22" s="187">
        <v>1181592</v>
      </c>
      <c r="E22" s="187">
        <v>971286</v>
      </c>
      <c r="F22" s="187">
        <v>913072</v>
      </c>
      <c r="G22" s="187">
        <v>1019739</v>
      </c>
      <c r="H22" s="187">
        <v>824426</v>
      </c>
      <c r="I22" s="187">
        <v>706140</v>
      </c>
      <c r="J22" s="187">
        <v>357375</v>
      </c>
      <c r="K22" s="187">
        <v>972176</v>
      </c>
      <c r="L22" s="187">
        <v>971453</v>
      </c>
      <c r="M22" s="187">
        <v>1019728</v>
      </c>
      <c r="N22" s="52"/>
      <c r="P22" s="52"/>
      <c r="Q22" s="3"/>
    </row>
    <row r="23" spans="1:17" x14ac:dyDescent="0.25">
      <c r="A23">
        <v>2042</v>
      </c>
      <c r="B23" t="str">
        <f t="shared" si="0"/>
        <v>2041-42</v>
      </c>
      <c r="D23" s="187">
        <v>1189893</v>
      </c>
      <c r="E23" s="187">
        <v>970393</v>
      </c>
      <c r="F23" s="187">
        <v>906729</v>
      </c>
      <c r="G23" s="187">
        <v>1021633</v>
      </c>
      <c r="H23" s="187">
        <v>817036</v>
      </c>
      <c r="I23" s="187">
        <v>688401</v>
      </c>
      <c r="J23" s="187">
        <v>320934</v>
      </c>
      <c r="K23" s="187">
        <v>971331</v>
      </c>
      <c r="L23" s="187">
        <v>970575</v>
      </c>
      <c r="M23" s="187">
        <v>1021624</v>
      </c>
      <c r="N23" s="52"/>
      <c r="P23" s="52"/>
      <c r="Q23" s="3"/>
    </row>
    <row r="24" spans="1:17" x14ac:dyDescent="0.25">
      <c r="A24">
        <v>2043</v>
      </c>
      <c r="B24" t="str">
        <f t="shared" si="0"/>
        <v>2042-43</v>
      </c>
      <c r="D24" s="187">
        <v>1199026</v>
      </c>
      <c r="E24" s="187">
        <v>969442</v>
      </c>
      <c r="F24" s="187">
        <v>900301</v>
      </c>
      <c r="G24" s="187">
        <v>1023430</v>
      </c>
      <c r="H24" s="187">
        <v>810195</v>
      </c>
      <c r="I24" s="187">
        <v>671121</v>
      </c>
      <c r="J24" s="187">
        <v>284660</v>
      </c>
      <c r="K24" s="187">
        <v>970428</v>
      </c>
      <c r="L24" s="187">
        <v>969641</v>
      </c>
      <c r="M24" s="187">
        <v>1023422</v>
      </c>
      <c r="N24" s="52"/>
      <c r="P24" s="52"/>
      <c r="Q24" s="3"/>
    </row>
    <row r="25" spans="1:17" x14ac:dyDescent="0.25">
      <c r="A25">
        <v>2044</v>
      </c>
      <c r="B25" t="str">
        <f t="shared" si="0"/>
        <v>2043-44</v>
      </c>
      <c r="D25" s="187">
        <v>1206813</v>
      </c>
      <c r="E25" s="187">
        <v>967386</v>
      </c>
      <c r="F25" s="187">
        <v>892785</v>
      </c>
      <c r="G25" s="187">
        <v>1024001</v>
      </c>
      <c r="H25" s="187">
        <v>802698</v>
      </c>
      <c r="I25" s="187">
        <v>653213</v>
      </c>
      <c r="J25" s="187">
        <v>248122</v>
      </c>
      <c r="K25" s="187">
        <v>968418</v>
      </c>
      <c r="L25" s="187">
        <v>967600</v>
      </c>
      <c r="M25" s="187">
        <v>1023994</v>
      </c>
      <c r="N25" s="52"/>
      <c r="P25" s="52"/>
      <c r="Q25" s="3"/>
    </row>
    <row r="26" spans="1:17" x14ac:dyDescent="0.25">
      <c r="A26">
        <v>2045</v>
      </c>
      <c r="B26" t="str">
        <f t="shared" si="0"/>
        <v>2044-45</v>
      </c>
      <c r="D26" s="187">
        <v>1214623</v>
      </c>
      <c r="E26" s="187">
        <v>964282</v>
      </c>
      <c r="F26" s="187">
        <v>884447</v>
      </c>
      <c r="G26" s="187">
        <v>1023445</v>
      </c>
      <c r="H26" s="187">
        <v>794900</v>
      </c>
      <c r="I26" s="187">
        <v>635105</v>
      </c>
      <c r="J26" s="187">
        <v>211456</v>
      </c>
      <c r="K26" s="187">
        <v>965358</v>
      </c>
      <c r="L26" s="187">
        <v>964510</v>
      </c>
      <c r="M26" s="187">
        <v>1023439</v>
      </c>
      <c r="N26" s="52"/>
      <c r="P26" s="52"/>
      <c r="Q26" s="3"/>
    </row>
    <row r="27" spans="1:17" x14ac:dyDescent="0.25">
      <c r="A27">
        <v>2046</v>
      </c>
      <c r="B27" t="str">
        <f t="shared" si="0"/>
        <v>2045-46</v>
      </c>
      <c r="D27" s="187">
        <v>1223090</v>
      </c>
      <c r="E27" s="187">
        <v>961832</v>
      </c>
      <c r="F27" s="187">
        <v>876719</v>
      </c>
      <c r="G27" s="187">
        <v>1023534</v>
      </c>
      <c r="H27" s="187">
        <v>787787</v>
      </c>
      <c r="I27" s="187">
        <v>617503</v>
      </c>
      <c r="J27" s="187">
        <v>174960</v>
      </c>
      <c r="K27" s="187">
        <v>962952</v>
      </c>
      <c r="L27" s="187">
        <v>962075</v>
      </c>
      <c r="M27" s="187">
        <v>1023530</v>
      </c>
      <c r="N27" s="52"/>
    </row>
    <row r="28" spans="1:17" x14ac:dyDescent="0.25">
      <c r="A28">
        <v>2047</v>
      </c>
      <c r="B28" t="str">
        <f t="shared" si="0"/>
        <v>2046-47</v>
      </c>
      <c r="D28" s="187">
        <v>1229438</v>
      </c>
      <c r="E28" s="187">
        <v>957698</v>
      </c>
      <c r="F28" s="187">
        <v>867516</v>
      </c>
      <c r="G28" s="187">
        <v>1021775</v>
      </c>
      <c r="H28" s="187">
        <v>779530</v>
      </c>
      <c r="I28" s="187">
        <v>598871</v>
      </c>
      <c r="J28" s="187">
        <v>138202</v>
      </c>
      <c r="K28" s="187">
        <v>958859</v>
      </c>
      <c r="L28" s="187">
        <v>957954</v>
      </c>
      <c r="M28" s="187">
        <v>1021772</v>
      </c>
      <c r="N28" s="52"/>
    </row>
    <row r="29" spans="1:17" x14ac:dyDescent="0.25">
      <c r="A29">
        <v>2048</v>
      </c>
      <c r="B29" t="str">
        <f t="shared" si="0"/>
        <v>2047-48</v>
      </c>
      <c r="D29" s="187">
        <v>1237217</v>
      </c>
      <c r="E29" s="187">
        <v>955135</v>
      </c>
      <c r="F29" s="187">
        <v>859813</v>
      </c>
      <c r="G29" s="187">
        <v>1021647</v>
      </c>
      <c r="H29" s="187">
        <v>772750</v>
      </c>
      <c r="I29" s="187">
        <v>581096</v>
      </c>
      <c r="J29" s="187">
        <v>135986</v>
      </c>
      <c r="K29" s="187">
        <v>956338</v>
      </c>
      <c r="L29" s="187">
        <v>955405</v>
      </c>
      <c r="M29" s="187">
        <v>1021644</v>
      </c>
      <c r="N29" s="52"/>
    </row>
    <row r="30" spans="1:17" x14ac:dyDescent="0.25">
      <c r="A30">
        <v>2049</v>
      </c>
      <c r="B30" t="str">
        <f t="shared" si="0"/>
        <v>2048-49</v>
      </c>
      <c r="D30" s="187">
        <v>1245282</v>
      </c>
      <c r="E30" s="187">
        <v>951368</v>
      </c>
      <c r="F30" s="187">
        <v>851080</v>
      </c>
      <c r="G30" s="187">
        <v>1020236</v>
      </c>
      <c r="H30" s="187">
        <v>765689</v>
      </c>
      <c r="I30" s="187">
        <v>563274</v>
      </c>
      <c r="J30" s="187">
        <v>133710</v>
      </c>
      <c r="K30" s="187">
        <v>952612</v>
      </c>
      <c r="L30" s="187">
        <v>951651</v>
      </c>
      <c r="M30" s="187">
        <v>1020235</v>
      </c>
      <c r="N30" s="52"/>
    </row>
    <row r="31" spans="1:17" x14ac:dyDescent="0.25">
      <c r="A31">
        <v>2050</v>
      </c>
      <c r="B31" t="str">
        <f t="shared" si="0"/>
        <v>2049-50</v>
      </c>
      <c r="D31" s="187">
        <v>1252729</v>
      </c>
      <c r="E31" s="187">
        <v>947341</v>
      </c>
      <c r="F31" s="187">
        <v>842042</v>
      </c>
      <c r="G31" s="187">
        <v>1018346</v>
      </c>
      <c r="H31" s="187">
        <v>758596</v>
      </c>
      <c r="I31" s="187">
        <v>545291</v>
      </c>
      <c r="J31" s="187">
        <v>131398</v>
      </c>
      <c r="K31" s="187">
        <v>948626</v>
      </c>
      <c r="L31" s="187">
        <v>947638</v>
      </c>
      <c r="M31" s="187">
        <v>1018346</v>
      </c>
      <c r="N31" s="52"/>
    </row>
  </sheetData>
  <mergeCells count="1">
    <mergeCell ref="D1:L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6F50-FC74-4041-9553-16B3ACDDA5CC}">
  <sheetPr>
    <tabColor rgb="FFFFC000"/>
  </sheetPr>
  <dimension ref="A1:S211"/>
  <sheetViews>
    <sheetView topLeftCell="A172" workbookViewId="0">
      <selection activeCell="X62" sqref="X62"/>
    </sheetView>
  </sheetViews>
  <sheetFormatPr defaultRowHeight="15" x14ac:dyDescent="0.25"/>
  <cols>
    <col min="1" max="1" width="12" bestFit="1" customWidth="1"/>
    <col min="2" max="2" width="11.42578125" bestFit="1" customWidth="1"/>
    <col min="3" max="3" width="43.42578125" bestFit="1" customWidth="1"/>
    <col min="4" max="4" width="16.85546875" bestFit="1" customWidth="1"/>
    <col min="5" max="5" width="18.28515625" bestFit="1" customWidth="1"/>
    <col min="6" max="6" width="5.140625" bestFit="1" customWidth="1"/>
    <col min="7" max="7" width="9.5703125" bestFit="1" customWidth="1"/>
    <col min="15" max="15" width="8.5703125" customWidth="1"/>
    <col min="19" max="19" width="9.5703125" bestFit="1" customWidth="1"/>
  </cols>
  <sheetData>
    <row r="1" spans="1:19" ht="30" x14ac:dyDescent="0.25">
      <c r="A1" s="1" t="s">
        <v>43</v>
      </c>
      <c r="B1" s="1" t="s">
        <v>44</v>
      </c>
      <c r="C1" s="1" t="s">
        <v>323</v>
      </c>
      <c r="D1" s="1" t="s">
        <v>324</v>
      </c>
      <c r="E1" s="1" t="s">
        <v>45</v>
      </c>
      <c r="F1" s="1" t="s">
        <v>46</v>
      </c>
      <c r="G1" s="1" t="s">
        <v>0</v>
      </c>
      <c r="H1" s="1" t="s">
        <v>48</v>
      </c>
      <c r="I1" s="1" t="s">
        <v>576</v>
      </c>
      <c r="J1" s="1" t="s">
        <v>61</v>
      </c>
      <c r="K1" s="1" t="s">
        <v>62</v>
      </c>
      <c r="L1" s="1" t="s">
        <v>63</v>
      </c>
      <c r="M1" s="1" t="s">
        <v>64</v>
      </c>
      <c r="N1" s="1" t="s">
        <v>65</v>
      </c>
      <c r="O1" s="1" t="s">
        <v>66</v>
      </c>
      <c r="P1" s="1" t="s">
        <v>67</v>
      </c>
      <c r="Q1" s="1" t="s">
        <v>95</v>
      </c>
      <c r="R1" s="1" t="s">
        <v>96</v>
      </c>
      <c r="S1" s="1" t="s">
        <v>97</v>
      </c>
    </row>
    <row r="2" spans="1:19" ht="30" x14ac:dyDescent="0.25">
      <c r="A2" s="1" t="s">
        <v>1</v>
      </c>
      <c r="B2" s="1" t="s">
        <v>348</v>
      </c>
      <c r="C2" s="1" t="s">
        <v>475</v>
      </c>
      <c r="D2" s="1" t="s">
        <v>572</v>
      </c>
      <c r="E2" s="1" t="s">
        <v>573</v>
      </c>
      <c r="F2" s="3">
        <v>1</v>
      </c>
      <c r="G2" s="1">
        <v>2022</v>
      </c>
      <c r="H2" s="1" t="s">
        <v>2</v>
      </c>
      <c r="I2" s="3">
        <v>0</v>
      </c>
      <c r="J2" s="3">
        <v>0</v>
      </c>
      <c r="K2" s="3">
        <v>0</v>
      </c>
      <c r="L2" s="3">
        <v>0</v>
      </c>
      <c r="M2" s="3">
        <v>0</v>
      </c>
      <c r="N2" s="3">
        <v>0</v>
      </c>
      <c r="O2" s="3">
        <v>0</v>
      </c>
      <c r="P2" s="3">
        <v>0</v>
      </c>
      <c r="Q2" s="3">
        <v>0</v>
      </c>
      <c r="R2" s="3">
        <v>0</v>
      </c>
      <c r="S2" s="3">
        <v>0</v>
      </c>
    </row>
    <row r="3" spans="1:19" ht="30" x14ac:dyDescent="0.25">
      <c r="A3" s="1" t="s">
        <v>1</v>
      </c>
      <c r="B3" s="1" t="s">
        <v>348</v>
      </c>
      <c r="C3" s="1" t="s">
        <v>475</v>
      </c>
      <c r="D3" s="1" t="s">
        <v>572</v>
      </c>
      <c r="E3" s="1" t="s">
        <v>573</v>
      </c>
      <c r="F3" s="3">
        <v>1</v>
      </c>
      <c r="G3" s="1">
        <v>2023</v>
      </c>
      <c r="H3" s="1" t="s">
        <v>2</v>
      </c>
      <c r="I3" s="3">
        <v>0</v>
      </c>
      <c r="J3" s="3">
        <v>0</v>
      </c>
      <c r="K3" s="3">
        <v>0</v>
      </c>
      <c r="L3" s="3">
        <v>0</v>
      </c>
      <c r="M3" s="3">
        <v>0</v>
      </c>
      <c r="N3" s="3">
        <v>0</v>
      </c>
      <c r="O3" s="3">
        <v>0</v>
      </c>
      <c r="P3" s="3">
        <v>0</v>
      </c>
      <c r="Q3" s="3">
        <v>0</v>
      </c>
      <c r="R3" s="3">
        <v>0</v>
      </c>
      <c r="S3" s="3">
        <v>0</v>
      </c>
    </row>
    <row r="4" spans="1:19" ht="30" x14ac:dyDescent="0.25">
      <c r="A4" s="1" t="s">
        <v>1</v>
      </c>
      <c r="B4" s="1" t="s">
        <v>348</v>
      </c>
      <c r="C4" s="1" t="s">
        <v>475</v>
      </c>
      <c r="D4" s="1" t="s">
        <v>572</v>
      </c>
      <c r="E4" s="1" t="s">
        <v>573</v>
      </c>
      <c r="F4" s="3">
        <v>1</v>
      </c>
      <c r="G4" s="1">
        <v>2024</v>
      </c>
      <c r="H4" s="1" t="s">
        <v>2</v>
      </c>
      <c r="I4" s="3">
        <v>0</v>
      </c>
      <c r="J4" s="3">
        <v>0</v>
      </c>
      <c r="K4" s="3">
        <v>0</v>
      </c>
      <c r="L4" s="3">
        <v>0</v>
      </c>
      <c r="M4" s="3">
        <v>0</v>
      </c>
      <c r="N4" s="3">
        <v>0</v>
      </c>
      <c r="O4" s="3">
        <v>0</v>
      </c>
      <c r="P4" s="3">
        <v>0</v>
      </c>
      <c r="Q4" s="3">
        <v>0</v>
      </c>
      <c r="R4" s="3">
        <v>0</v>
      </c>
      <c r="S4" s="3">
        <v>0</v>
      </c>
    </row>
    <row r="5" spans="1:19" ht="30" x14ac:dyDescent="0.25">
      <c r="A5" s="1" t="s">
        <v>1</v>
      </c>
      <c r="B5" s="1" t="s">
        <v>348</v>
      </c>
      <c r="C5" s="1" t="s">
        <v>475</v>
      </c>
      <c r="D5" s="1" t="s">
        <v>572</v>
      </c>
      <c r="E5" s="1" t="s">
        <v>573</v>
      </c>
      <c r="F5" s="3">
        <v>1</v>
      </c>
      <c r="G5" s="1">
        <v>2025</v>
      </c>
      <c r="H5" s="1" t="s">
        <v>2</v>
      </c>
      <c r="I5" s="3">
        <v>0</v>
      </c>
      <c r="J5" s="3">
        <v>0</v>
      </c>
      <c r="K5" s="3">
        <v>0</v>
      </c>
      <c r="L5" s="3">
        <v>0</v>
      </c>
      <c r="M5" s="3">
        <v>0</v>
      </c>
      <c r="N5" s="3">
        <v>0</v>
      </c>
      <c r="O5" s="3">
        <v>0</v>
      </c>
      <c r="P5" s="3">
        <v>0</v>
      </c>
      <c r="Q5" s="3">
        <v>0</v>
      </c>
      <c r="R5" s="3">
        <v>0</v>
      </c>
      <c r="S5" s="3">
        <v>0</v>
      </c>
    </row>
    <row r="6" spans="1:19" ht="30" x14ac:dyDescent="0.25">
      <c r="A6" s="1" t="s">
        <v>1</v>
      </c>
      <c r="B6" s="1" t="s">
        <v>348</v>
      </c>
      <c r="C6" s="1" t="s">
        <v>475</v>
      </c>
      <c r="D6" s="1" t="s">
        <v>572</v>
      </c>
      <c r="E6" s="1" t="s">
        <v>573</v>
      </c>
      <c r="F6" s="3">
        <v>1</v>
      </c>
      <c r="G6" s="1">
        <v>2026</v>
      </c>
      <c r="H6" s="1" t="s">
        <v>2</v>
      </c>
      <c r="I6" s="3">
        <v>0</v>
      </c>
      <c r="J6" s="3">
        <v>0</v>
      </c>
      <c r="K6" s="3">
        <v>0</v>
      </c>
      <c r="L6" s="3">
        <v>0</v>
      </c>
      <c r="M6" s="3">
        <v>0</v>
      </c>
      <c r="N6" s="3">
        <v>0</v>
      </c>
      <c r="O6" s="3">
        <v>0</v>
      </c>
      <c r="P6" s="3">
        <v>0</v>
      </c>
      <c r="Q6" s="3">
        <v>0</v>
      </c>
      <c r="R6" s="3">
        <v>0</v>
      </c>
      <c r="S6" s="3">
        <v>0</v>
      </c>
    </row>
    <row r="7" spans="1:19" ht="30" x14ac:dyDescent="0.25">
      <c r="A7" s="1" t="s">
        <v>1</v>
      </c>
      <c r="B7" s="1" t="s">
        <v>348</v>
      </c>
      <c r="C7" s="1" t="s">
        <v>475</v>
      </c>
      <c r="D7" s="1" t="s">
        <v>572</v>
      </c>
      <c r="E7" s="1" t="s">
        <v>573</v>
      </c>
      <c r="F7" s="3">
        <v>1</v>
      </c>
      <c r="G7" s="1">
        <v>2027</v>
      </c>
      <c r="H7" s="1" t="s">
        <v>2</v>
      </c>
      <c r="I7" s="3">
        <v>8.49E-6</v>
      </c>
      <c r="J7" s="3">
        <v>0</v>
      </c>
      <c r="K7" s="3">
        <v>0</v>
      </c>
      <c r="L7" s="3">
        <v>0</v>
      </c>
      <c r="M7" s="3">
        <v>0</v>
      </c>
      <c r="N7" s="3">
        <v>0</v>
      </c>
      <c r="O7" s="3">
        <v>0</v>
      </c>
      <c r="P7" s="3">
        <v>8.4930000000000002E-5</v>
      </c>
      <c r="Q7" s="3">
        <v>0</v>
      </c>
      <c r="R7" s="3">
        <v>0</v>
      </c>
      <c r="S7" s="3">
        <v>0</v>
      </c>
    </row>
    <row r="8" spans="1:19" ht="30" x14ac:dyDescent="0.25">
      <c r="A8" s="1" t="s">
        <v>1</v>
      </c>
      <c r="B8" s="1" t="s">
        <v>348</v>
      </c>
      <c r="C8" s="1" t="s">
        <v>475</v>
      </c>
      <c r="D8" s="1" t="s">
        <v>572</v>
      </c>
      <c r="E8" s="1" t="s">
        <v>573</v>
      </c>
      <c r="F8" s="3">
        <v>1</v>
      </c>
      <c r="G8" s="1">
        <v>2028</v>
      </c>
      <c r="H8" s="1" t="s">
        <v>2</v>
      </c>
      <c r="I8" s="3">
        <v>0</v>
      </c>
      <c r="J8" s="3">
        <v>0</v>
      </c>
      <c r="K8" s="3">
        <v>0</v>
      </c>
      <c r="L8" s="3">
        <v>0</v>
      </c>
      <c r="M8" s="3">
        <v>0</v>
      </c>
      <c r="N8" s="3">
        <v>0</v>
      </c>
      <c r="O8" s="3">
        <v>0</v>
      </c>
      <c r="P8" s="3">
        <v>0</v>
      </c>
      <c r="Q8" s="3">
        <v>0</v>
      </c>
      <c r="R8" s="3">
        <v>0</v>
      </c>
      <c r="S8" s="3">
        <v>0</v>
      </c>
    </row>
    <row r="9" spans="1:19" ht="30" x14ac:dyDescent="0.25">
      <c r="A9" s="1" t="s">
        <v>1</v>
      </c>
      <c r="B9" s="1" t="s">
        <v>348</v>
      </c>
      <c r="C9" s="1" t="s">
        <v>475</v>
      </c>
      <c r="D9" s="1" t="s">
        <v>572</v>
      </c>
      <c r="E9" s="1" t="s">
        <v>573</v>
      </c>
      <c r="F9" s="3">
        <v>1</v>
      </c>
      <c r="G9" s="1">
        <v>2029</v>
      </c>
      <c r="H9" s="1" t="s">
        <v>2</v>
      </c>
      <c r="I9" s="3">
        <v>0</v>
      </c>
      <c r="J9" s="3">
        <v>0</v>
      </c>
      <c r="K9" s="3">
        <v>0</v>
      </c>
      <c r="L9" s="3">
        <v>0</v>
      </c>
      <c r="M9" s="3">
        <v>0</v>
      </c>
      <c r="N9" s="3">
        <v>0</v>
      </c>
      <c r="O9" s="3">
        <v>0</v>
      </c>
      <c r="P9" s="3">
        <v>0</v>
      </c>
      <c r="Q9" s="3">
        <v>0</v>
      </c>
      <c r="R9" s="3">
        <v>0</v>
      </c>
      <c r="S9" s="3">
        <v>0</v>
      </c>
    </row>
    <row r="10" spans="1:19" ht="30" x14ac:dyDescent="0.25">
      <c r="A10" s="1" t="s">
        <v>1</v>
      </c>
      <c r="B10" s="1" t="s">
        <v>348</v>
      </c>
      <c r="C10" s="1" t="s">
        <v>475</v>
      </c>
      <c r="D10" s="1" t="s">
        <v>572</v>
      </c>
      <c r="E10" s="1" t="s">
        <v>573</v>
      </c>
      <c r="F10" s="3">
        <v>1</v>
      </c>
      <c r="G10" s="1">
        <v>2030</v>
      </c>
      <c r="H10" s="1" t="s">
        <v>2</v>
      </c>
      <c r="I10" s="3">
        <v>0</v>
      </c>
      <c r="J10" s="3">
        <v>0</v>
      </c>
      <c r="K10" s="3">
        <v>0</v>
      </c>
      <c r="L10" s="3">
        <v>0</v>
      </c>
      <c r="M10" s="3">
        <v>0</v>
      </c>
      <c r="N10" s="3">
        <v>0</v>
      </c>
      <c r="O10" s="3">
        <v>0</v>
      </c>
      <c r="P10" s="3">
        <v>0</v>
      </c>
      <c r="Q10" s="3">
        <v>0</v>
      </c>
      <c r="R10" s="3">
        <v>0</v>
      </c>
      <c r="S10" s="3">
        <v>0</v>
      </c>
    </row>
    <row r="11" spans="1:19" ht="30" x14ac:dyDescent="0.25">
      <c r="A11" s="1" t="s">
        <v>1</v>
      </c>
      <c r="B11" s="1" t="s">
        <v>348</v>
      </c>
      <c r="C11" s="1" t="s">
        <v>475</v>
      </c>
      <c r="D11" s="1" t="s">
        <v>572</v>
      </c>
      <c r="E11" s="1" t="s">
        <v>573</v>
      </c>
      <c r="F11" s="3">
        <v>1</v>
      </c>
      <c r="G11" s="1">
        <v>2031</v>
      </c>
      <c r="H11" s="1" t="s">
        <v>2</v>
      </c>
      <c r="I11" s="3">
        <v>0</v>
      </c>
      <c r="J11" s="3">
        <v>0</v>
      </c>
      <c r="K11" s="3">
        <v>0</v>
      </c>
      <c r="L11" s="3">
        <v>0</v>
      </c>
      <c r="M11" s="3">
        <v>0</v>
      </c>
      <c r="N11" s="3">
        <v>0</v>
      </c>
      <c r="O11" s="3">
        <v>0</v>
      </c>
      <c r="P11" s="3">
        <v>0</v>
      </c>
      <c r="Q11" s="3">
        <v>0</v>
      </c>
      <c r="R11" s="3">
        <v>0</v>
      </c>
      <c r="S11" s="3">
        <v>0</v>
      </c>
    </row>
    <row r="12" spans="1:19" ht="30" x14ac:dyDescent="0.25">
      <c r="A12" s="1" t="s">
        <v>1</v>
      </c>
      <c r="B12" s="1" t="s">
        <v>348</v>
      </c>
      <c r="C12" s="1" t="s">
        <v>475</v>
      </c>
      <c r="D12" s="1" t="s">
        <v>572</v>
      </c>
      <c r="E12" s="1" t="s">
        <v>573</v>
      </c>
      <c r="F12" s="3">
        <v>1</v>
      </c>
      <c r="G12" s="1">
        <v>2032</v>
      </c>
      <c r="H12" s="1" t="s">
        <v>2</v>
      </c>
      <c r="I12" s="3">
        <v>0</v>
      </c>
      <c r="J12" s="3">
        <v>0</v>
      </c>
      <c r="K12" s="3">
        <v>0</v>
      </c>
      <c r="L12" s="3">
        <v>0</v>
      </c>
      <c r="M12" s="3">
        <v>0</v>
      </c>
      <c r="N12" s="3">
        <v>0</v>
      </c>
      <c r="O12" s="3">
        <v>0</v>
      </c>
      <c r="P12" s="3">
        <v>0</v>
      </c>
      <c r="Q12" s="3">
        <v>0</v>
      </c>
      <c r="R12" s="3">
        <v>0</v>
      </c>
      <c r="S12" s="3">
        <v>0</v>
      </c>
    </row>
    <row r="13" spans="1:19" ht="30" x14ac:dyDescent="0.25">
      <c r="A13" s="1" t="s">
        <v>1</v>
      </c>
      <c r="B13" s="1" t="s">
        <v>348</v>
      </c>
      <c r="C13" s="1" t="s">
        <v>475</v>
      </c>
      <c r="D13" s="1" t="s">
        <v>572</v>
      </c>
      <c r="E13" s="1" t="s">
        <v>573</v>
      </c>
      <c r="F13" s="3">
        <v>1</v>
      </c>
      <c r="G13" s="1">
        <v>2033</v>
      </c>
      <c r="H13" s="1" t="s">
        <v>2</v>
      </c>
      <c r="I13" s="3">
        <v>0</v>
      </c>
      <c r="J13" s="3">
        <v>0</v>
      </c>
      <c r="K13" s="3">
        <v>0</v>
      </c>
      <c r="L13" s="3">
        <v>0</v>
      </c>
      <c r="M13" s="3">
        <v>0</v>
      </c>
      <c r="N13" s="3">
        <v>0</v>
      </c>
      <c r="O13" s="3">
        <v>0</v>
      </c>
      <c r="P13" s="3">
        <v>0</v>
      </c>
      <c r="Q13" s="3">
        <v>0</v>
      </c>
      <c r="R13" s="3">
        <v>0</v>
      </c>
      <c r="S13" s="3">
        <v>0</v>
      </c>
    </row>
    <row r="14" spans="1:19" ht="30" x14ac:dyDescent="0.25">
      <c r="A14" s="1" t="s">
        <v>1</v>
      </c>
      <c r="B14" s="1" t="s">
        <v>348</v>
      </c>
      <c r="C14" s="1" t="s">
        <v>475</v>
      </c>
      <c r="D14" s="1" t="s">
        <v>572</v>
      </c>
      <c r="E14" s="1" t="s">
        <v>573</v>
      </c>
      <c r="F14" s="3">
        <v>1</v>
      </c>
      <c r="G14" s="1">
        <v>2034</v>
      </c>
      <c r="H14" s="1" t="s">
        <v>2</v>
      </c>
      <c r="I14" s="3">
        <v>0</v>
      </c>
      <c r="J14" s="3">
        <v>0</v>
      </c>
      <c r="K14" s="3">
        <v>0</v>
      </c>
      <c r="L14" s="3">
        <v>0</v>
      </c>
      <c r="M14" s="3">
        <v>0</v>
      </c>
      <c r="N14" s="3">
        <v>0</v>
      </c>
      <c r="O14" s="3">
        <v>0</v>
      </c>
      <c r="P14" s="3">
        <v>0</v>
      </c>
      <c r="Q14" s="3">
        <v>0</v>
      </c>
      <c r="R14" s="3">
        <v>0</v>
      </c>
      <c r="S14" s="3">
        <v>0</v>
      </c>
    </row>
    <row r="15" spans="1:19" ht="30" x14ac:dyDescent="0.25">
      <c r="A15" s="1" t="s">
        <v>1</v>
      </c>
      <c r="B15" s="1" t="s">
        <v>348</v>
      </c>
      <c r="C15" s="1" t="s">
        <v>475</v>
      </c>
      <c r="D15" s="1" t="s">
        <v>572</v>
      </c>
      <c r="E15" s="1" t="s">
        <v>573</v>
      </c>
      <c r="F15" s="3">
        <v>1</v>
      </c>
      <c r="G15" s="1">
        <v>2035</v>
      </c>
      <c r="H15" s="1" t="s">
        <v>2</v>
      </c>
      <c r="I15" s="3">
        <v>0</v>
      </c>
      <c r="J15" s="3">
        <v>0</v>
      </c>
      <c r="K15" s="3">
        <v>0</v>
      </c>
      <c r="L15" s="3">
        <v>0</v>
      </c>
      <c r="M15" s="3">
        <v>0</v>
      </c>
      <c r="N15" s="3">
        <v>0</v>
      </c>
      <c r="O15" s="3">
        <v>0</v>
      </c>
      <c r="P15" s="3">
        <v>0</v>
      </c>
      <c r="Q15" s="3">
        <v>0</v>
      </c>
      <c r="R15" s="3">
        <v>0</v>
      </c>
      <c r="S15" s="3">
        <v>0</v>
      </c>
    </row>
    <row r="16" spans="1:19" ht="30" x14ac:dyDescent="0.25">
      <c r="A16" s="1" t="s">
        <v>1</v>
      </c>
      <c r="B16" s="1" t="s">
        <v>348</v>
      </c>
      <c r="C16" s="1" t="s">
        <v>475</v>
      </c>
      <c r="D16" s="1" t="s">
        <v>572</v>
      </c>
      <c r="E16" s="1" t="s">
        <v>573</v>
      </c>
      <c r="F16" s="3">
        <v>1</v>
      </c>
      <c r="G16" s="1">
        <v>2036</v>
      </c>
      <c r="H16" s="1" t="s">
        <v>2</v>
      </c>
      <c r="I16" s="3">
        <v>0</v>
      </c>
      <c r="J16" s="3">
        <v>0</v>
      </c>
      <c r="K16" s="3">
        <v>0</v>
      </c>
      <c r="L16" s="3">
        <v>0</v>
      </c>
      <c r="M16" s="3">
        <v>0</v>
      </c>
      <c r="N16" s="3">
        <v>0</v>
      </c>
      <c r="O16" s="3">
        <v>0</v>
      </c>
      <c r="P16" s="3">
        <v>0</v>
      </c>
      <c r="Q16" s="3">
        <v>0</v>
      </c>
      <c r="R16" s="3">
        <v>0</v>
      </c>
      <c r="S16" s="3">
        <v>0</v>
      </c>
    </row>
    <row r="17" spans="1:19" ht="30" x14ac:dyDescent="0.25">
      <c r="A17" s="1" t="s">
        <v>1</v>
      </c>
      <c r="B17" s="1" t="s">
        <v>348</v>
      </c>
      <c r="C17" s="1" t="s">
        <v>475</v>
      </c>
      <c r="D17" s="1" t="s">
        <v>572</v>
      </c>
      <c r="E17" s="1" t="s">
        <v>573</v>
      </c>
      <c r="F17" s="3">
        <v>1</v>
      </c>
      <c r="G17" s="1">
        <v>2037</v>
      </c>
      <c r="H17" s="1" t="s">
        <v>2</v>
      </c>
      <c r="I17" s="3">
        <v>0</v>
      </c>
      <c r="J17" s="3">
        <v>0</v>
      </c>
      <c r="K17" s="3">
        <v>0</v>
      </c>
      <c r="L17" s="3">
        <v>0</v>
      </c>
      <c r="M17" s="3">
        <v>0</v>
      </c>
      <c r="N17" s="3">
        <v>0</v>
      </c>
      <c r="O17" s="3">
        <v>0</v>
      </c>
      <c r="P17" s="3">
        <v>0</v>
      </c>
      <c r="Q17" s="3">
        <v>0</v>
      </c>
      <c r="R17" s="3">
        <v>0</v>
      </c>
      <c r="S17" s="3">
        <v>0</v>
      </c>
    </row>
    <row r="18" spans="1:19" ht="30" x14ac:dyDescent="0.25">
      <c r="A18" s="1" t="s">
        <v>1</v>
      </c>
      <c r="B18" s="1" t="s">
        <v>348</v>
      </c>
      <c r="C18" s="1" t="s">
        <v>475</v>
      </c>
      <c r="D18" s="1" t="s">
        <v>572</v>
      </c>
      <c r="E18" s="1" t="s">
        <v>573</v>
      </c>
      <c r="F18" s="3">
        <v>1</v>
      </c>
      <c r="G18" s="1">
        <v>2038</v>
      </c>
      <c r="H18" s="1" t="s">
        <v>2</v>
      </c>
      <c r="I18" s="3">
        <v>0</v>
      </c>
      <c r="J18" s="3">
        <v>0</v>
      </c>
      <c r="K18" s="3">
        <v>0</v>
      </c>
      <c r="L18" s="3">
        <v>0</v>
      </c>
      <c r="M18" s="3">
        <v>0</v>
      </c>
      <c r="N18" s="3">
        <v>0</v>
      </c>
      <c r="O18" s="3">
        <v>0</v>
      </c>
      <c r="P18" s="3">
        <v>0</v>
      </c>
      <c r="Q18" s="3">
        <v>0</v>
      </c>
      <c r="R18" s="3">
        <v>0</v>
      </c>
      <c r="S18" s="3">
        <v>0</v>
      </c>
    </row>
    <row r="19" spans="1:19" ht="30" x14ac:dyDescent="0.25">
      <c r="A19" s="1" t="s">
        <v>1</v>
      </c>
      <c r="B19" s="1" t="s">
        <v>348</v>
      </c>
      <c r="C19" s="1" t="s">
        <v>475</v>
      </c>
      <c r="D19" s="1" t="s">
        <v>572</v>
      </c>
      <c r="E19" s="1" t="s">
        <v>573</v>
      </c>
      <c r="F19" s="3">
        <v>1</v>
      </c>
      <c r="G19" s="1">
        <v>2039</v>
      </c>
      <c r="H19" s="1" t="s">
        <v>2</v>
      </c>
      <c r="I19" s="3">
        <v>0</v>
      </c>
      <c r="J19" s="3">
        <v>0</v>
      </c>
      <c r="K19" s="3">
        <v>0</v>
      </c>
      <c r="L19" s="3">
        <v>0</v>
      </c>
      <c r="M19" s="3">
        <v>0</v>
      </c>
      <c r="N19" s="3">
        <v>0</v>
      </c>
      <c r="O19" s="3">
        <v>0</v>
      </c>
      <c r="P19" s="3">
        <v>0</v>
      </c>
      <c r="Q19" s="3">
        <v>0</v>
      </c>
      <c r="R19" s="3">
        <v>0</v>
      </c>
      <c r="S19" s="3">
        <v>0</v>
      </c>
    </row>
    <row r="20" spans="1:19" ht="30" x14ac:dyDescent="0.25">
      <c r="A20" s="1" t="s">
        <v>1</v>
      </c>
      <c r="B20" s="1" t="s">
        <v>348</v>
      </c>
      <c r="C20" s="1" t="s">
        <v>475</v>
      </c>
      <c r="D20" s="1" t="s">
        <v>572</v>
      </c>
      <c r="E20" s="1" t="s">
        <v>573</v>
      </c>
      <c r="F20" s="3">
        <v>1</v>
      </c>
      <c r="G20" s="1">
        <v>2040</v>
      </c>
      <c r="H20" s="1" t="s">
        <v>2</v>
      </c>
      <c r="I20" s="3">
        <v>0</v>
      </c>
      <c r="J20" s="3">
        <v>0</v>
      </c>
      <c r="K20" s="3">
        <v>0</v>
      </c>
      <c r="L20" s="3">
        <v>0</v>
      </c>
      <c r="M20" s="3">
        <v>0</v>
      </c>
      <c r="N20" s="3">
        <v>0</v>
      </c>
      <c r="O20" s="3">
        <v>0</v>
      </c>
      <c r="P20" s="3">
        <v>0</v>
      </c>
      <c r="Q20" s="3">
        <v>0</v>
      </c>
      <c r="R20" s="3">
        <v>0</v>
      </c>
      <c r="S20" s="3">
        <v>0</v>
      </c>
    </row>
    <row r="21" spans="1:19" ht="30" x14ac:dyDescent="0.25">
      <c r="A21" s="1" t="s">
        <v>1</v>
      </c>
      <c r="B21" s="1" t="s">
        <v>348</v>
      </c>
      <c r="C21" s="1" t="s">
        <v>475</v>
      </c>
      <c r="D21" s="1" t="s">
        <v>572</v>
      </c>
      <c r="E21" s="1" t="s">
        <v>573</v>
      </c>
      <c r="F21" s="3">
        <v>1</v>
      </c>
      <c r="G21" s="1">
        <v>2041</v>
      </c>
      <c r="H21" s="1" t="s">
        <v>2</v>
      </c>
      <c r="I21" s="3">
        <v>0</v>
      </c>
      <c r="J21" s="3">
        <v>0</v>
      </c>
      <c r="K21" s="3">
        <v>0</v>
      </c>
      <c r="L21" s="3">
        <v>0</v>
      </c>
      <c r="M21" s="3">
        <v>0</v>
      </c>
      <c r="N21" s="3">
        <v>0</v>
      </c>
      <c r="O21" s="3">
        <v>0</v>
      </c>
      <c r="P21" s="3">
        <v>0</v>
      </c>
      <c r="Q21" s="3">
        <v>0</v>
      </c>
      <c r="R21" s="3">
        <v>0</v>
      </c>
      <c r="S21" s="3">
        <v>0</v>
      </c>
    </row>
    <row r="22" spans="1:19" ht="30" x14ac:dyDescent="0.25">
      <c r="A22" s="1" t="s">
        <v>1</v>
      </c>
      <c r="B22" s="1" t="s">
        <v>348</v>
      </c>
      <c r="C22" s="1" t="s">
        <v>475</v>
      </c>
      <c r="D22" s="1" t="s">
        <v>572</v>
      </c>
      <c r="E22" s="1" t="s">
        <v>573</v>
      </c>
      <c r="F22" s="3">
        <v>1</v>
      </c>
      <c r="G22" s="1">
        <v>2042</v>
      </c>
      <c r="H22" s="1" t="s">
        <v>2</v>
      </c>
      <c r="I22" s="3">
        <v>0</v>
      </c>
      <c r="J22" s="3">
        <v>0</v>
      </c>
      <c r="K22" s="3">
        <v>0</v>
      </c>
      <c r="L22" s="3">
        <v>0</v>
      </c>
      <c r="M22" s="3">
        <v>0</v>
      </c>
      <c r="N22" s="3">
        <v>0</v>
      </c>
      <c r="O22" s="3">
        <v>0</v>
      </c>
      <c r="P22" s="3">
        <v>0</v>
      </c>
      <c r="Q22" s="3">
        <v>0</v>
      </c>
      <c r="R22" s="3">
        <v>0</v>
      </c>
      <c r="S22" s="3">
        <v>0</v>
      </c>
    </row>
    <row r="23" spans="1:19" ht="30" x14ac:dyDescent="0.25">
      <c r="A23" s="1" t="s">
        <v>1</v>
      </c>
      <c r="B23" s="1" t="s">
        <v>348</v>
      </c>
      <c r="C23" s="1" t="s">
        <v>475</v>
      </c>
      <c r="D23" s="1" t="s">
        <v>572</v>
      </c>
      <c r="E23" s="1" t="s">
        <v>573</v>
      </c>
      <c r="F23" s="3">
        <v>1</v>
      </c>
      <c r="G23" s="1">
        <v>2043</v>
      </c>
      <c r="H23" s="1" t="s">
        <v>2</v>
      </c>
      <c r="I23" s="3">
        <v>0</v>
      </c>
      <c r="J23" s="3">
        <v>0</v>
      </c>
      <c r="K23" s="3">
        <v>0</v>
      </c>
      <c r="L23" s="3">
        <v>0</v>
      </c>
      <c r="M23" s="3">
        <v>0</v>
      </c>
      <c r="N23" s="3">
        <v>0</v>
      </c>
      <c r="O23" s="3">
        <v>0</v>
      </c>
      <c r="P23" s="3">
        <v>0</v>
      </c>
      <c r="Q23" s="3">
        <v>0</v>
      </c>
      <c r="R23" s="3">
        <v>0</v>
      </c>
      <c r="S23" s="3">
        <v>0</v>
      </c>
    </row>
    <row r="24" spans="1:19" ht="30" x14ac:dyDescent="0.25">
      <c r="A24" s="1" t="s">
        <v>1</v>
      </c>
      <c r="B24" s="1" t="s">
        <v>348</v>
      </c>
      <c r="C24" s="1" t="s">
        <v>475</v>
      </c>
      <c r="D24" s="1" t="s">
        <v>572</v>
      </c>
      <c r="E24" s="1" t="s">
        <v>573</v>
      </c>
      <c r="F24" s="3">
        <v>1</v>
      </c>
      <c r="G24" s="1">
        <v>2044</v>
      </c>
      <c r="H24" s="1" t="s">
        <v>2</v>
      </c>
      <c r="I24" s="3">
        <v>0</v>
      </c>
      <c r="J24" s="3">
        <v>0</v>
      </c>
      <c r="K24" s="3">
        <v>0</v>
      </c>
      <c r="L24" s="3">
        <v>0</v>
      </c>
      <c r="M24" s="3">
        <v>0</v>
      </c>
      <c r="N24" s="3">
        <v>0</v>
      </c>
      <c r="O24" s="3">
        <v>0</v>
      </c>
      <c r="P24" s="3">
        <v>0</v>
      </c>
      <c r="Q24" s="3">
        <v>0</v>
      </c>
      <c r="R24" s="3">
        <v>0</v>
      </c>
      <c r="S24" s="3">
        <v>0</v>
      </c>
    </row>
    <row r="25" spans="1:19" ht="30" x14ac:dyDescent="0.25">
      <c r="A25" s="1" t="s">
        <v>1</v>
      </c>
      <c r="B25" s="1" t="s">
        <v>348</v>
      </c>
      <c r="C25" s="1" t="s">
        <v>475</v>
      </c>
      <c r="D25" s="1" t="s">
        <v>572</v>
      </c>
      <c r="E25" s="1" t="s">
        <v>573</v>
      </c>
      <c r="F25" s="3">
        <v>1</v>
      </c>
      <c r="G25" s="1">
        <v>2045</v>
      </c>
      <c r="H25" s="1" t="s">
        <v>2</v>
      </c>
      <c r="I25" s="3">
        <v>0</v>
      </c>
      <c r="J25" s="3">
        <v>0</v>
      </c>
      <c r="K25" s="3">
        <v>0</v>
      </c>
      <c r="L25" s="3">
        <v>0</v>
      </c>
      <c r="M25" s="3">
        <v>0</v>
      </c>
      <c r="N25" s="3">
        <v>0</v>
      </c>
      <c r="O25" s="3">
        <v>0</v>
      </c>
      <c r="P25" s="3">
        <v>0</v>
      </c>
      <c r="Q25" s="3">
        <v>0</v>
      </c>
      <c r="R25" s="3">
        <v>0</v>
      </c>
      <c r="S25" s="3">
        <v>0</v>
      </c>
    </row>
    <row r="26" spans="1:19" ht="30" x14ac:dyDescent="0.25">
      <c r="A26" s="1" t="s">
        <v>1</v>
      </c>
      <c r="B26" s="1" t="s">
        <v>348</v>
      </c>
      <c r="C26" s="1" t="s">
        <v>475</v>
      </c>
      <c r="D26" s="1" t="s">
        <v>572</v>
      </c>
      <c r="E26" s="1" t="s">
        <v>573</v>
      </c>
      <c r="F26" s="3">
        <v>1</v>
      </c>
      <c r="G26" s="1">
        <v>2046</v>
      </c>
      <c r="H26" s="1" t="s">
        <v>2</v>
      </c>
      <c r="I26" s="3">
        <v>0</v>
      </c>
      <c r="J26" s="3">
        <v>0</v>
      </c>
      <c r="K26" s="3">
        <v>0</v>
      </c>
      <c r="L26" s="3">
        <v>0</v>
      </c>
      <c r="M26" s="3">
        <v>0</v>
      </c>
      <c r="N26" s="3">
        <v>0</v>
      </c>
      <c r="O26" s="3">
        <v>0</v>
      </c>
      <c r="P26" s="3">
        <v>0</v>
      </c>
      <c r="Q26" s="3">
        <v>0</v>
      </c>
      <c r="R26" s="3">
        <v>0</v>
      </c>
      <c r="S26" s="3">
        <v>0</v>
      </c>
    </row>
    <row r="27" spans="1:19" ht="30" x14ac:dyDescent="0.25">
      <c r="A27" s="1" t="s">
        <v>1</v>
      </c>
      <c r="B27" s="1" t="s">
        <v>348</v>
      </c>
      <c r="C27" s="1" t="s">
        <v>475</v>
      </c>
      <c r="D27" s="1" t="s">
        <v>572</v>
      </c>
      <c r="E27" s="1" t="s">
        <v>573</v>
      </c>
      <c r="F27" s="3">
        <v>1</v>
      </c>
      <c r="G27" s="1">
        <v>2047</v>
      </c>
      <c r="H27" s="1" t="s">
        <v>2</v>
      </c>
      <c r="I27" s="3">
        <v>0</v>
      </c>
      <c r="J27" s="3">
        <v>0</v>
      </c>
      <c r="K27" s="3">
        <v>0</v>
      </c>
      <c r="L27" s="3">
        <v>0</v>
      </c>
      <c r="M27" s="3">
        <v>0</v>
      </c>
      <c r="N27" s="3">
        <v>0</v>
      </c>
      <c r="O27" s="3">
        <v>0</v>
      </c>
      <c r="P27" s="3">
        <v>0</v>
      </c>
      <c r="Q27" s="3">
        <v>0</v>
      </c>
      <c r="R27" s="3">
        <v>0</v>
      </c>
      <c r="S27" s="3">
        <v>0</v>
      </c>
    </row>
    <row r="28" spans="1:19" ht="30" x14ac:dyDescent="0.25">
      <c r="A28" s="1" t="s">
        <v>1</v>
      </c>
      <c r="B28" s="1" t="s">
        <v>348</v>
      </c>
      <c r="C28" s="1" t="s">
        <v>475</v>
      </c>
      <c r="D28" s="1" t="s">
        <v>572</v>
      </c>
      <c r="E28" s="1" t="s">
        <v>573</v>
      </c>
      <c r="F28" s="3">
        <v>1</v>
      </c>
      <c r="G28" s="1">
        <v>2048</v>
      </c>
      <c r="H28" s="1" t="s">
        <v>2</v>
      </c>
      <c r="I28" s="3">
        <v>0</v>
      </c>
      <c r="J28" s="3">
        <v>0</v>
      </c>
      <c r="K28" s="3">
        <v>0</v>
      </c>
      <c r="L28" s="3">
        <v>0</v>
      </c>
      <c r="M28" s="3">
        <v>0</v>
      </c>
      <c r="N28" s="3">
        <v>0</v>
      </c>
      <c r="O28" s="3">
        <v>0</v>
      </c>
      <c r="P28" s="3">
        <v>0</v>
      </c>
      <c r="Q28" s="3">
        <v>0</v>
      </c>
      <c r="R28" s="3">
        <v>0</v>
      </c>
      <c r="S28" s="3">
        <v>0</v>
      </c>
    </row>
    <row r="29" spans="1:19" ht="30" x14ac:dyDescent="0.25">
      <c r="A29" s="1" t="s">
        <v>1</v>
      </c>
      <c r="B29" s="1" t="s">
        <v>348</v>
      </c>
      <c r="C29" s="1" t="s">
        <v>475</v>
      </c>
      <c r="D29" s="1" t="s">
        <v>572</v>
      </c>
      <c r="E29" s="1" t="s">
        <v>573</v>
      </c>
      <c r="F29" s="3">
        <v>1</v>
      </c>
      <c r="G29" s="1">
        <v>2049</v>
      </c>
      <c r="H29" s="1" t="s">
        <v>2</v>
      </c>
      <c r="I29" s="3">
        <v>0</v>
      </c>
      <c r="J29" s="3">
        <v>0</v>
      </c>
      <c r="K29" s="3">
        <v>0</v>
      </c>
      <c r="L29" s="3">
        <v>0</v>
      </c>
      <c r="M29" s="3">
        <v>0</v>
      </c>
      <c r="N29" s="3">
        <v>0</v>
      </c>
      <c r="O29" s="3">
        <v>0</v>
      </c>
      <c r="P29" s="3">
        <v>0</v>
      </c>
      <c r="Q29" s="3">
        <v>0</v>
      </c>
      <c r="R29" s="3">
        <v>0</v>
      </c>
      <c r="S29" s="3">
        <v>0</v>
      </c>
    </row>
    <row r="30" spans="1:19" ht="30" x14ac:dyDescent="0.25">
      <c r="A30" s="1" t="s">
        <v>1</v>
      </c>
      <c r="B30" s="1" t="s">
        <v>348</v>
      </c>
      <c r="C30" s="1" t="s">
        <v>475</v>
      </c>
      <c r="D30" s="1" t="s">
        <v>572</v>
      </c>
      <c r="E30" s="1" t="s">
        <v>573</v>
      </c>
      <c r="F30" s="3">
        <v>1</v>
      </c>
      <c r="G30" s="1">
        <v>2050</v>
      </c>
      <c r="H30" s="1" t="s">
        <v>2</v>
      </c>
      <c r="I30" s="3">
        <v>0</v>
      </c>
      <c r="J30" s="3">
        <v>0</v>
      </c>
      <c r="K30" s="3">
        <v>0</v>
      </c>
      <c r="L30" s="3">
        <v>0</v>
      </c>
      <c r="M30" s="3">
        <v>0</v>
      </c>
      <c r="N30" s="3">
        <v>0</v>
      </c>
      <c r="O30" s="3">
        <v>0</v>
      </c>
      <c r="P30" s="3">
        <v>0</v>
      </c>
      <c r="Q30" s="3">
        <v>0</v>
      </c>
      <c r="R30" s="3">
        <v>0</v>
      </c>
      <c r="S30" s="3">
        <v>0</v>
      </c>
    </row>
    <row r="31" spans="1:19" ht="30" x14ac:dyDescent="0.25">
      <c r="A31" s="1" t="s">
        <v>1</v>
      </c>
      <c r="B31" s="1" t="s">
        <v>348</v>
      </c>
      <c r="C31" s="1" t="s">
        <v>475</v>
      </c>
      <c r="D31" s="1" t="s">
        <v>572</v>
      </c>
      <c r="E31" s="1" t="s">
        <v>573</v>
      </c>
      <c r="F31" s="3">
        <v>1</v>
      </c>
      <c r="G31" s="1">
        <v>2051</v>
      </c>
      <c r="H31" s="1" t="s">
        <v>2</v>
      </c>
      <c r="I31" s="3">
        <v>0</v>
      </c>
      <c r="J31" s="3">
        <v>0</v>
      </c>
      <c r="K31" s="3">
        <v>0</v>
      </c>
      <c r="L31" s="3">
        <v>0</v>
      </c>
      <c r="M31" s="3">
        <v>0</v>
      </c>
      <c r="N31" s="3">
        <v>0</v>
      </c>
      <c r="O31" s="3">
        <v>0</v>
      </c>
      <c r="P31" s="3">
        <v>0</v>
      </c>
      <c r="Q31" s="3">
        <v>0</v>
      </c>
      <c r="R31" s="3">
        <v>0</v>
      </c>
      <c r="S31" s="3">
        <v>0</v>
      </c>
    </row>
    <row r="32" spans="1:19" ht="30" x14ac:dyDescent="0.25">
      <c r="A32" s="1" t="s">
        <v>1</v>
      </c>
      <c r="B32" s="1" t="s">
        <v>348</v>
      </c>
      <c r="C32" s="1" t="s">
        <v>476</v>
      </c>
      <c r="D32" s="1" t="s">
        <v>572</v>
      </c>
      <c r="E32" s="1" t="s">
        <v>573</v>
      </c>
      <c r="F32" s="3">
        <v>1</v>
      </c>
      <c r="G32" s="1">
        <v>2022</v>
      </c>
      <c r="H32" s="1" t="s">
        <v>2</v>
      </c>
      <c r="I32" s="3">
        <v>0</v>
      </c>
      <c r="J32" s="3">
        <v>0</v>
      </c>
      <c r="K32" s="3">
        <v>0</v>
      </c>
      <c r="L32" s="3">
        <v>0</v>
      </c>
      <c r="M32" s="3">
        <v>0</v>
      </c>
      <c r="N32" s="3">
        <v>0</v>
      </c>
      <c r="O32" s="3">
        <v>0</v>
      </c>
      <c r="P32" s="3">
        <v>0</v>
      </c>
      <c r="Q32" s="3">
        <v>0</v>
      </c>
      <c r="R32" s="3">
        <v>0</v>
      </c>
      <c r="S32" s="3">
        <v>0</v>
      </c>
    </row>
    <row r="33" spans="1:19" ht="30" x14ac:dyDescent="0.25">
      <c r="A33" s="1" t="s">
        <v>1</v>
      </c>
      <c r="B33" s="1" t="s">
        <v>348</v>
      </c>
      <c r="C33" s="1" t="s">
        <v>476</v>
      </c>
      <c r="D33" s="1" t="s">
        <v>572</v>
      </c>
      <c r="E33" s="1" t="s">
        <v>573</v>
      </c>
      <c r="F33" s="3">
        <v>1</v>
      </c>
      <c r="G33" s="1">
        <v>2023</v>
      </c>
      <c r="H33" s="1" t="s">
        <v>2</v>
      </c>
      <c r="I33" s="3">
        <v>0</v>
      </c>
      <c r="J33" s="3">
        <v>0</v>
      </c>
      <c r="K33" s="3">
        <v>0</v>
      </c>
      <c r="L33" s="3">
        <v>0</v>
      </c>
      <c r="M33" s="3">
        <v>0</v>
      </c>
      <c r="N33" s="3">
        <v>0</v>
      </c>
      <c r="O33" s="3">
        <v>0</v>
      </c>
      <c r="P33" s="3">
        <v>0</v>
      </c>
      <c r="Q33" s="3">
        <v>0</v>
      </c>
      <c r="R33" s="3">
        <v>0</v>
      </c>
      <c r="S33" s="3">
        <v>0</v>
      </c>
    </row>
    <row r="34" spans="1:19" ht="30" x14ac:dyDescent="0.25">
      <c r="A34" s="1" t="s">
        <v>1</v>
      </c>
      <c r="B34" s="1" t="s">
        <v>348</v>
      </c>
      <c r="C34" s="1" t="s">
        <v>476</v>
      </c>
      <c r="D34" s="1" t="s">
        <v>572</v>
      </c>
      <c r="E34" s="1" t="s">
        <v>573</v>
      </c>
      <c r="F34" s="3">
        <v>1</v>
      </c>
      <c r="G34" s="1">
        <v>2024</v>
      </c>
      <c r="H34" s="1" t="s">
        <v>2</v>
      </c>
      <c r="I34" s="3">
        <v>0</v>
      </c>
      <c r="J34" s="3">
        <v>0</v>
      </c>
      <c r="K34" s="3">
        <v>0</v>
      </c>
      <c r="L34" s="3">
        <v>0</v>
      </c>
      <c r="M34" s="3">
        <v>0</v>
      </c>
      <c r="N34" s="3">
        <v>0</v>
      </c>
      <c r="O34" s="3">
        <v>0</v>
      </c>
      <c r="P34" s="3">
        <v>0</v>
      </c>
      <c r="Q34" s="3">
        <v>0</v>
      </c>
      <c r="R34" s="3">
        <v>0</v>
      </c>
      <c r="S34" s="3">
        <v>0</v>
      </c>
    </row>
    <row r="35" spans="1:19" ht="30" x14ac:dyDescent="0.25">
      <c r="A35" s="1" t="s">
        <v>1</v>
      </c>
      <c r="B35" s="1" t="s">
        <v>348</v>
      </c>
      <c r="C35" s="1" t="s">
        <v>476</v>
      </c>
      <c r="D35" s="1" t="s">
        <v>572</v>
      </c>
      <c r="E35" s="1" t="s">
        <v>573</v>
      </c>
      <c r="F35" s="3">
        <v>1</v>
      </c>
      <c r="G35" s="1">
        <v>2025</v>
      </c>
      <c r="H35" s="1" t="s">
        <v>2</v>
      </c>
      <c r="I35" s="3">
        <v>0</v>
      </c>
      <c r="J35" s="3">
        <v>0</v>
      </c>
      <c r="K35" s="3">
        <v>0</v>
      </c>
      <c r="L35" s="3">
        <v>0</v>
      </c>
      <c r="M35" s="3">
        <v>0</v>
      </c>
      <c r="N35" s="3">
        <v>0</v>
      </c>
      <c r="O35" s="3">
        <v>0</v>
      </c>
      <c r="P35" s="3">
        <v>0</v>
      </c>
      <c r="Q35" s="3">
        <v>0</v>
      </c>
      <c r="R35" s="3">
        <v>0</v>
      </c>
      <c r="S35" s="3">
        <v>0</v>
      </c>
    </row>
    <row r="36" spans="1:19" ht="30" x14ac:dyDescent="0.25">
      <c r="A36" s="1" t="s">
        <v>1</v>
      </c>
      <c r="B36" s="1" t="s">
        <v>348</v>
      </c>
      <c r="C36" s="1" t="s">
        <v>476</v>
      </c>
      <c r="D36" s="1" t="s">
        <v>572</v>
      </c>
      <c r="E36" s="1" t="s">
        <v>573</v>
      </c>
      <c r="F36" s="3">
        <v>1</v>
      </c>
      <c r="G36" s="1">
        <v>2026</v>
      </c>
      <c r="H36" s="1" t="s">
        <v>2</v>
      </c>
      <c r="I36" s="3">
        <v>0</v>
      </c>
      <c r="J36" s="3">
        <v>0</v>
      </c>
      <c r="K36" s="3">
        <v>0</v>
      </c>
      <c r="L36" s="3">
        <v>0</v>
      </c>
      <c r="M36" s="3">
        <v>0</v>
      </c>
      <c r="N36" s="3">
        <v>0</v>
      </c>
      <c r="O36" s="3">
        <v>0</v>
      </c>
      <c r="P36" s="3">
        <v>0</v>
      </c>
      <c r="Q36" s="3">
        <v>0</v>
      </c>
      <c r="R36" s="3">
        <v>0</v>
      </c>
      <c r="S36" s="3">
        <v>0</v>
      </c>
    </row>
    <row r="37" spans="1:19" ht="30" x14ac:dyDescent="0.25">
      <c r="A37" s="1" t="s">
        <v>1</v>
      </c>
      <c r="B37" s="1" t="s">
        <v>348</v>
      </c>
      <c r="C37" s="1" t="s">
        <v>476</v>
      </c>
      <c r="D37" s="1" t="s">
        <v>572</v>
      </c>
      <c r="E37" s="1" t="s">
        <v>573</v>
      </c>
      <c r="F37" s="3">
        <v>1</v>
      </c>
      <c r="G37" s="1">
        <v>2027</v>
      </c>
      <c r="H37" s="1" t="s">
        <v>2</v>
      </c>
      <c r="I37" s="3">
        <v>0</v>
      </c>
      <c r="J37" s="3">
        <v>0</v>
      </c>
      <c r="K37" s="3">
        <v>0</v>
      </c>
      <c r="L37" s="3">
        <v>0</v>
      </c>
      <c r="M37" s="3">
        <v>0</v>
      </c>
      <c r="N37" s="3">
        <v>0</v>
      </c>
      <c r="O37" s="3">
        <v>0</v>
      </c>
      <c r="P37" s="3">
        <v>0</v>
      </c>
      <c r="Q37" s="3">
        <v>0</v>
      </c>
      <c r="R37" s="3">
        <v>0</v>
      </c>
      <c r="S37" s="3">
        <v>0</v>
      </c>
    </row>
    <row r="38" spans="1:19" ht="30" x14ac:dyDescent="0.25">
      <c r="A38" s="1" t="s">
        <v>1</v>
      </c>
      <c r="B38" s="1" t="s">
        <v>348</v>
      </c>
      <c r="C38" s="1" t="s">
        <v>476</v>
      </c>
      <c r="D38" s="1" t="s">
        <v>572</v>
      </c>
      <c r="E38" s="1" t="s">
        <v>573</v>
      </c>
      <c r="F38" s="3">
        <v>1</v>
      </c>
      <c r="G38" s="1">
        <v>2028</v>
      </c>
      <c r="H38" s="1" t="s">
        <v>2</v>
      </c>
      <c r="I38" s="3">
        <v>0</v>
      </c>
      <c r="J38" s="3">
        <v>0</v>
      </c>
      <c r="K38" s="3">
        <v>0</v>
      </c>
      <c r="L38" s="3">
        <v>0</v>
      </c>
      <c r="M38" s="3">
        <v>0</v>
      </c>
      <c r="N38" s="3">
        <v>0</v>
      </c>
      <c r="O38" s="3">
        <v>0</v>
      </c>
      <c r="P38" s="3">
        <v>0</v>
      </c>
      <c r="Q38" s="3">
        <v>0</v>
      </c>
      <c r="R38" s="3">
        <v>0</v>
      </c>
      <c r="S38" s="3">
        <v>0</v>
      </c>
    </row>
    <row r="39" spans="1:19" ht="30" x14ac:dyDescent="0.25">
      <c r="A39" s="1" t="s">
        <v>1</v>
      </c>
      <c r="B39" s="1" t="s">
        <v>348</v>
      </c>
      <c r="C39" s="1" t="s">
        <v>476</v>
      </c>
      <c r="D39" s="1" t="s">
        <v>572</v>
      </c>
      <c r="E39" s="1" t="s">
        <v>573</v>
      </c>
      <c r="F39" s="3">
        <v>1</v>
      </c>
      <c r="G39" s="1">
        <v>2029</v>
      </c>
      <c r="H39" s="1" t="s">
        <v>2</v>
      </c>
      <c r="I39" s="3">
        <v>0</v>
      </c>
      <c r="J39" s="3">
        <v>0</v>
      </c>
      <c r="K39" s="3">
        <v>0</v>
      </c>
      <c r="L39" s="3">
        <v>0</v>
      </c>
      <c r="M39" s="3">
        <v>0</v>
      </c>
      <c r="N39" s="3">
        <v>0</v>
      </c>
      <c r="O39" s="3">
        <v>0</v>
      </c>
      <c r="P39" s="3">
        <v>0</v>
      </c>
      <c r="Q39" s="3">
        <v>0</v>
      </c>
      <c r="R39" s="3">
        <v>0</v>
      </c>
      <c r="S39" s="3">
        <v>0</v>
      </c>
    </row>
    <row r="40" spans="1:19" ht="30" x14ac:dyDescent="0.25">
      <c r="A40" s="1" t="s">
        <v>1</v>
      </c>
      <c r="B40" s="1" t="s">
        <v>348</v>
      </c>
      <c r="C40" s="1" t="s">
        <v>476</v>
      </c>
      <c r="D40" s="1" t="s">
        <v>572</v>
      </c>
      <c r="E40" s="1" t="s">
        <v>573</v>
      </c>
      <c r="F40" s="3">
        <v>1</v>
      </c>
      <c r="G40" s="1">
        <v>2030</v>
      </c>
      <c r="H40" s="1" t="s">
        <v>2</v>
      </c>
      <c r="I40" s="3">
        <v>0</v>
      </c>
      <c r="J40" s="3">
        <v>0</v>
      </c>
      <c r="K40" s="3">
        <v>0</v>
      </c>
      <c r="L40" s="3">
        <v>0</v>
      </c>
      <c r="M40" s="3">
        <v>0</v>
      </c>
      <c r="N40" s="3">
        <v>0</v>
      </c>
      <c r="O40" s="3">
        <v>0</v>
      </c>
      <c r="P40" s="3">
        <v>0</v>
      </c>
      <c r="Q40" s="3">
        <v>0</v>
      </c>
      <c r="R40" s="3">
        <v>0</v>
      </c>
      <c r="S40" s="3">
        <v>0</v>
      </c>
    </row>
    <row r="41" spans="1:19" ht="30" x14ac:dyDescent="0.25">
      <c r="A41" s="1" t="s">
        <v>1</v>
      </c>
      <c r="B41" s="1" t="s">
        <v>348</v>
      </c>
      <c r="C41" s="1" t="s">
        <v>476</v>
      </c>
      <c r="D41" s="1" t="s">
        <v>572</v>
      </c>
      <c r="E41" s="1" t="s">
        <v>573</v>
      </c>
      <c r="F41" s="3">
        <v>1</v>
      </c>
      <c r="G41" s="1">
        <v>2031</v>
      </c>
      <c r="H41" s="1" t="s">
        <v>2</v>
      </c>
      <c r="I41" s="3">
        <v>0</v>
      </c>
      <c r="J41" s="3">
        <v>0</v>
      </c>
      <c r="K41" s="3">
        <v>0</v>
      </c>
      <c r="L41" s="3">
        <v>0</v>
      </c>
      <c r="M41" s="3">
        <v>0</v>
      </c>
      <c r="N41" s="3">
        <v>0</v>
      </c>
      <c r="O41" s="3">
        <v>0</v>
      </c>
      <c r="P41" s="3">
        <v>0</v>
      </c>
      <c r="Q41" s="3">
        <v>0</v>
      </c>
      <c r="R41" s="3">
        <v>0</v>
      </c>
      <c r="S41" s="3">
        <v>0</v>
      </c>
    </row>
    <row r="42" spans="1:19" ht="30" x14ac:dyDescent="0.25">
      <c r="A42" s="1" t="s">
        <v>1</v>
      </c>
      <c r="B42" s="1" t="s">
        <v>348</v>
      </c>
      <c r="C42" s="1" t="s">
        <v>476</v>
      </c>
      <c r="D42" s="1" t="s">
        <v>572</v>
      </c>
      <c r="E42" s="1" t="s">
        <v>573</v>
      </c>
      <c r="F42" s="3">
        <v>1</v>
      </c>
      <c r="G42" s="1">
        <v>2032</v>
      </c>
      <c r="H42" s="1" t="s">
        <v>2</v>
      </c>
      <c r="I42" s="3">
        <v>0</v>
      </c>
      <c r="J42" s="3">
        <v>0</v>
      </c>
      <c r="K42" s="3">
        <v>0</v>
      </c>
      <c r="L42" s="3">
        <v>0</v>
      </c>
      <c r="M42" s="3">
        <v>0</v>
      </c>
      <c r="N42" s="3">
        <v>0</v>
      </c>
      <c r="O42" s="3">
        <v>0</v>
      </c>
      <c r="P42" s="3">
        <v>0</v>
      </c>
      <c r="Q42" s="3">
        <v>0</v>
      </c>
      <c r="R42" s="3">
        <v>0</v>
      </c>
      <c r="S42" s="3">
        <v>0</v>
      </c>
    </row>
    <row r="43" spans="1:19" ht="30" x14ac:dyDescent="0.25">
      <c r="A43" s="1" t="s">
        <v>1</v>
      </c>
      <c r="B43" s="1" t="s">
        <v>348</v>
      </c>
      <c r="C43" s="1" t="s">
        <v>476</v>
      </c>
      <c r="D43" s="1" t="s">
        <v>572</v>
      </c>
      <c r="E43" s="1" t="s">
        <v>573</v>
      </c>
      <c r="F43" s="3">
        <v>1</v>
      </c>
      <c r="G43" s="1">
        <v>2033</v>
      </c>
      <c r="H43" s="1" t="s">
        <v>2</v>
      </c>
      <c r="I43" s="3">
        <v>0</v>
      </c>
      <c r="J43" s="3">
        <v>0</v>
      </c>
      <c r="K43" s="3">
        <v>0</v>
      </c>
      <c r="L43" s="3">
        <v>0</v>
      </c>
      <c r="M43" s="3">
        <v>0</v>
      </c>
      <c r="N43" s="3">
        <v>0</v>
      </c>
      <c r="O43" s="3">
        <v>0</v>
      </c>
      <c r="P43" s="3">
        <v>0</v>
      </c>
      <c r="Q43" s="3">
        <v>0</v>
      </c>
      <c r="R43" s="3">
        <v>0</v>
      </c>
      <c r="S43" s="3">
        <v>0</v>
      </c>
    </row>
    <row r="44" spans="1:19" ht="30" x14ac:dyDescent="0.25">
      <c r="A44" s="1" t="s">
        <v>1</v>
      </c>
      <c r="B44" s="1" t="s">
        <v>348</v>
      </c>
      <c r="C44" s="1" t="s">
        <v>476</v>
      </c>
      <c r="D44" s="1" t="s">
        <v>572</v>
      </c>
      <c r="E44" s="1" t="s">
        <v>573</v>
      </c>
      <c r="F44" s="3">
        <v>1</v>
      </c>
      <c r="G44" s="1">
        <v>2034</v>
      </c>
      <c r="H44" s="1" t="s">
        <v>2</v>
      </c>
      <c r="I44" s="3">
        <v>0</v>
      </c>
      <c r="J44" s="3">
        <v>0</v>
      </c>
      <c r="K44" s="3">
        <v>0</v>
      </c>
      <c r="L44" s="3">
        <v>0</v>
      </c>
      <c r="M44" s="3">
        <v>0</v>
      </c>
      <c r="N44" s="3">
        <v>0</v>
      </c>
      <c r="O44" s="3">
        <v>0</v>
      </c>
      <c r="P44" s="3">
        <v>0</v>
      </c>
      <c r="Q44" s="3">
        <v>0</v>
      </c>
      <c r="R44" s="3">
        <v>0</v>
      </c>
      <c r="S44" s="3">
        <v>0</v>
      </c>
    </row>
    <row r="45" spans="1:19" ht="30" x14ac:dyDescent="0.25">
      <c r="A45" s="1" t="s">
        <v>1</v>
      </c>
      <c r="B45" s="1" t="s">
        <v>348</v>
      </c>
      <c r="C45" s="1" t="s">
        <v>476</v>
      </c>
      <c r="D45" s="1" t="s">
        <v>572</v>
      </c>
      <c r="E45" s="1" t="s">
        <v>573</v>
      </c>
      <c r="F45" s="3">
        <v>1</v>
      </c>
      <c r="G45" s="1">
        <v>2035</v>
      </c>
      <c r="H45" s="1" t="s">
        <v>2</v>
      </c>
      <c r="I45" s="3">
        <v>0</v>
      </c>
      <c r="J45" s="3">
        <v>0</v>
      </c>
      <c r="K45" s="3">
        <v>0</v>
      </c>
      <c r="L45" s="3">
        <v>0</v>
      </c>
      <c r="M45" s="3">
        <v>0</v>
      </c>
      <c r="N45" s="3">
        <v>0</v>
      </c>
      <c r="O45" s="3">
        <v>0</v>
      </c>
      <c r="P45" s="3">
        <v>0</v>
      </c>
      <c r="Q45" s="3">
        <v>0</v>
      </c>
      <c r="R45" s="3">
        <v>0</v>
      </c>
      <c r="S45" s="3">
        <v>0</v>
      </c>
    </row>
    <row r="46" spans="1:19" ht="30" x14ac:dyDescent="0.25">
      <c r="A46" s="1" t="s">
        <v>1</v>
      </c>
      <c r="B46" s="1" t="s">
        <v>348</v>
      </c>
      <c r="C46" s="1" t="s">
        <v>476</v>
      </c>
      <c r="D46" s="1" t="s">
        <v>572</v>
      </c>
      <c r="E46" s="1" t="s">
        <v>573</v>
      </c>
      <c r="F46" s="3">
        <v>1</v>
      </c>
      <c r="G46" s="1">
        <v>2036</v>
      </c>
      <c r="H46" s="1" t="s">
        <v>2</v>
      </c>
      <c r="I46" s="3">
        <v>0</v>
      </c>
      <c r="J46" s="3">
        <v>0</v>
      </c>
      <c r="K46" s="3">
        <v>0</v>
      </c>
      <c r="L46" s="3">
        <v>0</v>
      </c>
      <c r="M46" s="3">
        <v>0</v>
      </c>
      <c r="N46" s="3">
        <v>0</v>
      </c>
      <c r="O46" s="3">
        <v>0</v>
      </c>
      <c r="P46" s="3">
        <v>0</v>
      </c>
      <c r="Q46" s="3">
        <v>0</v>
      </c>
      <c r="R46" s="3">
        <v>0</v>
      </c>
      <c r="S46" s="3">
        <v>0</v>
      </c>
    </row>
    <row r="47" spans="1:19" ht="30" x14ac:dyDescent="0.25">
      <c r="A47" s="1" t="s">
        <v>1</v>
      </c>
      <c r="B47" s="1" t="s">
        <v>348</v>
      </c>
      <c r="C47" s="1" t="s">
        <v>476</v>
      </c>
      <c r="D47" s="1" t="s">
        <v>572</v>
      </c>
      <c r="E47" s="1" t="s">
        <v>573</v>
      </c>
      <c r="F47" s="3">
        <v>1</v>
      </c>
      <c r="G47" s="1">
        <v>2037</v>
      </c>
      <c r="H47" s="1" t="s">
        <v>2</v>
      </c>
      <c r="I47" s="3">
        <v>0</v>
      </c>
      <c r="J47" s="3">
        <v>0</v>
      </c>
      <c r="K47" s="3">
        <v>0</v>
      </c>
      <c r="L47" s="3">
        <v>0</v>
      </c>
      <c r="M47" s="3">
        <v>0</v>
      </c>
      <c r="N47" s="3">
        <v>0</v>
      </c>
      <c r="O47" s="3">
        <v>0</v>
      </c>
      <c r="P47" s="3">
        <v>0</v>
      </c>
      <c r="Q47" s="3">
        <v>0</v>
      </c>
      <c r="R47" s="3">
        <v>0</v>
      </c>
      <c r="S47" s="3">
        <v>0</v>
      </c>
    </row>
    <row r="48" spans="1:19" ht="30" x14ac:dyDescent="0.25">
      <c r="A48" s="1" t="s">
        <v>1</v>
      </c>
      <c r="B48" s="1" t="s">
        <v>348</v>
      </c>
      <c r="C48" s="1" t="s">
        <v>476</v>
      </c>
      <c r="D48" s="1" t="s">
        <v>572</v>
      </c>
      <c r="E48" s="1" t="s">
        <v>573</v>
      </c>
      <c r="F48" s="3">
        <v>1</v>
      </c>
      <c r="G48" s="1">
        <v>2038</v>
      </c>
      <c r="H48" s="1" t="s">
        <v>2</v>
      </c>
      <c r="I48" s="3">
        <v>0</v>
      </c>
      <c r="J48" s="3">
        <v>0</v>
      </c>
      <c r="K48" s="3">
        <v>0</v>
      </c>
      <c r="L48" s="3">
        <v>0</v>
      </c>
      <c r="M48" s="3">
        <v>0</v>
      </c>
      <c r="N48" s="3">
        <v>0</v>
      </c>
      <c r="O48" s="3">
        <v>0</v>
      </c>
      <c r="P48" s="3">
        <v>0</v>
      </c>
      <c r="Q48" s="3">
        <v>0</v>
      </c>
      <c r="R48" s="3">
        <v>0</v>
      </c>
      <c r="S48" s="3">
        <v>0</v>
      </c>
    </row>
    <row r="49" spans="1:19" ht="30" x14ac:dyDescent="0.25">
      <c r="A49" s="1" t="s">
        <v>1</v>
      </c>
      <c r="B49" s="1" t="s">
        <v>348</v>
      </c>
      <c r="C49" s="1" t="s">
        <v>476</v>
      </c>
      <c r="D49" s="1" t="s">
        <v>572</v>
      </c>
      <c r="E49" s="1" t="s">
        <v>573</v>
      </c>
      <c r="F49" s="3">
        <v>1</v>
      </c>
      <c r="G49" s="1">
        <v>2039</v>
      </c>
      <c r="H49" s="1" t="s">
        <v>2</v>
      </c>
      <c r="I49" s="3">
        <v>0</v>
      </c>
      <c r="J49" s="3">
        <v>0</v>
      </c>
      <c r="K49" s="3">
        <v>0</v>
      </c>
      <c r="L49" s="3">
        <v>0</v>
      </c>
      <c r="M49" s="3">
        <v>0</v>
      </c>
      <c r="N49" s="3">
        <v>0</v>
      </c>
      <c r="O49" s="3">
        <v>0</v>
      </c>
      <c r="P49" s="3">
        <v>0</v>
      </c>
      <c r="Q49" s="3">
        <v>0</v>
      </c>
      <c r="R49" s="3">
        <v>0</v>
      </c>
      <c r="S49" s="3">
        <v>0</v>
      </c>
    </row>
    <row r="50" spans="1:19" ht="30" x14ac:dyDescent="0.25">
      <c r="A50" s="1" t="s">
        <v>1</v>
      </c>
      <c r="B50" s="1" t="s">
        <v>348</v>
      </c>
      <c r="C50" s="1" t="s">
        <v>476</v>
      </c>
      <c r="D50" s="1" t="s">
        <v>572</v>
      </c>
      <c r="E50" s="1" t="s">
        <v>573</v>
      </c>
      <c r="F50" s="3">
        <v>1</v>
      </c>
      <c r="G50" s="1">
        <v>2040</v>
      </c>
      <c r="H50" s="1" t="s">
        <v>2</v>
      </c>
      <c r="I50" s="3">
        <v>0</v>
      </c>
      <c r="J50" s="3">
        <v>0</v>
      </c>
      <c r="K50" s="3">
        <v>0</v>
      </c>
      <c r="L50" s="3">
        <v>0</v>
      </c>
      <c r="M50" s="3">
        <v>0</v>
      </c>
      <c r="N50" s="3">
        <v>0</v>
      </c>
      <c r="O50" s="3">
        <v>0</v>
      </c>
      <c r="P50" s="3">
        <v>0</v>
      </c>
      <c r="Q50" s="3">
        <v>0</v>
      </c>
      <c r="R50" s="3">
        <v>0</v>
      </c>
      <c r="S50" s="3">
        <v>0</v>
      </c>
    </row>
    <row r="51" spans="1:19" ht="30" x14ac:dyDescent="0.25">
      <c r="A51" s="1" t="s">
        <v>1</v>
      </c>
      <c r="B51" s="1" t="s">
        <v>348</v>
      </c>
      <c r="C51" s="1" t="s">
        <v>476</v>
      </c>
      <c r="D51" s="1" t="s">
        <v>572</v>
      </c>
      <c r="E51" s="1" t="s">
        <v>573</v>
      </c>
      <c r="F51" s="3">
        <v>1</v>
      </c>
      <c r="G51" s="1">
        <v>2041</v>
      </c>
      <c r="H51" s="1" t="s">
        <v>2</v>
      </c>
      <c r="I51" s="3">
        <v>0</v>
      </c>
      <c r="J51" s="3">
        <v>0</v>
      </c>
      <c r="K51" s="3">
        <v>0</v>
      </c>
      <c r="L51" s="3">
        <v>0</v>
      </c>
      <c r="M51" s="3">
        <v>0</v>
      </c>
      <c r="N51" s="3">
        <v>0</v>
      </c>
      <c r="O51" s="3">
        <v>0</v>
      </c>
      <c r="P51" s="3">
        <v>0</v>
      </c>
      <c r="Q51" s="3">
        <v>0</v>
      </c>
      <c r="R51" s="3">
        <v>0</v>
      </c>
      <c r="S51" s="3">
        <v>0</v>
      </c>
    </row>
    <row r="52" spans="1:19" ht="30" x14ac:dyDescent="0.25">
      <c r="A52" s="1" t="s">
        <v>1</v>
      </c>
      <c r="B52" s="1" t="s">
        <v>348</v>
      </c>
      <c r="C52" s="1" t="s">
        <v>476</v>
      </c>
      <c r="D52" s="1" t="s">
        <v>572</v>
      </c>
      <c r="E52" s="1" t="s">
        <v>573</v>
      </c>
      <c r="F52" s="3">
        <v>1</v>
      </c>
      <c r="G52" s="1">
        <v>2042</v>
      </c>
      <c r="H52" s="1" t="s">
        <v>2</v>
      </c>
      <c r="I52" s="3">
        <v>0</v>
      </c>
      <c r="J52" s="3">
        <v>0</v>
      </c>
      <c r="K52" s="3">
        <v>0</v>
      </c>
      <c r="L52" s="3">
        <v>0</v>
      </c>
      <c r="M52" s="3">
        <v>0</v>
      </c>
      <c r="N52" s="3">
        <v>0</v>
      </c>
      <c r="O52" s="3">
        <v>0</v>
      </c>
      <c r="P52" s="3">
        <v>0</v>
      </c>
      <c r="Q52" s="3">
        <v>0</v>
      </c>
      <c r="R52" s="3">
        <v>0</v>
      </c>
      <c r="S52" s="3">
        <v>0</v>
      </c>
    </row>
    <row r="53" spans="1:19" ht="30" x14ac:dyDescent="0.25">
      <c r="A53" s="1" t="s">
        <v>1</v>
      </c>
      <c r="B53" s="1" t="s">
        <v>348</v>
      </c>
      <c r="C53" s="1" t="s">
        <v>476</v>
      </c>
      <c r="D53" s="1" t="s">
        <v>572</v>
      </c>
      <c r="E53" s="1" t="s">
        <v>573</v>
      </c>
      <c r="F53" s="3">
        <v>1</v>
      </c>
      <c r="G53" s="1">
        <v>2043</v>
      </c>
      <c r="H53" s="1" t="s">
        <v>2</v>
      </c>
      <c r="I53" s="3">
        <v>0</v>
      </c>
      <c r="J53" s="3">
        <v>0</v>
      </c>
      <c r="K53" s="3">
        <v>0</v>
      </c>
      <c r="L53" s="3">
        <v>0</v>
      </c>
      <c r="M53" s="3">
        <v>0</v>
      </c>
      <c r="N53" s="3">
        <v>0</v>
      </c>
      <c r="O53" s="3">
        <v>0</v>
      </c>
      <c r="P53" s="3">
        <v>0</v>
      </c>
      <c r="Q53" s="3">
        <v>0</v>
      </c>
      <c r="R53" s="3">
        <v>0</v>
      </c>
      <c r="S53" s="3">
        <v>0</v>
      </c>
    </row>
    <row r="54" spans="1:19" ht="30" x14ac:dyDescent="0.25">
      <c r="A54" s="1" t="s">
        <v>1</v>
      </c>
      <c r="B54" s="1" t="s">
        <v>348</v>
      </c>
      <c r="C54" s="1" t="s">
        <v>476</v>
      </c>
      <c r="D54" s="1" t="s">
        <v>572</v>
      </c>
      <c r="E54" s="1" t="s">
        <v>573</v>
      </c>
      <c r="F54" s="3">
        <v>1</v>
      </c>
      <c r="G54" s="1">
        <v>2044</v>
      </c>
      <c r="H54" s="1" t="s">
        <v>2</v>
      </c>
      <c r="I54" s="3">
        <v>0</v>
      </c>
      <c r="J54" s="3">
        <v>0</v>
      </c>
      <c r="K54" s="3">
        <v>0</v>
      </c>
      <c r="L54" s="3">
        <v>0</v>
      </c>
      <c r="M54" s="3">
        <v>0</v>
      </c>
      <c r="N54" s="3">
        <v>0</v>
      </c>
      <c r="O54" s="3">
        <v>0</v>
      </c>
      <c r="P54" s="3">
        <v>0</v>
      </c>
      <c r="Q54" s="3">
        <v>0</v>
      </c>
      <c r="R54" s="3">
        <v>0</v>
      </c>
      <c r="S54" s="3">
        <v>0</v>
      </c>
    </row>
    <row r="55" spans="1:19" ht="30" x14ac:dyDescent="0.25">
      <c r="A55" s="1" t="s">
        <v>1</v>
      </c>
      <c r="B55" s="1" t="s">
        <v>348</v>
      </c>
      <c r="C55" s="1" t="s">
        <v>476</v>
      </c>
      <c r="D55" s="1" t="s">
        <v>572</v>
      </c>
      <c r="E55" s="1" t="s">
        <v>573</v>
      </c>
      <c r="F55" s="3">
        <v>1</v>
      </c>
      <c r="G55" s="1">
        <v>2045</v>
      </c>
      <c r="H55" s="1" t="s">
        <v>2</v>
      </c>
      <c r="I55" s="3">
        <v>0</v>
      </c>
      <c r="J55" s="3">
        <v>0</v>
      </c>
      <c r="K55" s="3">
        <v>0</v>
      </c>
      <c r="L55" s="3">
        <v>0</v>
      </c>
      <c r="M55" s="3">
        <v>0</v>
      </c>
      <c r="N55" s="3">
        <v>0</v>
      </c>
      <c r="O55" s="3">
        <v>0</v>
      </c>
      <c r="P55" s="3">
        <v>0</v>
      </c>
      <c r="Q55" s="3">
        <v>0</v>
      </c>
      <c r="R55" s="3">
        <v>0</v>
      </c>
      <c r="S55" s="3">
        <v>0</v>
      </c>
    </row>
    <row r="56" spans="1:19" ht="30" x14ac:dyDescent="0.25">
      <c r="A56" s="1" t="s">
        <v>1</v>
      </c>
      <c r="B56" s="1" t="s">
        <v>348</v>
      </c>
      <c r="C56" s="1" t="s">
        <v>476</v>
      </c>
      <c r="D56" s="1" t="s">
        <v>572</v>
      </c>
      <c r="E56" s="1" t="s">
        <v>573</v>
      </c>
      <c r="F56" s="3">
        <v>1</v>
      </c>
      <c r="G56" s="1">
        <v>2046</v>
      </c>
      <c r="H56" s="1" t="s">
        <v>2</v>
      </c>
      <c r="I56" s="3">
        <v>0</v>
      </c>
      <c r="J56" s="3">
        <v>0</v>
      </c>
      <c r="K56" s="3">
        <v>0</v>
      </c>
      <c r="L56" s="3">
        <v>0</v>
      </c>
      <c r="M56" s="3">
        <v>0</v>
      </c>
      <c r="N56" s="3">
        <v>0</v>
      </c>
      <c r="O56" s="3">
        <v>0</v>
      </c>
      <c r="P56" s="3">
        <v>0</v>
      </c>
      <c r="Q56" s="3">
        <v>0</v>
      </c>
      <c r="R56" s="3">
        <v>0</v>
      </c>
      <c r="S56" s="3">
        <v>0</v>
      </c>
    </row>
    <row r="57" spans="1:19" ht="30" x14ac:dyDescent="0.25">
      <c r="A57" s="1" t="s">
        <v>1</v>
      </c>
      <c r="B57" s="1" t="s">
        <v>348</v>
      </c>
      <c r="C57" s="1" t="s">
        <v>476</v>
      </c>
      <c r="D57" s="1" t="s">
        <v>572</v>
      </c>
      <c r="E57" s="1" t="s">
        <v>573</v>
      </c>
      <c r="F57" s="3">
        <v>1</v>
      </c>
      <c r="G57" s="1">
        <v>2047</v>
      </c>
      <c r="H57" s="1" t="s">
        <v>2</v>
      </c>
      <c r="I57" s="3">
        <v>0</v>
      </c>
      <c r="J57" s="3">
        <v>0</v>
      </c>
      <c r="K57" s="3">
        <v>0</v>
      </c>
      <c r="L57" s="3">
        <v>0</v>
      </c>
      <c r="M57" s="3">
        <v>0</v>
      </c>
      <c r="N57" s="3">
        <v>0</v>
      </c>
      <c r="O57" s="3">
        <v>0</v>
      </c>
      <c r="P57" s="3">
        <v>0</v>
      </c>
      <c r="Q57" s="3">
        <v>0</v>
      </c>
      <c r="R57" s="3">
        <v>0</v>
      </c>
      <c r="S57" s="3">
        <v>0</v>
      </c>
    </row>
    <row r="58" spans="1:19" ht="30" x14ac:dyDescent="0.25">
      <c r="A58" s="1" t="s">
        <v>1</v>
      </c>
      <c r="B58" s="1" t="s">
        <v>348</v>
      </c>
      <c r="C58" s="1" t="s">
        <v>476</v>
      </c>
      <c r="D58" s="1" t="s">
        <v>572</v>
      </c>
      <c r="E58" s="1" t="s">
        <v>573</v>
      </c>
      <c r="F58" s="3">
        <v>1</v>
      </c>
      <c r="G58" s="1">
        <v>2048</v>
      </c>
      <c r="H58" s="1" t="s">
        <v>2</v>
      </c>
      <c r="I58" s="3">
        <v>0</v>
      </c>
      <c r="J58" s="3">
        <v>0</v>
      </c>
      <c r="K58" s="3">
        <v>0</v>
      </c>
      <c r="L58" s="3">
        <v>0</v>
      </c>
      <c r="M58" s="3">
        <v>0</v>
      </c>
      <c r="N58" s="3">
        <v>0</v>
      </c>
      <c r="O58" s="3">
        <v>0</v>
      </c>
      <c r="P58" s="3">
        <v>0</v>
      </c>
      <c r="Q58" s="3">
        <v>0</v>
      </c>
      <c r="R58" s="3">
        <v>0</v>
      </c>
      <c r="S58" s="3">
        <v>0</v>
      </c>
    </row>
    <row r="59" spans="1:19" ht="30" x14ac:dyDescent="0.25">
      <c r="A59" s="1" t="s">
        <v>1</v>
      </c>
      <c r="B59" s="1" t="s">
        <v>348</v>
      </c>
      <c r="C59" s="1" t="s">
        <v>476</v>
      </c>
      <c r="D59" s="1" t="s">
        <v>572</v>
      </c>
      <c r="E59" s="1" t="s">
        <v>573</v>
      </c>
      <c r="F59" s="3">
        <v>1</v>
      </c>
      <c r="G59" s="1">
        <v>2049</v>
      </c>
      <c r="H59" s="1" t="s">
        <v>2</v>
      </c>
      <c r="I59" s="3">
        <v>0</v>
      </c>
      <c r="J59" s="3">
        <v>0</v>
      </c>
      <c r="K59" s="3">
        <v>0</v>
      </c>
      <c r="L59" s="3">
        <v>0</v>
      </c>
      <c r="M59" s="3">
        <v>0</v>
      </c>
      <c r="N59" s="3">
        <v>0</v>
      </c>
      <c r="O59" s="3">
        <v>0</v>
      </c>
      <c r="P59" s="3">
        <v>0</v>
      </c>
      <c r="Q59" s="3">
        <v>0</v>
      </c>
      <c r="R59" s="3">
        <v>0</v>
      </c>
      <c r="S59" s="3">
        <v>0</v>
      </c>
    </row>
    <row r="60" spans="1:19" ht="30" x14ac:dyDescent="0.25">
      <c r="A60" s="1" t="s">
        <v>1</v>
      </c>
      <c r="B60" s="1" t="s">
        <v>348</v>
      </c>
      <c r="C60" s="1" t="s">
        <v>476</v>
      </c>
      <c r="D60" s="1" t="s">
        <v>572</v>
      </c>
      <c r="E60" s="1" t="s">
        <v>573</v>
      </c>
      <c r="F60" s="3">
        <v>1</v>
      </c>
      <c r="G60" s="1">
        <v>2050</v>
      </c>
      <c r="H60" s="1" t="s">
        <v>2</v>
      </c>
      <c r="I60" s="3">
        <v>0</v>
      </c>
      <c r="J60" s="3">
        <v>0</v>
      </c>
      <c r="K60" s="3">
        <v>0</v>
      </c>
      <c r="L60" s="3">
        <v>0</v>
      </c>
      <c r="M60" s="3">
        <v>0</v>
      </c>
      <c r="N60" s="3">
        <v>0</v>
      </c>
      <c r="O60" s="3">
        <v>0</v>
      </c>
      <c r="P60" s="3">
        <v>0</v>
      </c>
      <c r="Q60" s="3">
        <v>0</v>
      </c>
      <c r="R60" s="3">
        <v>0</v>
      </c>
      <c r="S60" s="3">
        <v>0</v>
      </c>
    </row>
    <row r="61" spans="1:19" ht="30" x14ac:dyDescent="0.25">
      <c r="A61" s="1" t="s">
        <v>1</v>
      </c>
      <c r="B61" s="1" t="s">
        <v>348</v>
      </c>
      <c r="C61" s="1" t="s">
        <v>476</v>
      </c>
      <c r="D61" s="1" t="s">
        <v>572</v>
      </c>
      <c r="E61" s="1" t="s">
        <v>573</v>
      </c>
      <c r="F61" s="3">
        <v>1</v>
      </c>
      <c r="G61" s="1">
        <v>2051</v>
      </c>
      <c r="H61" s="1" t="s">
        <v>2</v>
      </c>
      <c r="I61" s="3">
        <v>0</v>
      </c>
      <c r="J61" s="3">
        <v>0</v>
      </c>
      <c r="K61" s="3">
        <v>0</v>
      </c>
      <c r="L61" s="3">
        <v>0</v>
      </c>
      <c r="M61" s="3">
        <v>0</v>
      </c>
      <c r="N61" s="3">
        <v>0</v>
      </c>
      <c r="O61" s="3">
        <v>0</v>
      </c>
      <c r="P61" s="3">
        <v>0</v>
      </c>
      <c r="Q61" s="3">
        <v>0</v>
      </c>
      <c r="R61" s="3">
        <v>0</v>
      </c>
      <c r="S61" s="3">
        <v>0</v>
      </c>
    </row>
    <row r="62" spans="1:19" ht="30" x14ac:dyDescent="0.25">
      <c r="A62" s="1" t="s">
        <v>1</v>
      </c>
      <c r="B62" s="1" t="s">
        <v>348</v>
      </c>
      <c r="C62" s="1" t="s">
        <v>477</v>
      </c>
      <c r="D62" s="1" t="s">
        <v>572</v>
      </c>
      <c r="E62" s="1" t="s">
        <v>573</v>
      </c>
      <c r="F62" s="3">
        <v>1</v>
      </c>
      <c r="G62" s="1">
        <v>2022</v>
      </c>
      <c r="H62" s="1" t="s">
        <v>2</v>
      </c>
      <c r="I62" s="3">
        <v>0</v>
      </c>
      <c r="J62" s="3">
        <v>0</v>
      </c>
      <c r="K62" s="3">
        <v>0</v>
      </c>
      <c r="L62" s="3">
        <v>0</v>
      </c>
      <c r="M62" s="3">
        <v>0</v>
      </c>
      <c r="N62" s="3">
        <v>0</v>
      </c>
      <c r="O62" s="3">
        <v>0</v>
      </c>
      <c r="P62" s="3">
        <v>0</v>
      </c>
      <c r="Q62" s="3">
        <v>0</v>
      </c>
      <c r="R62" s="3">
        <v>0</v>
      </c>
      <c r="S62" s="3">
        <v>0</v>
      </c>
    </row>
    <row r="63" spans="1:19" ht="30" x14ac:dyDescent="0.25">
      <c r="A63" s="1" t="s">
        <v>1</v>
      </c>
      <c r="B63" s="1" t="s">
        <v>348</v>
      </c>
      <c r="C63" s="1" t="s">
        <v>477</v>
      </c>
      <c r="D63" s="1" t="s">
        <v>572</v>
      </c>
      <c r="E63" s="1" t="s">
        <v>573</v>
      </c>
      <c r="F63" s="3">
        <v>1</v>
      </c>
      <c r="G63" s="1">
        <v>2023</v>
      </c>
      <c r="H63" s="1" t="s">
        <v>2</v>
      </c>
      <c r="I63" s="3">
        <v>0</v>
      </c>
      <c r="J63" s="3">
        <v>0</v>
      </c>
      <c r="K63" s="3">
        <v>0</v>
      </c>
      <c r="L63" s="3">
        <v>0</v>
      </c>
      <c r="M63" s="3">
        <v>0</v>
      </c>
      <c r="N63" s="3">
        <v>0</v>
      </c>
      <c r="O63" s="3">
        <v>0</v>
      </c>
      <c r="P63" s="3">
        <v>0</v>
      </c>
      <c r="Q63" s="3">
        <v>0</v>
      </c>
      <c r="R63" s="3">
        <v>0</v>
      </c>
      <c r="S63" s="3">
        <v>0</v>
      </c>
    </row>
    <row r="64" spans="1:19" ht="30" x14ac:dyDescent="0.25">
      <c r="A64" s="1" t="s">
        <v>1</v>
      </c>
      <c r="B64" s="1" t="s">
        <v>348</v>
      </c>
      <c r="C64" s="1" t="s">
        <v>477</v>
      </c>
      <c r="D64" s="1" t="s">
        <v>572</v>
      </c>
      <c r="E64" s="1" t="s">
        <v>573</v>
      </c>
      <c r="F64" s="3">
        <v>1</v>
      </c>
      <c r="G64" s="1">
        <v>2024</v>
      </c>
      <c r="H64" s="1" t="s">
        <v>2</v>
      </c>
      <c r="I64" s="3">
        <v>0</v>
      </c>
      <c r="J64" s="3">
        <v>0</v>
      </c>
      <c r="K64" s="3">
        <v>0</v>
      </c>
      <c r="L64" s="3">
        <v>0</v>
      </c>
      <c r="M64" s="3">
        <v>0</v>
      </c>
      <c r="N64" s="3">
        <v>0</v>
      </c>
      <c r="O64" s="3">
        <v>0</v>
      </c>
      <c r="P64" s="3">
        <v>0</v>
      </c>
      <c r="Q64" s="3">
        <v>0</v>
      </c>
      <c r="R64" s="3">
        <v>0</v>
      </c>
      <c r="S64" s="3">
        <v>0</v>
      </c>
    </row>
    <row r="65" spans="1:19" ht="30" x14ac:dyDescent="0.25">
      <c r="A65" s="1" t="s">
        <v>1</v>
      </c>
      <c r="B65" s="1" t="s">
        <v>348</v>
      </c>
      <c r="C65" s="1" t="s">
        <v>477</v>
      </c>
      <c r="D65" s="1" t="s">
        <v>572</v>
      </c>
      <c r="E65" s="1" t="s">
        <v>573</v>
      </c>
      <c r="F65" s="3">
        <v>1</v>
      </c>
      <c r="G65" s="1">
        <v>2025</v>
      </c>
      <c r="H65" s="1" t="s">
        <v>2</v>
      </c>
      <c r="I65" s="3">
        <v>0</v>
      </c>
      <c r="J65" s="3">
        <v>0</v>
      </c>
      <c r="K65" s="3">
        <v>0</v>
      </c>
      <c r="L65" s="3">
        <v>0</v>
      </c>
      <c r="M65" s="3">
        <v>0</v>
      </c>
      <c r="N65" s="3">
        <v>0</v>
      </c>
      <c r="O65" s="3">
        <v>0</v>
      </c>
      <c r="P65" s="3">
        <v>0</v>
      </c>
      <c r="Q65" s="3">
        <v>0</v>
      </c>
      <c r="R65" s="3">
        <v>0</v>
      </c>
      <c r="S65" s="3">
        <v>0</v>
      </c>
    </row>
    <row r="66" spans="1:19" ht="30" x14ac:dyDescent="0.25">
      <c r="A66" s="1" t="s">
        <v>1</v>
      </c>
      <c r="B66" s="1" t="s">
        <v>348</v>
      </c>
      <c r="C66" s="1" t="s">
        <v>477</v>
      </c>
      <c r="D66" s="1" t="s">
        <v>572</v>
      </c>
      <c r="E66" s="1" t="s">
        <v>573</v>
      </c>
      <c r="F66" s="3">
        <v>1</v>
      </c>
      <c r="G66" s="1">
        <v>2026</v>
      </c>
      <c r="H66" s="1" t="s">
        <v>2</v>
      </c>
      <c r="I66" s="3">
        <v>0</v>
      </c>
      <c r="J66" s="3">
        <v>0</v>
      </c>
      <c r="K66" s="3">
        <v>0</v>
      </c>
      <c r="L66" s="3">
        <v>0</v>
      </c>
      <c r="M66" s="3">
        <v>0</v>
      </c>
      <c r="N66" s="3">
        <v>0</v>
      </c>
      <c r="O66" s="3">
        <v>0</v>
      </c>
      <c r="P66" s="3">
        <v>0</v>
      </c>
      <c r="Q66" s="3">
        <v>0</v>
      </c>
      <c r="R66" s="3">
        <v>0</v>
      </c>
      <c r="S66" s="3">
        <v>0</v>
      </c>
    </row>
    <row r="67" spans="1:19" ht="30" x14ac:dyDescent="0.25">
      <c r="A67" s="1" t="s">
        <v>1</v>
      </c>
      <c r="B67" s="1" t="s">
        <v>348</v>
      </c>
      <c r="C67" s="1" t="s">
        <v>477</v>
      </c>
      <c r="D67" s="1" t="s">
        <v>572</v>
      </c>
      <c r="E67" s="1" t="s">
        <v>573</v>
      </c>
      <c r="F67" s="3">
        <v>1</v>
      </c>
      <c r="G67" s="1">
        <v>2027</v>
      </c>
      <c r="H67" s="1" t="s">
        <v>2</v>
      </c>
      <c r="I67" s="3">
        <v>0</v>
      </c>
      <c r="J67" s="3">
        <v>0</v>
      </c>
      <c r="K67" s="3">
        <v>0</v>
      </c>
      <c r="L67" s="3">
        <v>0</v>
      </c>
      <c r="M67" s="3">
        <v>0</v>
      </c>
      <c r="N67" s="3">
        <v>0</v>
      </c>
      <c r="O67" s="3">
        <v>0</v>
      </c>
      <c r="P67" s="3">
        <v>0</v>
      </c>
      <c r="Q67" s="3">
        <v>0</v>
      </c>
      <c r="R67" s="3">
        <v>0</v>
      </c>
      <c r="S67" s="3">
        <v>0</v>
      </c>
    </row>
    <row r="68" spans="1:19" ht="30" x14ac:dyDescent="0.25">
      <c r="A68" s="1" t="s">
        <v>1</v>
      </c>
      <c r="B68" s="1" t="s">
        <v>348</v>
      </c>
      <c r="C68" s="1" t="s">
        <v>477</v>
      </c>
      <c r="D68" s="1" t="s">
        <v>572</v>
      </c>
      <c r="E68" s="1" t="s">
        <v>573</v>
      </c>
      <c r="F68" s="3">
        <v>1</v>
      </c>
      <c r="G68" s="1">
        <v>2028</v>
      </c>
      <c r="H68" s="1" t="s">
        <v>2</v>
      </c>
      <c r="I68" s="3">
        <v>0</v>
      </c>
      <c r="J68" s="3">
        <v>0</v>
      </c>
      <c r="K68" s="3">
        <v>0</v>
      </c>
      <c r="L68" s="3">
        <v>0</v>
      </c>
      <c r="M68" s="3">
        <v>0</v>
      </c>
      <c r="N68" s="3">
        <v>0</v>
      </c>
      <c r="O68" s="3">
        <v>0</v>
      </c>
      <c r="P68" s="3">
        <v>0</v>
      </c>
      <c r="Q68" s="3">
        <v>0</v>
      </c>
      <c r="R68" s="3">
        <v>0</v>
      </c>
      <c r="S68" s="3">
        <v>0</v>
      </c>
    </row>
    <row r="69" spans="1:19" ht="30" x14ac:dyDescent="0.25">
      <c r="A69" s="1" t="s">
        <v>1</v>
      </c>
      <c r="B69" s="1" t="s">
        <v>348</v>
      </c>
      <c r="C69" s="1" t="s">
        <v>477</v>
      </c>
      <c r="D69" s="1" t="s">
        <v>572</v>
      </c>
      <c r="E69" s="1" t="s">
        <v>573</v>
      </c>
      <c r="F69" s="3">
        <v>1</v>
      </c>
      <c r="G69" s="1">
        <v>2029</v>
      </c>
      <c r="H69" s="1" t="s">
        <v>2</v>
      </c>
      <c r="I69" s="3">
        <v>0</v>
      </c>
      <c r="J69" s="3">
        <v>0</v>
      </c>
      <c r="K69" s="3">
        <v>0</v>
      </c>
      <c r="L69" s="3">
        <v>0</v>
      </c>
      <c r="M69" s="3">
        <v>0</v>
      </c>
      <c r="N69" s="3">
        <v>0</v>
      </c>
      <c r="O69" s="3">
        <v>0</v>
      </c>
      <c r="P69" s="3">
        <v>0</v>
      </c>
      <c r="Q69" s="3">
        <v>0</v>
      </c>
      <c r="R69" s="3">
        <v>0</v>
      </c>
      <c r="S69" s="3">
        <v>0</v>
      </c>
    </row>
    <row r="70" spans="1:19" ht="30" x14ac:dyDescent="0.25">
      <c r="A70" s="1" t="s">
        <v>1</v>
      </c>
      <c r="B70" s="1" t="s">
        <v>348</v>
      </c>
      <c r="C70" s="1" t="s">
        <v>477</v>
      </c>
      <c r="D70" s="1" t="s">
        <v>572</v>
      </c>
      <c r="E70" s="1" t="s">
        <v>573</v>
      </c>
      <c r="F70" s="3">
        <v>1</v>
      </c>
      <c r="G70" s="1">
        <v>2030</v>
      </c>
      <c r="H70" s="1" t="s">
        <v>2</v>
      </c>
      <c r="I70" s="3">
        <v>0</v>
      </c>
      <c r="J70" s="3">
        <v>0</v>
      </c>
      <c r="K70" s="3">
        <v>0</v>
      </c>
      <c r="L70" s="3">
        <v>0</v>
      </c>
      <c r="M70" s="3">
        <v>0</v>
      </c>
      <c r="N70" s="3">
        <v>0</v>
      </c>
      <c r="O70" s="3">
        <v>0</v>
      </c>
      <c r="P70" s="3">
        <v>0</v>
      </c>
      <c r="Q70" s="3">
        <v>0</v>
      </c>
      <c r="R70" s="3">
        <v>0</v>
      </c>
      <c r="S70" s="3">
        <v>0</v>
      </c>
    </row>
    <row r="71" spans="1:19" ht="30" x14ac:dyDescent="0.25">
      <c r="A71" s="1" t="s">
        <v>1</v>
      </c>
      <c r="B71" s="1" t="s">
        <v>348</v>
      </c>
      <c r="C71" s="1" t="s">
        <v>477</v>
      </c>
      <c r="D71" s="1" t="s">
        <v>572</v>
      </c>
      <c r="E71" s="1" t="s">
        <v>573</v>
      </c>
      <c r="F71" s="3">
        <v>1</v>
      </c>
      <c r="G71" s="1">
        <v>2031</v>
      </c>
      <c r="H71" s="1" t="s">
        <v>2</v>
      </c>
      <c r="I71" s="3">
        <v>0</v>
      </c>
      <c r="J71" s="3">
        <v>0</v>
      </c>
      <c r="K71" s="3">
        <v>0</v>
      </c>
      <c r="L71" s="3">
        <v>0</v>
      </c>
      <c r="M71" s="3">
        <v>0</v>
      </c>
      <c r="N71" s="3">
        <v>0</v>
      </c>
      <c r="O71" s="3">
        <v>0</v>
      </c>
      <c r="P71" s="3">
        <v>0</v>
      </c>
      <c r="Q71" s="3">
        <v>0</v>
      </c>
      <c r="R71" s="3">
        <v>0</v>
      </c>
      <c r="S71" s="3">
        <v>0</v>
      </c>
    </row>
    <row r="72" spans="1:19" ht="30" x14ac:dyDescent="0.25">
      <c r="A72" s="1" t="s">
        <v>1</v>
      </c>
      <c r="B72" s="1" t="s">
        <v>348</v>
      </c>
      <c r="C72" s="1" t="s">
        <v>477</v>
      </c>
      <c r="D72" s="1" t="s">
        <v>572</v>
      </c>
      <c r="E72" s="1" t="s">
        <v>573</v>
      </c>
      <c r="F72" s="3">
        <v>1</v>
      </c>
      <c r="G72" s="1">
        <v>2032</v>
      </c>
      <c r="H72" s="1" t="s">
        <v>2</v>
      </c>
      <c r="I72" s="3">
        <v>0</v>
      </c>
      <c r="J72" s="3">
        <v>0</v>
      </c>
      <c r="K72" s="3">
        <v>0</v>
      </c>
      <c r="L72" s="3">
        <v>0</v>
      </c>
      <c r="M72" s="3">
        <v>0</v>
      </c>
      <c r="N72" s="3">
        <v>0</v>
      </c>
      <c r="O72" s="3">
        <v>0</v>
      </c>
      <c r="P72" s="3">
        <v>0</v>
      </c>
      <c r="Q72" s="3">
        <v>0</v>
      </c>
      <c r="R72" s="3">
        <v>0</v>
      </c>
      <c r="S72" s="3">
        <v>0</v>
      </c>
    </row>
    <row r="73" spans="1:19" ht="30" x14ac:dyDescent="0.25">
      <c r="A73" s="1" t="s">
        <v>1</v>
      </c>
      <c r="B73" s="1" t="s">
        <v>348</v>
      </c>
      <c r="C73" s="1" t="s">
        <v>477</v>
      </c>
      <c r="D73" s="1" t="s">
        <v>572</v>
      </c>
      <c r="E73" s="1" t="s">
        <v>573</v>
      </c>
      <c r="F73" s="3">
        <v>1</v>
      </c>
      <c r="G73" s="1">
        <v>2033</v>
      </c>
      <c r="H73" s="1" t="s">
        <v>2</v>
      </c>
      <c r="I73" s="3">
        <v>0</v>
      </c>
      <c r="J73" s="3">
        <v>0</v>
      </c>
      <c r="K73" s="3">
        <v>0</v>
      </c>
      <c r="L73" s="3">
        <v>0</v>
      </c>
      <c r="M73" s="3">
        <v>0</v>
      </c>
      <c r="N73" s="3">
        <v>0</v>
      </c>
      <c r="O73" s="3">
        <v>0</v>
      </c>
      <c r="P73" s="3">
        <v>0</v>
      </c>
      <c r="Q73" s="3">
        <v>0</v>
      </c>
      <c r="R73" s="3">
        <v>0</v>
      </c>
      <c r="S73" s="3">
        <v>0</v>
      </c>
    </row>
    <row r="74" spans="1:19" ht="30" x14ac:dyDescent="0.25">
      <c r="A74" s="1" t="s">
        <v>1</v>
      </c>
      <c r="B74" s="1" t="s">
        <v>348</v>
      </c>
      <c r="C74" s="1" t="s">
        <v>477</v>
      </c>
      <c r="D74" s="1" t="s">
        <v>572</v>
      </c>
      <c r="E74" s="1" t="s">
        <v>573</v>
      </c>
      <c r="F74" s="3">
        <v>1</v>
      </c>
      <c r="G74" s="1">
        <v>2034</v>
      </c>
      <c r="H74" s="1" t="s">
        <v>2</v>
      </c>
      <c r="I74" s="3">
        <v>0</v>
      </c>
      <c r="J74" s="3">
        <v>0</v>
      </c>
      <c r="K74" s="3">
        <v>0</v>
      </c>
      <c r="L74" s="3">
        <v>0</v>
      </c>
      <c r="M74" s="3">
        <v>0</v>
      </c>
      <c r="N74" s="3">
        <v>0</v>
      </c>
      <c r="O74" s="3">
        <v>0</v>
      </c>
      <c r="P74" s="3">
        <v>0</v>
      </c>
      <c r="Q74" s="3">
        <v>0</v>
      </c>
      <c r="R74" s="3">
        <v>0</v>
      </c>
      <c r="S74" s="3">
        <v>0</v>
      </c>
    </row>
    <row r="75" spans="1:19" ht="30" x14ac:dyDescent="0.25">
      <c r="A75" s="1" t="s">
        <v>1</v>
      </c>
      <c r="B75" s="1" t="s">
        <v>348</v>
      </c>
      <c r="C75" s="1" t="s">
        <v>477</v>
      </c>
      <c r="D75" s="1" t="s">
        <v>572</v>
      </c>
      <c r="E75" s="1" t="s">
        <v>573</v>
      </c>
      <c r="F75" s="3">
        <v>1</v>
      </c>
      <c r="G75" s="1">
        <v>2035</v>
      </c>
      <c r="H75" s="1" t="s">
        <v>2</v>
      </c>
      <c r="I75" s="3">
        <v>0</v>
      </c>
      <c r="J75" s="3">
        <v>0</v>
      </c>
      <c r="K75" s="3">
        <v>0</v>
      </c>
      <c r="L75" s="3">
        <v>0</v>
      </c>
      <c r="M75" s="3">
        <v>0</v>
      </c>
      <c r="N75" s="3">
        <v>0</v>
      </c>
      <c r="O75" s="3">
        <v>0</v>
      </c>
      <c r="P75" s="3">
        <v>0</v>
      </c>
      <c r="Q75" s="3">
        <v>0</v>
      </c>
      <c r="R75" s="3">
        <v>0</v>
      </c>
      <c r="S75" s="3">
        <v>0</v>
      </c>
    </row>
    <row r="76" spans="1:19" ht="30" x14ac:dyDescent="0.25">
      <c r="A76" s="1" t="s">
        <v>1</v>
      </c>
      <c r="B76" s="1" t="s">
        <v>348</v>
      </c>
      <c r="C76" s="1" t="s">
        <v>477</v>
      </c>
      <c r="D76" s="1" t="s">
        <v>572</v>
      </c>
      <c r="E76" s="1" t="s">
        <v>573</v>
      </c>
      <c r="F76" s="3">
        <v>1</v>
      </c>
      <c r="G76" s="1">
        <v>2036</v>
      </c>
      <c r="H76" s="1" t="s">
        <v>2</v>
      </c>
      <c r="I76" s="3">
        <v>0</v>
      </c>
      <c r="J76" s="3">
        <v>0</v>
      </c>
      <c r="K76" s="3">
        <v>0</v>
      </c>
      <c r="L76" s="3">
        <v>0</v>
      </c>
      <c r="M76" s="3">
        <v>0</v>
      </c>
      <c r="N76" s="3">
        <v>0</v>
      </c>
      <c r="O76" s="3">
        <v>0</v>
      </c>
      <c r="P76" s="3">
        <v>0</v>
      </c>
      <c r="Q76" s="3">
        <v>0</v>
      </c>
      <c r="R76" s="3">
        <v>0</v>
      </c>
      <c r="S76" s="3">
        <v>0</v>
      </c>
    </row>
    <row r="77" spans="1:19" ht="30" x14ac:dyDescent="0.25">
      <c r="A77" s="1" t="s">
        <v>1</v>
      </c>
      <c r="B77" s="1" t="s">
        <v>348</v>
      </c>
      <c r="C77" s="1" t="s">
        <v>477</v>
      </c>
      <c r="D77" s="1" t="s">
        <v>572</v>
      </c>
      <c r="E77" s="1" t="s">
        <v>573</v>
      </c>
      <c r="F77" s="3">
        <v>1</v>
      </c>
      <c r="G77" s="1">
        <v>2037</v>
      </c>
      <c r="H77" s="1" t="s">
        <v>2</v>
      </c>
      <c r="I77" s="3">
        <v>0</v>
      </c>
      <c r="J77" s="3">
        <v>0</v>
      </c>
      <c r="K77" s="3">
        <v>0</v>
      </c>
      <c r="L77" s="3">
        <v>0</v>
      </c>
      <c r="M77" s="3">
        <v>0</v>
      </c>
      <c r="N77" s="3">
        <v>0</v>
      </c>
      <c r="O77" s="3">
        <v>0</v>
      </c>
      <c r="P77" s="3">
        <v>0</v>
      </c>
      <c r="Q77" s="3">
        <v>0</v>
      </c>
      <c r="R77" s="3">
        <v>0</v>
      </c>
      <c r="S77" s="3">
        <v>0</v>
      </c>
    </row>
    <row r="78" spans="1:19" ht="30" x14ac:dyDescent="0.25">
      <c r="A78" s="1" t="s">
        <v>1</v>
      </c>
      <c r="B78" s="1" t="s">
        <v>348</v>
      </c>
      <c r="C78" s="1" t="s">
        <v>477</v>
      </c>
      <c r="D78" s="1" t="s">
        <v>572</v>
      </c>
      <c r="E78" s="1" t="s">
        <v>573</v>
      </c>
      <c r="F78" s="3">
        <v>1</v>
      </c>
      <c r="G78" s="1">
        <v>2038</v>
      </c>
      <c r="H78" s="1" t="s">
        <v>2</v>
      </c>
      <c r="I78" s="3">
        <v>0</v>
      </c>
      <c r="J78" s="3">
        <v>0</v>
      </c>
      <c r="K78" s="3">
        <v>0</v>
      </c>
      <c r="L78" s="3">
        <v>0</v>
      </c>
      <c r="M78" s="3">
        <v>0</v>
      </c>
      <c r="N78" s="3">
        <v>0</v>
      </c>
      <c r="O78" s="3">
        <v>0</v>
      </c>
      <c r="P78" s="3">
        <v>0</v>
      </c>
      <c r="Q78" s="3">
        <v>0</v>
      </c>
      <c r="R78" s="3">
        <v>0</v>
      </c>
      <c r="S78" s="3">
        <v>0</v>
      </c>
    </row>
    <row r="79" spans="1:19" ht="30" x14ac:dyDescent="0.25">
      <c r="A79" s="1" t="s">
        <v>1</v>
      </c>
      <c r="B79" s="1" t="s">
        <v>348</v>
      </c>
      <c r="C79" s="1" t="s">
        <v>477</v>
      </c>
      <c r="D79" s="1" t="s">
        <v>572</v>
      </c>
      <c r="E79" s="1" t="s">
        <v>573</v>
      </c>
      <c r="F79" s="3">
        <v>1</v>
      </c>
      <c r="G79" s="1">
        <v>2039</v>
      </c>
      <c r="H79" s="1" t="s">
        <v>2</v>
      </c>
      <c r="I79" s="3">
        <v>0</v>
      </c>
      <c r="J79" s="3">
        <v>0</v>
      </c>
      <c r="K79" s="3">
        <v>0</v>
      </c>
      <c r="L79" s="3">
        <v>0</v>
      </c>
      <c r="M79" s="3">
        <v>0</v>
      </c>
      <c r="N79" s="3">
        <v>0</v>
      </c>
      <c r="O79" s="3">
        <v>0</v>
      </c>
      <c r="P79" s="3">
        <v>0</v>
      </c>
      <c r="Q79" s="3">
        <v>0</v>
      </c>
      <c r="R79" s="3">
        <v>0</v>
      </c>
      <c r="S79" s="3">
        <v>0</v>
      </c>
    </row>
    <row r="80" spans="1:19" ht="30" x14ac:dyDescent="0.25">
      <c r="A80" s="1" t="s">
        <v>1</v>
      </c>
      <c r="B80" s="1" t="s">
        <v>348</v>
      </c>
      <c r="C80" s="1" t="s">
        <v>477</v>
      </c>
      <c r="D80" s="1" t="s">
        <v>572</v>
      </c>
      <c r="E80" s="1" t="s">
        <v>573</v>
      </c>
      <c r="F80" s="3">
        <v>1</v>
      </c>
      <c r="G80" s="1">
        <v>2040</v>
      </c>
      <c r="H80" s="1" t="s">
        <v>2</v>
      </c>
      <c r="I80" s="3">
        <v>0</v>
      </c>
      <c r="J80" s="3">
        <v>0</v>
      </c>
      <c r="K80" s="3">
        <v>0</v>
      </c>
      <c r="L80" s="3">
        <v>0</v>
      </c>
      <c r="M80" s="3">
        <v>0</v>
      </c>
      <c r="N80" s="3">
        <v>0</v>
      </c>
      <c r="O80" s="3">
        <v>0</v>
      </c>
      <c r="P80" s="3">
        <v>0</v>
      </c>
      <c r="Q80" s="3">
        <v>0</v>
      </c>
      <c r="R80" s="3">
        <v>0</v>
      </c>
      <c r="S80" s="3">
        <v>0</v>
      </c>
    </row>
    <row r="81" spans="1:19" ht="30" x14ac:dyDescent="0.25">
      <c r="A81" s="1" t="s">
        <v>1</v>
      </c>
      <c r="B81" s="1" t="s">
        <v>348</v>
      </c>
      <c r="C81" s="1" t="s">
        <v>477</v>
      </c>
      <c r="D81" s="1" t="s">
        <v>572</v>
      </c>
      <c r="E81" s="1" t="s">
        <v>573</v>
      </c>
      <c r="F81" s="3">
        <v>1</v>
      </c>
      <c r="G81" s="1">
        <v>2041</v>
      </c>
      <c r="H81" s="1" t="s">
        <v>2</v>
      </c>
      <c r="I81" s="3">
        <v>0</v>
      </c>
      <c r="J81" s="3">
        <v>0</v>
      </c>
      <c r="K81" s="3">
        <v>0</v>
      </c>
      <c r="L81" s="3">
        <v>0</v>
      </c>
      <c r="M81" s="3">
        <v>0</v>
      </c>
      <c r="N81" s="3">
        <v>0</v>
      </c>
      <c r="O81" s="3">
        <v>0</v>
      </c>
      <c r="P81" s="3">
        <v>0</v>
      </c>
      <c r="Q81" s="3">
        <v>0</v>
      </c>
      <c r="R81" s="3">
        <v>0</v>
      </c>
      <c r="S81" s="3">
        <v>0</v>
      </c>
    </row>
    <row r="82" spans="1:19" ht="30" x14ac:dyDescent="0.25">
      <c r="A82" s="1" t="s">
        <v>1</v>
      </c>
      <c r="B82" s="1" t="s">
        <v>348</v>
      </c>
      <c r="C82" s="1" t="s">
        <v>477</v>
      </c>
      <c r="D82" s="1" t="s">
        <v>572</v>
      </c>
      <c r="E82" s="1" t="s">
        <v>573</v>
      </c>
      <c r="F82" s="3">
        <v>1</v>
      </c>
      <c r="G82" s="1">
        <v>2042</v>
      </c>
      <c r="H82" s="1" t="s">
        <v>2</v>
      </c>
      <c r="I82" s="3">
        <v>0</v>
      </c>
      <c r="J82" s="3">
        <v>0</v>
      </c>
      <c r="K82" s="3">
        <v>0</v>
      </c>
      <c r="L82" s="3">
        <v>0</v>
      </c>
      <c r="M82" s="3">
        <v>0</v>
      </c>
      <c r="N82" s="3">
        <v>0</v>
      </c>
      <c r="O82" s="3">
        <v>0</v>
      </c>
      <c r="P82" s="3">
        <v>0</v>
      </c>
      <c r="Q82" s="3">
        <v>0</v>
      </c>
      <c r="R82" s="3">
        <v>0</v>
      </c>
      <c r="S82" s="3">
        <v>0</v>
      </c>
    </row>
    <row r="83" spans="1:19" ht="30" x14ac:dyDescent="0.25">
      <c r="A83" s="1" t="s">
        <v>1</v>
      </c>
      <c r="B83" s="1" t="s">
        <v>348</v>
      </c>
      <c r="C83" s="1" t="s">
        <v>477</v>
      </c>
      <c r="D83" s="1" t="s">
        <v>572</v>
      </c>
      <c r="E83" s="1" t="s">
        <v>573</v>
      </c>
      <c r="F83" s="3">
        <v>1</v>
      </c>
      <c r="G83" s="1">
        <v>2043</v>
      </c>
      <c r="H83" s="1" t="s">
        <v>2</v>
      </c>
      <c r="I83" s="3">
        <v>0</v>
      </c>
      <c r="J83" s="3">
        <v>0</v>
      </c>
      <c r="K83" s="3">
        <v>0</v>
      </c>
      <c r="L83" s="3">
        <v>0</v>
      </c>
      <c r="M83" s="3">
        <v>0</v>
      </c>
      <c r="N83" s="3">
        <v>0</v>
      </c>
      <c r="O83" s="3">
        <v>0</v>
      </c>
      <c r="P83" s="3">
        <v>0</v>
      </c>
      <c r="Q83" s="3">
        <v>0</v>
      </c>
      <c r="R83" s="3">
        <v>0</v>
      </c>
      <c r="S83" s="3">
        <v>0</v>
      </c>
    </row>
    <row r="84" spans="1:19" ht="30" x14ac:dyDescent="0.25">
      <c r="A84" s="1" t="s">
        <v>1</v>
      </c>
      <c r="B84" s="1" t="s">
        <v>348</v>
      </c>
      <c r="C84" s="1" t="s">
        <v>477</v>
      </c>
      <c r="D84" s="1" t="s">
        <v>572</v>
      </c>
      <c r="E84" s="1" t="s">
        <v>573</v>
      </c>
      <c r="F84" s="3">
        <v>1</v>
      </c>
      <c r="G84" s="1">
        <v>2044</v>
      </c>
      <c r="H84" s="1" t="s">
        <v>2</v>
      </c>
      <c r="I84" s="3">
        <v>0</v>
      </c>
      <c r="J84" s="3">
        <v>0</v>
      </c>
      <c r="K84" s="3">
        <v>0</v>
      </c>
      <c r="L84" s="3">
        <v>0</v>
      </c>
      <c r="M84" s="3">
        <v>0</v>
      </c>
      <c r="N84" s="3">
        <v>0</v>
      </c>
      <c r="O84" s="3">
        <v>0</v>
      </c>
      <c r="P84" s="3">
        <v>0</v>
      </c>
      <c r="Q84" s="3">
        <v>0</v>
      </c>
      <c r="R84" s="3">
        <v>0</v>
      </c>
      <c r="S84" s="3">
        <v>0</v>
      </c>
    </row>
    <row r="85" spans="1:19" ht="30" x14ac:dyDescent="0.25">
      <c r="A85" s="1" t="s">
        <v>1</v>
      </c>
      <c r="B85" s="1" t="s">
        <v>348</v>
      </c>
      <c r="C85" s="1" t="s">
        <v>477</v>
      </c>
      <c r="D85" s="1" t="s">
        <v>572</v>
      </c>
      <c r="E85" s="1" t="s">
        <v>573</v>
      </c>
      <c r="F85" s="3">
        <v>1</v>
      </c>
      <c r="G85" s="1">
        <v>2045</v>
      </c>
      <c r="H85" s="1" t="s">
        <v>2</v>
      </c>
      <c r="I85" s="3">
        <v>0</v>
      </c>
      <c r="J85" s="3">
        <v>0</v>
      </c>
      <c r="K85" s="3">
        <v>0</v>
      </c>
      <c r="L85" s="3">
        <v>0</v>
      </c>
      <c r="M85" s="3">
        <v>0</v>
      </c>
      <c r="N85" s="3">
        <v>0</v>
      </c>
      <c r="O85" s="3">
        <v>0</v>
      </c>
      <c r="P85" s="3">
        <v>0</v>
      </c>
      <c r="Q85" s="3">
        <v>0</v>
      </c>
      <c r="R85" s="3">
        <v>0</v>
      </c>
      <c r="S85" s="3">
        <v>0</v>
      </c>
    </row>
    <row r="86" spans="1:19" ht="30" x14ac:dyDescent="0.25">
      <c r="A86" s="1" t="s">
        <v>1</v>
      </c>
      <c r="B86" s="1" t="s">
        <v>348</v>
      </c>
      <c r="C86" s="1" t="s">
        <v>477</v>
      </c>
      <c r="D86" s="1" t="s">
        <v>572</v>
      </c>
      <c r="E86" s="1" t="s">
        <v>573</v>
      </c>
      <c r="F86" s="3">
        <v>1</v>
      </c>
      <c r="G86" s="1">
        <v>2046</v>
      </c>
      <c r="H86" s="1" t="s">
        <v>2</v>
      </c>
      <c r="I86" s="3">
        <v>0</v>
      </c>
      <c r="J86" s="3">
        <v>0</v>
      </c>
      <c r="K86" s="3">
        <v>0</v>
      </c>
      <c r="L86" s="3">
        <v>0</v>
      </c>
      <c r="M86" s="3">
        <v>0</v>
      </c>
      <c r="N86" s="3">
        <v>0</v>
      </c>
      <c r="O86" s="3">
        <v>0</v>
      </c>
      <c r="P86" s="3">
        <v>0</v>
      </c>
      <c r="Q86" s="3">
        <v>0</v>
      </c>
      <c r="R86" s="3">
        <v>0</v>
      </c>
      <c r="S86" s="3">
        <v>0</v>
      </c>
    </row>
    <row r="87" spans="1:19" ht="30" x14ac:dyDescent="0.25">
      <c r="A87" s="1" t="s">
        <v>1</v>
      </c>
      <c r="B87" s="1" t="s">
        <v>348</v>
      </c>
      <c r="C87" s="1" t="s">
        <v>477</v>
      </c>
      <c r="D87" s="1" t="s">
        <v>572</v>
      </c>
      <c r="E87" s="1" t="s">
        <v>573</v>
      </c>
      <c r="F87" s="3">
        <v>1</v>
      </c>
      <c r="G87" s="1">
        <v>2047</v>
      </c>
      <c r="H87" s="1" t="s">
        <v>2</v>
      </c>
      <c r="I87" s="3">
        <v>0</v>
      </c>
      <c r="J87" s="3">
        <v>0</v>
      </c>
      <c r="K87" s="3">
        <v>0</v>
      </c>
      <c r="L87" s="3">
        <v>0</v>
      </c>
      <c r="M87" s="3">
        <v>0</v>
      </c>
      <c r="N87" s="3">
        <v>0</v>
      </c>
      <c r="O87" s="3">
        <v>0</v>
      </c>
      <c r="P87" s="3">
        <v>0</v>
      </c>
      <c r="Q87" s="3">
        <v>0</v>
      </c>
      <c r="R87" s="3">
        <v>0</v>
      </c>
      <c r="S87" s="3">
        <v>0</v>
      </c>
    </row>
    <row r="88" spans="1:19" ht="30" x14ac:dyDescent="0.25">
      <c r="A88" s="1" t="s">
        <v>1</v>
      </c>
      <c r="B88" s="1" t="s">
        <v>348</v>
      </c>
      <c r="C88" s="1" t="s">
        <v>477</v>
      </c>
      <c r="D88" s="1" t="s">
        <v>572</v>
      </c>
      <c r="E88" s="1" t="s">
        <v>573</v>
      </c>
      <c r="F88" s="3">
        <v>1</v>
      </c>
      <c r="G88" s="1">
        <v>2048</v>
      </c>
      <c r="H88" s="1" t="s">
        <v>2</v>
      </c>
      <c r="I88" s="3">
        <v>0</v>
      </c>
      <c r="J88" s="3">
        <v>0</v>
      </c>
      <c r="K88" s="3">
        <v>0</v>
      </c>
      <c r="L88" s="3">
        <v>0</v>
      </c>
      <c r="M88" s="3">
        <v>0</v>
      </c>
      <c r="N88" s="3">
        <v>0</v>
      </c>
      <c r="O88" s="3">
        <v>0</v>
      </c>
      <c r="P88" s="3">
        <v>0</v>
      </c>
      <c r="Q88" s="3">
        <v>0</v>
      </c>
      <c r="R88" s="3">
        <v>0</v>
      </c>
      <c r="S88" s="3">
        <v>0</v>
      </c>
    </row>
    <row r="89" spans="1:19" ht="30" x14ac:dyDescent="0.25">
      <c r="A89" s="1" t="s">
        <v>1</v>
      </c>
      <c r="B89" s="1" t="s">
        <v>348</v>
      </c>
      <c r="C89" s="1" t="s">
        <v>477</v>
      </c>
      <c r="D89" s="1" t="s">
        <v>572</v>
      </c>
      <c r="E89" s="1" t="s">
        <v>573</v>
      </c>
      <c r="F89" s="3">
        <v>1</v>
      </c>
      <c r="G89" s="1">
        <v>2049</v>
      </c>
      <c r="H89" s="1" t="s">
        <v>2</v>
      </c>
      <c r="I89" s="3">
        <v>0</v>
      </c>
      <c r="J89" s="3">
        <v>0</v>
      </c>
      <c r="K89" s="3">
        <v>0</v>
      </c>
      <c r="L89" s="3">
        <v>0</v>
      </c>
      <c r="M89" s="3">
        <v>0</v>
      </c>
      <c r="N89" s="3">
        <v>0</v>
      </c>
      <c r="O89" s="3">
        <v>0</v>
      </c>
      <c r="P89" s="3">
        <v>0</v>
      </c>
      <c r="Q89" s="3">
        <v>0</v>
      </c>
      <c r="R89" s="3">
        <v>0</v>
      </c>
      <c r="S89" s="3">
        <v>0</v>
      </c>
    </row>
    <row r="90" spans="1:19" ht="30" x14ac:dyDescent="0.25">
      <c r="A90" s="1" t="s">
        <v>1</v>
      </c>
      <c r="B90" s="1" t="s">
        <v>348</v>
      </c>
      <c r="C90" s="1" t="s">
        <v>477</v>
      </c>
      <c r="D90" s="1" t="s">
        <v>572</v>
      </c>
      <c r="E90" s="1" t="s">
        <v>573</v>
      </c>
      <c r="F90" s="3">
        <v>1</v>
      </c>
      <c r="G90" s="1">
        <v>2050</v>
      </c>
      <c r="H90" s="1" t="s">
        <v>2</v>
      </c>
      <c r="I90" s="3">
        <v>0</v>
      </c>
      <c r="J90" s="3">
        <v>0</v>
      </c>
      <c r="K90" s="3">
        <v>0</v>
      </c>
      <c r="L90" s="3">
        <v>0</v>
      </c>
      <c r="M90" s="3">
        <v>0</v>
      </c>
      <c r="N90" s="3">
        <v>0</v>
      </c>
      <c r="O90" s="3">
        <v>0</v>
      </c>
      <c r="P90" s="3">
        <v>0</v>
      </c>
      <c r="Q90" s="3">
        <v>0</v>
      </c>
      <c r="R90" s="3">
        <v>0</v>
      </c>
      <c r="S90" s="3">
        <v>0</v>
      </c>
    </row>
    <row r="91" spans="1:19" ht="30" x14ac:dyDescent="0.25">
      <c r="A91" s="1" t="s">
        <v>1</v>
      </c>
      <c r="B91" s="1" t="s">
        <v>348</v>
      </c>
      <c r="C91" s="1" t="s">
        <v>477</v>
      </c>
      <c r="D91" s="1" t="s">
        <v>572</v>
      </c>
      <c r="E91" s="1" t="s">
        <v>573</v>
      </c>
      <c r="F91" s="3">
        <v>1</v>
      </c>
      <c r="G91" s="1">
        <v>2051</v>
      </c>
      <c r="H91" s="1" t="s">
        <v>2</v>
      </c>
      <c r="I91" s="3">
        <v>0</v>
      </c>
      <c r="J91" s="3">
        <v>0</v>
      </c>
      <c r="K91" s="3">
        <v>0</v>
      </c>
      <c r="L91" s="3">
        <v>0</v>
      </c>
      <c r="M91" s="3">
        <v>0</v>
      </c>
      <c r="N91" s="3">
        <v>0</v>
      </c>
      <c r="O91" s="3">
        <v>0</v>
      </c>
      <c r="P91" s="3">
        <v>0</v>
      </c>
      <c r="Q91" s="3">
        <v>0</v>
      </c>
      <c r="R91" s="3">
        <v>0</v>
      </c>
      <c r="S91" s="3">
        <v>0</v>
      </c>
    </row>
    <row r="92" spans="1:19" ht="30" x14ac:dyDescent="0.25">
      <c r="A92" s="1" t="s">
        <v>1</v>
      </c>
      <c r="B92" s="1" t="s">
        <v>348</v>
      </c>
      <c r="C92" s="1" t="s">
        <v>478</v>
      </c>
      <c r="D92" s="1" t="s">
        <v>572</v>
      </c>
      <c r="E92" s="1" t="s">
        <v>573</v>
      </c>
      <c r="F92" s="3">
        <v>1</v>
      </c>
      <c r="G92" s="1">
        <v>2022</v>
      </c>
      <c r="H92" s="1" t="s">
        <v>2</v>
      </c>
      <c r="I92" s="3">
        <v>0</v>
      </c>
      <c r="J92" s="3">
        <v>0</v>
      </c>
      <c r="K92" s="3">
        <v>0</v>
      </c>
      <c r="L92" s="3">
        <v>0</v>
      </c>
      <c r="M92" s="3">
        <v>0</v>
      </c>
      <c r="N92" s="3">
        <v>0</v>
      </c>
      <c r="O92" s="3">
        <v>0</v>
      </c>
      <c r="P92" s="3">
        <v>0</v>
      </c>
      <c r="Q92" s="3">
        <v>0</v>
      </c>
      <c r="R92" s="3">
        <v>0</v>
      </c>
      <c r="S92" s="3">
        <v>0</v>
      </c>
    </row>
    <row r="93" spans="1:19" ht="30" x14ac:dyDescent="0.25">
      <c r="A93" s="1" t="s">
        <v>1</v>
      </c>
      <c r="B93" s="1" t="s">
        <v>348</v>
      </c>
      <c r="C93" s="1" t="s">
        <v>478</v>
      </c>
      <c r="D93" s="1" t="s">
        <v>572</v>
      </c>
      <c r="E93" s="1" t="s">
        <v>573</v>
      </c>
      <c r="F93" s="3">
        <v>1</v>
      </c>
      <c r="G93" s="1">
        <v>2023</v>
      </c>
      <c r="H93" s="1" t="s">
        <v>2</v>
      </c>
      <c r="I93" s="3">
        <v>0</v>
      </c>
      <c r="J93" s="3">
        <v>0</v>
      </c>
      <c r="K93" s="3">
        <v>0</v>
      </c>
      <c r="L93" s="3">
        <v>0</v>
      </c>
      <c r="M93" s="3">
        <v>0</v>
      </c>
      <c r="N93" s="3">
        <v>0</v>
      </c>
      <c r="O93" s="3">
        <v>0</v>
      </c>
      <c r="P93" s="3">
        <v>0</v>
      </c>
      <c r="Q93" s="3">
        <v>0</v>
      </c>
      <c r="R93" s="3">
        <v>0</v>
      </c>
      <c r="S93" s="3">
        <v>0</v>
      </c>
    </row>
    <row r="94" spans="1:19" ht="30" x14ac:dyDescent="0.25">
      <c r="A94" s="1" t="s">
        <v>1</v>
      </c>
      <c r="B94" s="1" t="s">
        <v>348</v>
      </c>
      <c r="C94" s="1" t="s">
        <v>478</v>
      </c>
      <c r="D94" s="1" t="s">
        <v>572</v>
      </c>
      <c r="E94" s="1" t="s">
        <v>573</v>
      </c>
      <c r="F94" s="3">
        <v>1</v>
      </c>
      <c r="G94" s="1">
        <v>2024</v>
      </c>
      <c r="H94" s="1" t="s">
        <v>2</v>
      </c>
      <c r="I94" s="3">
        <v>0</v>
      </c>
      <c r="J94" s="3">
        <v>0</v>
      </c>
      <c r="K94" s="3">
        <v>0</v>
      </c>
      <c r="L94" s="3">
        <v>0</v>
      </c>
      <c r="M94" s="3">
        <v>0</v>
      </c>
      <c r="N94" s="3">
        <v>0</v>
      </c>
      <c r="O94" s="3">
        <v>0</v>
      </c>
      <c r="P94" s="3">
        <v>0</v>
      </c>
      <c r="Q94" s="3">
        <v>0</v>
      </c>
      <c r="R94" s="3">
        <v>0</v>
      </c>
      <c r="S94" s="3">
        <v>0</v>
      </c>
    </row>
    <row r="95" spans="1:19" ht="30" x14ac:dyDescent="0.25">
      <c r="A95" s="1" t="s">
        <v>1</v>
      </c>
      <c r="B95" s="1" t="s">
        <v>348</v>
      </c>
      <c r="C95" s="1" t="s">
        <v>478</v>
      </c>
      <c r="D95" s="1" t="s">
        <v>572</v>
      </c>
      <c r="E95" s="1" t="s">
        <v>573</v>
      </c>
      <c r="F95" s="3">
        <v>1</v>
      </c>
      <c r="G95" s="1">
        <v>2025</v>
      </c>
      <c r="H95" s="1" t="s">
        <v>2</v>
      </c>
      <c r="I95" s="3">
        <v>0</v>
      </c>
      <c r="J95" s="3">
        <v>0</v>
      </c>
      <c r="K95" s="3">
        <v>0</v>
      </c>
      <c r="L95" s="3">
        <v>0</v>
      </c>
      <c r="M95" s="3">
        <v>0</v>
      </c>
      <c r="N95" s="3">
        <v>0</v>
      </c>
      <c r="O95" s="3">
        <v>0</v>
      </c>
      <c r="P95" s="3">
        <v>0</v>
      </c>
      <c r="Q95" s="3">
        <v>0</v>
      </c>
      <c r="R95" s="3">
        <v>0</v>
      </c>
      <c r="S95" s="3">
        <v>0</v>
      </c>
    </row>
    <row r="96" spans="1:19" ht="30" x14ac:dyDescent="0.25">
      <c r="A96" s="1" t="s">
        <v>1</v>
      </c>
      <c r="B96" s="1" t="s">
        <v>348</v>
      </c>
      <c r="C96" s="1" t="s">
        <v>478</v>
      </c>
      <c r="D96" s="1" t="s">
        <v>572</v>
      </c>
      <c r="E96" s="1" t="s">
        <v>573</v>
      </c>
      <c r="F96" s="3">
        <v>1</v>
      </c>
      <c r="G96" s="1">
        <v>2026</v>
      </c>
      <c r="H96" s="1" t="s">
        <v>2</v>
      </c>
      <c r="I96" s="3">
        <v>0</v>
      </c>
      <c r="J96" s="3">
        <v>0</v>
      </c>
      <c r="K96" s="3">
        <v>0</v>
      </c>
      <c r="L96" s="3">
        <v>0</v>
      </c>
      <c r="M96" s="3">
        <v>0</v>
      </c>
      <c r="N96" s="3">
        <v>0</v>
      </c>
      <c r="O96" s="3">
        <v>0</v>
      </c>
      <c r="P96" s="3">
        <v>0</v>
      </c>
      <c r="Q96" s="3">
        <v>0</v>
      </c>
      <c r="R96" s="3">
        <v>0</v>
      </c>
      <c r="S96" s="3">
        <v>0</v>
      </c>
    </row>
    <row r="97" spans="1:19" ht="30" x14ac:dyDescent="0.25">
      <c r="A97" s="1" t="s">
        <v>1</v>
      </c>
      <c r="B97" s="1" t="s">
        <v>348</v>
      </c>
      <c r="C97" s="1" t="s">
        <v>478</v>
      </c>
      <c r="D97" s="1" t="s">
        <v>572</v>
      </c>
      <c r="E97" s="1" t="s">
        <v>573</v>
      </c>
      <c r="F97" s="3">
        <v>1</v>
      </c>
      <c r="G97" s="1">
        <v>2027</v>
      </c>
      <c r="H97" s="1" t="s">
        <v>2</v>
      </c>
      <c r="I97" s="3">
        <v>0</v>
      </c>
      <c r="J97" s="3">
        <v>0</v>
      </c>
      <c r="K97" s="3">
        <v>0</v>
      </c>
      <c r="L97" s="3">
        <v>0</v>
      </c>
      <c r="M97" s="3">
        <v>0</v>
      </c>
      <c r="N97" s="3">
        <v>0</v>
      </c>
      <c r="O97" s="3">
        <v>0</v>
      </c>
      <c r="P97" s="3">
        <v>0</v>
      </c>
      <c r="Q97" s="3">
        <v>0</v>
      </c>
      <c r="R97" s="3">
        <v>0</v>
      </c>
      <c r="S97" s="3">
        <v>0</v>
      </c>
    </row>
    <row r="98" spans="1:19" ht="30" x14ac:dyDescent="0.25">
      <c r="A98" s="1" t="s">
        <v>1</v>
      </c>
      <c r="B98" s="1" t="s">
        <v>348</v>
      </c>
      <c r="C98" s="1" t="s">
        <v>478</v>
      </c>
      <c r="D98" s="1" t="s">
        <v>572</v>
      </c>
      <c r="E98" s="1" t="s">
        <v>573</v>
      </c>
      <c r="F98" s="3">
        <v>1</v>
      </c>
      <c r="G98" s="1">
        <v>2028</v>
      </c>
      <c r="H98" s="1" t="s">
        <v>2</v>
      </c>
      <c r="I98" s="3">
        <v>0</v>
      </c>
      <c r="J98" s="3">
        <v>0</v>
      </c>
      <c r="K98" s="3">
        <v>0</v>
      </c>
      <c r="L98" s="3">
        <v>0</v>
      </c>
      <c r="M98" s="3">
        <v>0</v>
      </c>
      <c r="N98" s="3">
        <v>0</v>
      </c>
      <c r="O98" s="3">
        <v>0</v>
      </c>
      <c r="P98" s="3">
        <v>0</v>
      </c>
      <c r="Q98" s="3">
        <v>0</v>
      </c>
      <c r="R98" s="3">
        <v>0</v>
      </c>
      <c r="S98" s="3">
        <v>0</v>
      </c>
    </row>
    <row r="99" spans="1:19" ht="30" x14ac:dyDescent="0.25">
      <c r="A99" s="1" t="s">
        <v>1</v>
      </c>
      <c r="B99" s="1" t="s">
        <v>348</v>
      </c>
      <c r="C99" s="1" t="s">
        <v>478</v>
      </c>
      <c r="D99" s="1" t="s">
        <v>572</v>
      </c>
      <c r="E99" s="1" t="s">
        <v>573</v>
      </c>
      <c r="F99" s="3">
        <v>1</v>
      </c>
      <c r="G99" s="1">
        <v>2029</v>
      </c>
      <c r="H99" s="1" t="s">
        <v>2</v>
      </c>
      <c r="I99" s="3">
        <v>0</v>
      </c>
      <c r="J99" s="3">
        <v>0</v>
      </c>
      <c r="K99" s="3">
        <v>0</v>
      </c>
      <c r="L99" s="3">
        <v>0</v>
      </c>
      <c r="M99" s="3">
        <v>0</v>
      </c>
      <c r="N99" s="3">
        <v>0</v>
      </c>
      <c r="O99" s="3">
        <v>0</v>
      </c>
      <c r="P99" s="3">
        <v>0</v>
      </c>
      <c r="Q99" s="3">
        <v>0</v>
      </c>
      <c r="R99" s="3">
        <v>0</v>
      </c>
      <c r="S99" s="3">
        <v>0</v>
      </c>
    </row>
    <row r="100" spans="1:19" ht="30" x14ac:dyDescent="0.25">
      <c r="A100" s="1" t="s">
        <v>1</v>
      </c>
      <c r="B100" s="1" t="s">
        <v>348</v>
      </c>
      <c r="C100" s="1" t="s">
        <v>478</v>
      </c>
      <c r="D100" s="1" t="s">
        <v>572</v>
      </c>
      <c r="E100" s="1" t="s">
        <v>573</v>
      </c>
      <c r="F100" s="3">
        <v>1</v>
      </c>
      <c r="G100" s="1">
        <v>2030</v>
      </c>
      <c r="H100" s="1" t="s">
        <v>2</v>
      </c>
      <c r="I100" s="3">
        <v>0</v>
      </c>
      <c r="J100" s="3">
        <v>0</v>
      </c>
      <c r="K100" s="3">
        <v>0</v>
      </c>
      <c r="L100" s="3">
        <v>0</v>
      </c>
      <c r="M100" s="3">
        <v>0</v>
      </c>
      <c r="N100" s="3">
        <v>0</v>
      </c>
      <c r="O100" s="3">
        <v>0</v>
      </c>
      <c r="P100" s="3">
        <v>0</v>
      </c>
      <c r="Q100" s="3">
        <v>0</v>
      </c>
      <c r="R100" s="3">
        <v>0</v>
      </c>
      <c r="S100" s="3">
        <v>0</v>
      </c>
    </row>
    <row r="101" spans="1:19" ht="30" x14ac:dyDescent="0.25">
      <c r="A101" s="1" t="s">
        <v>1</v>
      </c>
      <c r="B101" s="1" t="s">
        <v>348</v>
      </c>
      <c r="C101" s="1" t="s">
        <v>478</v>
      </c>
      <c r="D101" s="1" t="s">
        <v>572</v>
      </c>
      <c r="E101" s="1" t="s">
        <v>573</v>
      </c>
      <c r="F101" s="3">
        <v>1</v>
      </c>
      <c r="G101" s="1">
        <v>2031</v>
      </c>
      <c r="H101" s="1" t="s">
        <v>2</v>
      </c>
      <c r="I101" s="3">
        <v>0</v>
      </c>
      <c r="J101" s="3">
        <v>0</v>
      </c>
      <c r="K101" s="3">
        <v>0</v>
      </c>
      <c r="L101" s="3">
        <v>0</v>
      </c>
      <c r="M101" s="3">
        <v>0</v>
      </c>
      <c r="N101" s="3">
        <v>0</v>
      </c>
      <c r="O101" s="3">
        <v>0</v>
      </c>
      <c r="P101" s="3">
        <v>0</v>
      </c>
      <c r="Q101" s="3">
        <v>0</v>
      </c>
      <c r="R101" s="3">
        <v>0</v>
      </c>
      <c r="S101" s="3">
        <v>0</v>
      </c>
    </row>
    <row r="102" spans="1:19" ht="30" x14ac:dyDescent="0.25">
      <c r="A102" s="1" t="s">
        <v>1</v>
      </c>
      <c r="B102" s="1" t="s">
        <v>348</v>
      </c>
      <c r="C102" s="1" t="s">
        <v>478</v>
      </c>
      <c r="D102" s="1" t="s">
        <v>572</v>
      </c>
      <c r="E102" s="1" t="s">
        <v>573</v>
      </c>
      <c r="F102" s="3">
        <v>1</v>
      </c>
      <c r="G102" s="1">
        <v>2032</v>
      </c>
      <c r="H102" s="1" t="s">
        <v>2</v>
      </c>
      <c r="I102" s="3">
        <v>0</v>
      </c>
      <c r="J102" s="3">
        <v>0</v>
      </c>
      <c r="K102" s="3">
        <v>0</v>
      </c>
      <c r="L102" s="3">
        <v>0</v>
      </c>
      <c r="M102" s="3">
        <v>0</v>
      </c>
      <c r="N102" s="3">
        <v>0</v>
      </c>
      <c r="O102" s="3">
        <v>0</v>
      </c>
      <c r="P102" s="3">
        <v>0</v>
      </c>
      <c r="Q102" s="3">
        <v>0</v>
      </c>
      <c r="R102" s="3">
        <v>0</v>
      </c>
      <c r="S102" s="3">
        <v>0</v>
      </c>
    </row>
    <row r="103" spans="1:19" ht="30" x14ac:dyDescent="0.25">
      <c r="A103" s="1" t="s">
        <v>1</v>
      </c>
      <c r="B103" s="1" t="s">
        <v>348</v>
      </c>
      <c r="C103" s="1" t="s">
        <v>478</v>
      </c>
      <c r="D103" s="1" t="s">
        <v>572</v>
      </c>
      <c r="E103" s="1" t="s">
        <v>573</v>
      </c>
      <c r="F103" s="3">
        <v>1</v>
      </c>
      <c r="G103" s="1">
        <v>2033</v>
      </c>
      <c r="H103" s="1" t="s">
        <v>2</v>
      </c>
      <c r="I103" s="3">
        <v>0</v>
      </c>
      <c r="J103" s="3">
        <v>0</v>
      </c>
      <c r="K103" s="3">
        <v>0</v>
      </c>
      <c r="L103" s="3">
        <v>0</v>
      </c>
      <c r="M103" s="3">
        <v>0</v>
      </c>
      <c r="N103" s="3">
        <v>0</v>
      </c>
      <c r="O103" s="3">
        <v>0</v>
      </c>
      <c r="P103" s="3">
        <v>0</v>
      </c>
      <c r="Q103" s="3">
        <v>0</v>
      </c>
      <c r="R103" s="3">
        <v>0</v>
      </c>
      <c r="S103" s="3">
        <v>0</v>
      </c>
    </row>
    <row r="104" spans="1:19" ht="30" x14ac:dyDescent="0.25">
      <c r="A104" s="1" t="s">
        <v>1</v>
      </c>
      <c r="B104" s="1" t="s">
        <v>348</v>
      </c>
      <c r="C104" s="1" t="s">
        <v>478</v>
      </c>
      <c r="D104" s="1" t="s">
        <v>572</v>
      </c>
      <c r="E104" s="1" t="s">
        <v>573</v>
      </c>
      <c r="F104" s="3">
        <v>1</v>
      </c>
      <c r="G104" s="1">
        <v>2034</v>
      </c>
      <c r="H104" s="1" t="s">
        <v>2</v>
      </c>
      <c r="I104" s="3">
        <v>0</v>
      </c>
      <c r="J104" s="3">
        <v>0</v>
      </c>
      <c r="K104" s="3">
        <v>0</v>
      </c>
      <c r="L104" s="3">
        <v>0</v>
      </c>
      <c r="M104" s="3">
        <v>0</v>
      </c>
      <c r="N104" s="3">
        <v>0</v>
      </c>
      <c r="O104" s="3">
        <v>0</v>
      </c>
      <c r="P104" s="3">
        <v>0</v>
      </c>
      <c r="Q104" s="3">
        <v>0</v>
      </c>
      <c r="R104" s="3">
        <v>0</v>
      </c>
      <c r="S104" s="3">
        <v>0</v>
      </c>
    </row>
    <row r="105" spans="1:19" ht="30" x14ac:dyDescent="0.25">
      <c r="A105" s="1" t="s">
        <v>1</v>
      </c>
      <c r="B105" s="1" t="s">
        <v>348</v>
      </c>
      <c r="C105" s="1" t="s">
        <v>478</v>
      </c>
      <c r="D105" s="1" t="s">
        <v>572</v>
      </c>
      <c r="E105" s="1" t="s">
        <v>573</v>
      </c>
      <c r="F105" s="3">
        <v>1</v>
      </c>
      <c r="G105" s="1">
        <v>2035</v>
      </c>
      <c r="H105" s="1" t="s">
        <v>2</v>
      </c>
      <c r="I105" s="3">
        <v>0.13253424999999999</v>
      </c>
      <c r="J105" s="3">
        <v>1.3253424700000001</v>
      </c>
      <c r="K105" s="3">
        <v>0</v>
      </c>
      <c r="L105" s="3">
        <v>0</v>
      </c>
      <c r="M105" s="3">
        <v>0</v>
      </c>
      <c r="N105" s="3">
        <v>0</v>
      </c>
      <c r="O105" s="3">
        <v>0</v>
      </c>
      <c r="P105" s="3">
        <v>0</v>
      </c>
      <c r="Q105" s="3">
        <v>0</v>
      </c>
      <c r="R105" s="3">
        <v>0</v>
      </c>
      <c r="S105" s="3">
        <v>0</v>
      </c>
    </row>
    <row r="106" spans="1:19" ht="30" x14ac:dyDescent="0.25">
      <c r="A106" s="1" t="s">
        <v>1</v>
      </c>
      <c r="B106" s="1" t="s">
        <v>348</v>
      </c>
      <c r="C106" s="1" t="s">
        <v>478</v>
      </c>
      <c r="D106" s="1" t="s">
        <v>572</v>
      </c>
      <c r="E106" s="1" t="s">
        <v>573</v>
      </c>
      <c r="F106" s="3">
        <v>1</v>
      </c>
      <c r="G106" s="1">
        <v>2036</v>
      </c>
      <c r="H106" s="1" t="s">
        <v>2</v>
      </c>
      <c r="I106" s="3">
        <v>0</v>
      </c>
      <c r="J106" s="3">
        <v>0</v>
      </c>
      <c r="K106" s="3">
        <v>0</v>
      </c>
      <c r="L106" s="3">
        <v>0</v>
      </c>
      <c r="M106" s="3">
        <v>0</v>
      </c>
      <c r="N106" s="3">
        <v>0</v>
      </c>
      <c r="O106" s="3">
        <v>0</v>
      </c>
      <c r="P106" s="3">
        <v>0</v>
      </c>
      <c r="Q106" s="3">
        <v>0</v>
      </c>
      <c r="R106" s="3">
        <v>0</v>
      </c>
      <c r="S106" s="3">
        <v>0</v>
      </c>
    </row>
    <row r="107" spans="1:19" ht="30" x14ac:dyDescent="0.25">
      <c r="A107" s="1" t="s">
        <v>1</v>
      </c>
      <c r="B107" s="1" t="s">
        <v>348</v>
      </c>
      <c r="C107" s="1" t="s">
        <v>478</v>
      </c>
      <c r="D107" s="1" t="s">
        <v>572</v>
      </c>
      <c r="E107" s="1" t="s">
        <v>573</v>
      </c>
      <c r="F107" s="3">
        <v>1</v>
      </c>
      <c r="G107" s="1">
        <v>2037</v>
      </c>
      <c r="H107" s="1" t="s">
        <v>2</v>
      </c>
      <c r="I107" s="3">
        <v>0</v>
      </c>
      <c r="J107" s="3">
        <v>0</v>
      </c>
      <c r="K107" s="3">
        <v>0</v>
      </c>
      <c r="L107" s="3">
        <v>0</v>
      </c>
      <c r="M107" s="3">
        <v>0</v>
      </c>
      <c r="N107" s="3">
        <v>0</v>
      </c>
      <c r="O107" s="3">
        <v>0</v>
      </c>
      <c r="P107" s="3">
        <v>0</v>
      </c>
      <c r="Q107" s="3">
        <v>0</v>
      </c>
      <c r="R107" s="3">
        <v>0</v>
      </c>
      <c r="S107" s="3">
        <v>0</v>
      </c>
    </row>
    <row r="108" spans="1:19" ht="30" x14ac:dyDescent="0.25">
      <c r="A108" s="1" t="s">
        <v>1</v>
      </c>
      <c r="B108" s="1" t="s">
        <v>348</v>
      </c>
      <c r="C108" s="1" t="s">
        <v>478</v>
      </c>
      <c r="D108" s="1" t="s">
        <v>572</v>
      </c>
      <c r="E108" s="1" t="s">
        <v>573</v>
      </c>
      <c r="F108" s="3">
        <v>1</v>
      </c>
      <c r="G108" s="1">
        <v>2038</v>
      </c>
      <c r="H108" s="1" t="s">
        <v>2</v>
      </c>
      <c r="I108" s="3">
        <v>0</v>
      </c>
      <c r="J108" s="3">
        <v>0</v>
      </c>
      <c r="K108" s="3">
        <v>0</v>
      </c>
      <c r="L108" s="3">
        <v>0</v>
      </c>
      <c r="M108" s="3">
        <v>0</v>
      </c>
      <c r="N108" s="3">
        <v>0</v>
      </c>
      <c r="O108" s="3">
        <v>0</v>
      </c>
      <c r="P108" s="3">
        <v>0</v>
      </c>
      <c r="Q108" s="3">
        <v>0</v>
      </c>
      <c r="R108" s="3">
        <v>0</v>
      </c>
      <c r="S108" s="3">
        <v>0</v>
      </c>
    </row>
    <row r="109" spans="1:19" ht="30" x14ac:dyDescent="0.25">
      <c r="A109" s="1" t="s">
        <v>1</v>
      </c>
      <c r="B109" s="1" t="s">
        <v>348</v>
      </c>
      <c r="C109" s="1" t="s">
        <v>478</v>
      </c>
      <c r="D109" s="1" t="s">
        <v>572</v>
      </c>
      <c r="E109" s="1" t="s">
        <v>573</v>
      </c>
      <c r="F109" s="3">
        <v>1</v>
      </c>
      <c r="G109" s="1">
        <v>2039</v>
      </c>
      <c r="H109" s="1" t="s">
        <v>2</v>
      </c>
      <c r="I109" s="3">
        <v>0</v>
      </c>
      <c r="J109" s="3">
        <v>0</v>
      </c>
      <c r="K109" s="3">
        <v>0</v>
      </c>
      <c r="L109" s="3">
        <v>0</v>
      </c>
      <c r="M109" s="3">
        <v>0</v>
      </c>
      <c r="N109" s="3">
        <v>0</v>
      </c>
      <c r="O109" s="3">
        <v>0</v>
      </c>
      <c r="P109" s="3">
        <v>0</v>
      </c>
      <c r="Q109" s="3">
        <v>0</v>
      </c>
      <c r="R109" s="3">
        <v>0</v>
      </c>
      <c r="S109" s="3">
        <v>0</v>
      </c>
    </row>
    <row r="110" spans="1:19" ht="30" x14ac:dyDescent="0.25">
      <c r="A110" s="1" t="s">
        <v>1</v>
      </c>
      <c r="B110" s="1" t="s">
        <v>348</v>
      </c>
      <c r="C110" s="1" t="s">
        <v>478</v>
      </c>
      <c r="D110" s="1" t="s">
        <v>572</v>
      </c>
      <c r="E110" s="1" t="s">
        <v>573</v>
      </c>
      <c r="F110" s="3">
        <v>1</v>
      </c>
      <c r="G110" s="1">
        <v>2040</v>
      </c>
      <c r="H110" s="1" t="s">
        <v>2</v>
      </c>
      <c r="I110" s="3">
        <v>0</v>
      </c>
      <c r="J110" s="3">
        <v>0</v>
      </c>
      <c r="K110" s="3">
        <v>0</v>
      </c>
      <c r="L110" s="3">
        <v>0</v>
      </c>
      <c r="M110" s="3">
        <v>0</v>
      </c>
      <c r="N110" s="3">
        <v>0</v>
      </c>
      <c r="O110" s="3">
        <v>0</v>
      </c>
      <c r="P110" s="3">
        <v>0</v>
      </c>
      <c r="Q110" s="3">
        <v>0</v>
      </c>
      <c r="R110" s="3">
        <v>0</v>
      </c>
      <c r="S110" s="3">
        <v>0</v>
      </c>
    </row>
    <row r="111" spans="1:19" ht="30" x14ac:dyDescent="0.25">
      <c r="A111" s="1" t="s">
        <v>1</v>
      </c>
      <c r="B111" s="1" t="s">
        <v>348</v>
      </c>
      <c r="C111" s="1" t="s">
        <v>478</v>
      </c>
      <c r="D111" s="1" t="s">
        <v>572</v>
      </c>
      <c r="E111" s="1" t="s">
        <v>573</v>
      </c>
      <c r="F111" s="3">
        <v>1</v>
      </c>
      <c r="G111" s="1">
        <v>2041</v>
      </c>
      <c r="H111" s="1" t="s">
        <v>2</v>
      </c>
      <c r="I111" s="3">
        <v>0</v>
      </c>
      <c r="J111" s="3">
        <v>0</v>
      </c>
      <c r="K111" s="3">
        <v>0</v>
      </c>
      <c r="L111" s="3">
        <v>0</v>
      </c>
      <c r="M111" s="3">
        <v>0</v>
      </c>
      <c r="N111" s="3">
        <v>0</v>
      </c>
      <c r="O111" s="3">
        <v>0</v>
      </c>
      <c r="P111" s="3">
        <v>0</v>
      </c>
      <c r="Q111" s="3">
        <v>0</v>
      </c>
      <c r="R111" s="3">
        <v>0</v>
      </c>
      <c r="S111" s="3">
        <v>0</v>
      </c>
    </row>
    <row r="112" spans="1:19" ht="30" x14ac:dyDescent="0.25">
      <c r="A112" s="1" t="s">
        <v>1</v>
      </c>
      <c r="B112" s="1" t="s">
        <v>348</v>
      </c>
      <c r="C112" s="1" t="s">
        <v>478</v>
      </c>
      <c r="D112" s="1" t="s">
        <v>572</v>
      </c>
      <c r="E112" s="1" t="s">
        <v>573</v>
      </c>
      <c r="F112" s="3">
        <v>1</v>
      </c>
      <c r="G112" s="1">
        <v>2042</v>
      </c>
      <c r="H112" s="1" t="s">
        <v>2</v>
      </c>
      <c r="I112" s="3">
        <v>0</v>
      </c>
      <c r="J112" s="3">
        <v>0</v>
      </c>
      <c r="K112" s="3">
        <v>0</v>
      </c>
      <c r="L112" s="3">
        <v>0</v>
      </c>
      <c r="M112" s="3">
        <v>0</v>
      </c>
      <c r="N112" s="3">
        <v>0</v>
      </c>
      <c r="O112" s="3">
        <v>0</v>
      </c>
      <c r="P112" s="3">
        <v>0</v>
      </c>
      <c r="Q112" s="3">
        <v>0</v>
      </c>
      <c r="R112" s="3">
        <v>0</v>
      </c>
      <c r="S112" s="3">
        <v>0</v>
      </c>
    </row>
    <row r="113" spans="1:19" ht="30" x14ac:dyDescent="0.25">
      <c r="A113" s="1" t="s">
        <v>1</v>
      </c>
      <c r="B113" s="1" t="s">
        <v>348</v>
      </c>
      <c r="C113" s="1" t="s">
        <v>478</v>
      </c>
      <c r="D113" s="1" t="s">
        <v>572</v>
      </c>
      <c r="E113" s="1" t="s">
        <v>573</v>
      </c>
      <c r="F113" s="3">
        <v>1</v>
      </c>
      <c r="G113" s="1">
        <v>2043</v>
      </c>
      <c r="H113" s="1" t="s">
        <v>2</v>
      </c>
      <c r="I113" s="3">
        <v>0</v>
      </c>
      <c r="J113" s="3">
        <v>0</v>
      </c>
      <c r="K113" s="3">
        <v>0</v>
      </c>
      <c r="L113" s="3">
        <v>0</v>
      </c>
      <c r="M113" s="3">
        <v>0</v>
      </c>
      <c r="N113" s="3">
        <v>0</v>
      </c>
      <c r="O113" s="3">
        <v>0</v>
      </c>
      <c r="P113" s="3">
        <v>0</v>
      </c>
      <c r="Q113" s="3">
        <v>0</v>
      </c>
      <c r="R113" s="3">
        <v>0</v>
      </c>
      <c r="S113" s="3">
        <v>0</v>
      </c>
    </row>
    <row r="114" spans="1:19" ht="30" x14ac:dyDescent="0.25">
      <c r="A114" s="1" t="s">
        <v>1</v>
      </c>
      <c r="B114" s="1" t="s">
        <v>348</v>
      </c>
      <c r="C114" s="1" t="s">
        <v>478</v>
      </c>
      <c r="D114" s="1" t="s">
        <v>572</v>
      </c>
      <c r="E114" s="1" t="s">
        <v>573</v>
      </c>
      <c r="F114" s="3">
        <v>1</v>
      </c>
      <c r="G114" s="1">
        <v>2044</v>
      </c>
      <c r="H114" s="1" t="s">
        <v>2</v>
      </c>
      <c r="I114" s="3">
        <v>0</v>
      </c>
      <c r="J114" s="3">
        <v>0</v>
      </c>
      <c r="K114" s="3">
        <v>0</v>
      </c>
      <c r="L114" s="3">
        <v>0</v>
      </c>
      <c r="M114" s="3">
        <v>0</v>
      </c>
      <c r="N114" s="3">
        <v>0</v>
      </c>
      <c r="O114" s="3">
        <v>0</v>
      </c>
      <c r="P114" s="3">
        <v>0</v>
      </c>
      <c r="Q114" s="3">
        <v>0</v>
      </c>
      <c r="R114" s="3">
        <v>0</v>
      </c>
      <c r="S114" s="3">
        <v>0</v>
      </c>
    </row>
    <row r="115" spans="1:19" ht="30" x14ac:dyDescent="0.25">
      <c r="A115" s="1" t="s">
        <v>1</v>
      </c>
      <c r="B115" s="1" t="s">
        <v>348</v>
      </c>
      <c r="C115" s="1" t="s">
        <v>478</v>
      </c>
      <c r="D115" s="1" t="s">
        <v>572</v>
      </c>
      <c r="E115" s="1" t="s">
        <v>573</v>
      </c>
      <c r="F115" s="3">
        <v>1</v>
      </c>
      <c r="G115" s="1">
        <v>2045</v>
      </c>
      <c r="H115" s="1" t="s">
        <v>2</v>
      </c>
      <c r="I115" s="3">
        <v>0</v>
      </c>
      <c r="J115" s="3">
        <v>0</v>
      </c>
      <c r="K115" s="3">
        <v>0</v>
      </c>
      <c r="L115" s="3">
        <v>0</v>
      </c>
      <c r="M115" s="3">
        <v>0</v>
      </c>
      <c r="N115" s="3">
        <v>0</v>
      </c>
      <c r="O115" s="3">
        <v>0</v>
      </c>
      <c r="P115" s="3">
        <v>0</v>
      </c>
      <c r="Q115" s="3">
        <v>0</v>
      </c>
      <c r="R115" s="3">
        <v>0</v>
      </c>
      <c r="S115" s="3">
        <v>0</v>
      </c>
    </row>
    <row r="116" spans="1:19" ht="30" x14ac:dyDescent="0.25">
      <c r="A116" s="1" t="s">
        <v>1</v>
      </c>
      <c r="B116" s="1" t="s">
        <v>348</v>
      </c>
      <c r="C116" s="1" t="s">
        <v>478</v>
      </c>
      <c r="D116" s="1" t="s">
        <v>572</v>
      </c>
      <c r="E116" s="1" t="s">
        <v>573</v>
      </c>
      <c r="F116" s="3">
        <v>1</v>
      </c>
      <c r="G116" s="1">
        <v>2046</v>
      </c>
      <c r="H116" s="1" t="s">
        <v>2</v>
      </c>
      <c r="I116" s="3">
        <v>0</v>
      </c>
      <c r="J116" s="3">
        <v>0</v>
      </c>
      <c r="K116" s="3">
        <v>0</v>
      </c>
      <c r="L116" s="3">
        <v>0</v>
      </c>
      <c r="M116" s="3">
        <v>0</v>
      </c>
      <c r="N116" s="3">
        <v>0</v>
      </c>
      <c r="O116" s="3">
        <v>0</v>
      </c>
      <c r="P116" s="3">
        <v>0</v>
      </c>
      <c r="Q116" s="3">
        <v>0</v>
      </c>
      <c r="R116" s="3">
        <v>0</v>
      </c>
      <c r="S116" s="3">
        <v>0</v>
      </c>
    </row>
    <row r="117" spans="1:19" ht="30" x14ac:dyDescent="0.25">
      <c r="A117" s="1" t="s">
        <v>1</v>
      </c>
      <c r="B117" s="1" t="s">
        <v>348</v>
      </c>
      <c r="C117" s="1" t="s">
        <v>478</v>
      </c>
      <c r="D117" s="1" t="s">
        <v>572</v>
      </c>
      <c r="E117" s="1" t="s">
        <v>573</v>
      </c>
      <c r="F117" s="3">
        <v>1</v>
      </c>
      <c r="G117" s="1">
        <v>2047</v>
      </c>
      <c r="H117" s="1" t="s">
        <v>2</v>
      </c>
      <c r="I117" s="3">
        <v>0</v>
      </c>
      <c r="J117" s="3">
        <v>0</v>
      </c>
      <c r="K117" s="3">
        <v>0</v>
      </c>
      <c r="L117" s="3">
        <v>0</v>
      </c>
      <c r="M117" s="3">
        <v>0</v>
      </c>
      <c r="N117" s="3">
        <v>0</v>
      </c>
      <c r="O117" s="3">
        <v>0</v>
      </c>
      <c r="P117" s="3">
        <v>0</v>
      </c>
      <c r="Q117" s="3">
        <v>0</v>
      </c>
      <c r="R117" s="3">
        <v>0</v>
      </c>
      <c r="S117" s="3">
        <v>0</v>
      </c>
    </row>
    <row r="118" spans="1:19" ht="30" x14ac:dyDescent="0.25">
      <c r="A118" s="1" t="s">
        <v>1</v>
      </c>
      <c r="B118" s="1" t="s">
        <v>348</v>
      </c>
      <c r="C118" s="1" t="s">
        <v>478</v>
      </c>
      <c r="D118" s="1" t="s">
        <v>572</v>
      </c>
      <c r="E118" s="1" t="s">
        <v>573</v>
      </c>
      <c r="F118" s="3">
        <v>1</v>
      </c>
      <c r="G118" s="1">
        <v>2048</v>
      </c>
      <c r="H118" s="1" t="s">
        <v>2</v>
      </c>
      <c r="I118" s="3">
        <v>0</v>
      </c>
      <c r="J118" s="3">
        <v>0</v>
      </c>
      <c r="K118" s="3">
        <v>0</v>
      </c>
      <c r="L118" s="3">
        <v>0</v>
      </c>
      <c r="M118" s="3">
        <v>0</v>
      </c>
      <c r="N118" s="3">
        <v>0</v>
      </c>
      <c r="O118" s="3">
        <v>0</v>
      </c>
      <c r="P118" s="3">
        <v>0</v>
      </c>
      <c r="Q118" s="3">
        <v>0</v>
      </c>
      <c r="R118" s="3">
        <v>0</v>
      </c>
      <c r="S118" s="3">
        <v>0</v>
      </c>
    </row>
    <row r="119" spans="1:19" ht="30" x14ac:dyDescent="0.25">
      <c r="A119" s="1" t="s">
        <v>1</v>
      </c>
      <c r="B119" s="1" t="s">
        <v>348</v>
      </c>
      <c r="C119" s="1" t="s">
        <v>478</v>
      </c>
      <c r="D119" s="1" t="s">
        <v>572</v>
      </c>
      <c r="E119" s="1" t="s">
        <v>573</v>
      </c>
      <c r="F119" s="3">
        <v>1</v>
      </c>
      <c r="G119" s="1">
        <v>2049</v>
      </c>
      <c r="H119" s="1" t="s">
        <v>2</v>
      </c>
      <c r="I119" s="3">
        <v>0</v>
      </c>
      <c r="J119" s="3">
        <v>0</v>
      </c>
      <c r="K119" s="3">
        <v>0</v>
      </c>
      <c r="L119" s="3">
        <v>0</v>
      </c>
      <c r="M119" s="3">
        <v>0</v>
      </c>
      <c r="N119" s="3">
        <v>0</v>
      </c>
      <c r="O119" s="3">
        <v>0</v>
      </c>
      <c r="P119" s="3">
        <v>0</v>
      </c>
      <c r="Q119" s="3">
        <v>0</v>
      </c>
      <c r="R119" s="3">
        <v>0</v>
      </c>
      <c r="S119" s="3">
        <v>0</v>
      </c>
    </row>
    <row r="120" spans="1:19" ht="30" x14ac:dyDescent="0.25">
      <c r="A120" s="1" t="s">
        <v>1</v>
      </c>
      <c r="B120" s="1" t="s">
        <v>348</v>
      </c>
      <c r="C120" s="1" t="s">
        <v>478</v>
      </c>
      <c r="D120" s="1" t="s">
        <v>572</v>
      </c>
      <c r="E120" s="1" t="s">
        <v>573</v>
      </c>
      <c r="F120" s="3">
        <v>1</v>
      </c>
      <c r="G120" s="1">
        <v>2050</v>
      </c>
      <c r="H120" s="1" t="s">
        <v>2</v>
      </c>
      <c r="I120" s="3">
        <v>0</v>
      </c>
      <c r="J120" s="3">
        <v>0</v>
      </c>
      <c r="K120" s="3">
        <v>0</v>
      </c>
      <c r="L120" s="3">
        <v>0</v>
      </c>
      <c r="M120" s="3">
        <v>0</v>
      </c>
      <c r="N120" s="3">
        <v>0</v>
      </c>
      <c r="O120" s="3">
        <v>0</v>
      </c>
      <c r="P120" s="3">
        <v>0</v>
      </c>
      <c r="Q120" s="3">
        <v>0</v>
      </c>
      <c r="R120" s="3">
        <v>0</v>
      </c>
      <c r="S120" s="3">
        <v>0</v>
      </c>
    </row>
    <row r="121" spans="1:19" ht="30" x14ac:dyDescent="0.25">
      <c r="A121" s="1" t="s">
        <v>1</v>
      </c>
      <c r="B121" s="1" t="s">
        <v>348</v>
      </c>
      <c r="C121" s="1" t="s">
        <v>478</v>
      </c>
      <c r="D121" s="1" t="s">
        <v>572</v>
      </c>
      <c r="E121" s="1" t="s">
        <v>573</v>
      </c>
      <c r="F121" s="3">
        <v>1</v>
      </c>
      <c r="G121" s="1">
        <v>2051</v>
      </c>
      <c r="H121" s="1" t="s">
        <v>2</v>
      </c>
      <c r="I121" s="3">
        <v>0</v>
      </c>
      <c r="J121" s="3">
        <v>0</v>
      </c>
      <c r="K121" s="3">
        <v>0</v>
      </c>
      <c r="L121" s="3">
        <v>0</v>
      </c>
      <c r="M121" s="3">
        <v>0</v>
      </c>
      <c r="N121" s="3">
        <v>0</v>
      </c>
      <c r="O121" s="3">
        <v>0</v>
      </c>
      <c r="P121" s="3">
        <v>0</v>
      </c>
      <c r="Q121" s="3">
        <v>0</v>
      </c>
      <c r="R121" s="3">
        <v>0</v>
      </c>
      <c r="S121" s="3">
        <v>0</v>
      </c>
    </row>
    <row r="122" spans="1:19" ht="30" x14ac:dyDescent="0.25">
      <c r="A122" s="1" t="s">
        <v>1</v>
      </c>
      <c r="B122" s="1" t="s">
        <v>348</v>
      </c>
      <c r="C122" s="1" t="s">
        <v>479</v>
      </c>
      <c r="D122" s="1" t="s">
        <v>572</v>
      </c>
      <c r="E122" s="1" t="s">
        <v>573</v>
      </c>
      <c r="F122" s="3">
        <v>1</v>
      </c>
      <c r="G122" s="1">
        <v>2022</v>
      </c>
      <c r="H122" s="1" t="s">
        <v>2</v>
      </c>
      <c r="I122" s="3">
        <v>0</v>
      </c>
      <c r="J122" s="3">
        <v>0</v>
      </c>
      <c r="K122" s="3">
        <v>0</v>
      </c>
      <c r="L122" s="3">
        <v>0</v>
      </c>
      <c r="M122" s="3">
        <v>0</v>
      </c>
      <c r="N122" s="3">
        <v>0</v>
      </c>
      <c r="O122" s="3">
        <v>0</v>
      </c>
      <c r="P122" s="3">
        <v>0</v>
      </c>
      <c r="Q122" s="3">
        <v>0</v>
      </c>
      <c r="R122" s="3">
        <v>0</v>
      </c>
      <c r="S122" s="3">
        <v>0</v>
      </c>
    </row>
    <row r="123" spans="1:19" ht="30" x14ac:dyDescent="0.25">
      <c r="A123" s="1" t="s">
        <v>1</v>
      </c>
      <c r="B123" s="1" t="s">
        <v>348</v>
      </c>
      <c r="C123" s="1" t="s">
        <v>479</v>
      </c>
      <c r="D123" s="1" t="s">
        <v>572</v>
      </c>
      <c r="E123" s="1" t="s">
        <v>573</v>
      </c>
      <c r="F123" s="3">
        <v>1</v>
      </c>
      <c r="G123" s="1">
        <v>2023</v>
      </c>
      <c r="H123" s="1" t="s">
        <v>2</v>
      </c>
      <c r="I123" s="3">
        <v>0</v>
      </c>
      <c r="J123" s="3">
        <v>0</v>
      </c>
      <c r="K123" s="3">
        <v>0</v>
      </c>
      <c r="L123" s="3">
        <v>0</v>
      </c>
      <c r="M123" s="3">
        <v>0</v>
      </c>
      <c r="N123" s="3">
        <v>0</v>
      </c>
      <c r="O123" s="3">
        <v>0</v>
      </c>
      <c r="P123" s="3">
        <v>0</v>
      </c>
      <c r="Q123" s="3">
        <v>0</v>
      </c>
      <c r="R123" s="3">
        <v>0</v>
      </c>
      <c r="S123" s="3">
        <v>0</v>
      </c>
    </row>
    <row r="124" spans="1:19" ht="30" x14ac:dyDescent="0.25">
      <c r="A124" s="1" t="s">
        <v>1</v>
      </c>
      <c r="B124" s="1" t="s">
        <v>348</v>
      </c>
      <c r="C124" s="1" t="s">
        <v>479</v>
      </c>
      <c r="D124" s="1" t="s">
        <v>572</v>
      </c>
      <c r="E124" s="1" t="s">
        <v>573</v>
      </c>
      <c r="F124" s="3">
        <v>1</v>
      </c>
      <c r="G124" s="1">
        <v>2024</v>
      </c>
      <c r="H124" s="1" t="s">
        <v>2</v>
      </c>
      <c r="I124" s="3">
        <v>0</v>
      </c>
      <c r="J124" s="3">
        <v>0</v>
      </c>
      <c r="K124" s="3">
        <v>0</v>
      </c>
      <c r="L124" s="3">
        <v>0</v>
      </c>
      <c r="M124" s="3">
        <v>0</v>
      </c>
      <c r="N124" s="3">
        <v>0</v>
      </c>
      <c r="O124" s="3">
        <v>0</v>
      </c>
      <c r="P124" s="3">
        <v>0</v>
      </c>
      <c r="Q124" s="3">
        <v>0</v>
      </c>
      <c r="R124" s="3">
        <v>0</v>
      </c>
      <c r="S124" s="3">
        <v>0</v>
      </c>
    </row>
    <row r="125" spans="1:19" ht="30" x14ac:dyDescent="0.25">
      <c r="A125" s="1" t="s">
        <v>1</v>
      </c>
      <c r="B125" s="1" t="s">
        <v>348</v>
      </c>
      <c r="C125" s="1" t="s">
        <v>479</v>
      </c>
      <c r="D125" s="1" t="s">
        <v>572</v>
      </c>
      <c r="E125" s="1" t="s">
        <v>573</v>
      </c>
      <c r="F125" s="3">
        <v>1</v>
      </c>
      <c r="G125" s="1">
        <v>2025</v>
      </c>
      <c r="H125" s="1" t="s">
        <v>2</v>
      </c>
      <c r="I125" s="3">
        <v>0</v>
      </c>
      <c r="J125" s="3">
        <v>0</v>
      </c>
      <c r="K125" s="3">
        <v>0</v>
      </c>
      <c r="L125" s="3">
        <v>0</v>
      </c>
      <c r="M125" s="3">
        <v>0</v>
      </c>
      <c r="N125" s="3">
        <v>0</v>
      </c>
      <c r="O125" s="3">
        <v>0</v>
      </c>
      <c r="P125" s="3">
        <v>0</v>
      </c>
      <c r="Q125" s="3">
        <v>0</v>
      </c>
      <c r="R125" s="3">
        <v>0</v>
      </c>
      <c r="S125" s="3">
        <v>0</v>
      </c>
    </row>
    <row r="126" spans="1:19" ht="30" x14ac:dyDescent="0.25">
      <c r="A126" s="1" t="s">
        <v>1</v>
      </c>
      <c r="B126" s="1" t="s">
        <v>348</v>
      </c>
      <c r="C126" s="1" t="s">
        <v>479</v>
      </c>
      <c r="D126" s="1" t="s">
        <v>572</v>
      </c>
      <c r="E126" s="1" t="s">
        <v>573</v>
      </c>
      <c r="F126" s="3">
        <v>1</v>
      </c>
      <c r="G126" s="1">
        <v>2026</v>
      </c>
      <c r="H126" s="1" t="s">
        <v>2</v>
      </c>
      <c r="I126" s="3">
        <v>0</v>
      </c>
      <c r="J126" s="3">
        <v>0</v>
      </c>
      <c r="K126" s="3">
        <v>0</v>
      </c>
      <c r="L126" s="3">
        <v>0</v>
      </c>
      <c r="M126" s="3">
        <v>0</v>
      </c>
      <c r="N126" s="3">
        <v>0</v>
      </c>
      <c r="O126" s="3">
        <v>0</v>
      </c>
      <c r="P126" s="3">
        <v>0</v>
      </c>
      <c r="Q126" s="3">
        <v>0</v>
      </c>
      <c r="R126" s="3">
        <v>0</v>
      </c>
      <c r="S126" s="3">
        <v>0</v>
      </c>
    </row>
    <row r="127" spans="1:19" ht="30" x14ac:dyDescent="0.25">
      <c r="A127" s="1" t="s">
        <v>1</v>
      </c>
      <c r="B127" s="1" t="s">
        <v>348</v>
      </c>
      <c r="C127" s="1" t="s">
        <v>479</v>
      </c>
      <c r="D127" s="1" t="s">
        <v>572</v>
      </c>
      <c r="E127" s="1" t="s">
        <v>573</v>
      </c>
      <c r="F127" s="3">
        <v>1</v>
      </c>
      <c r="G127" s="1">
        <v>2027</v>
      </c>
      <c r="H127" s="1" t="s">
        <v>2</v>
      </c>
      <c r="I127" s="3">
        <v>0</v>
      </c>
      <c r="J127" s="3">
        <v>0</v>
      </c>
      <c r="K127" s="3">
        <v>0</v>
      </c>
      <c r="L127" s="3">
        <v>0</v>
      </c>
      <c r="M127" s="3">
        <v>0</v>
      </c>
      <c r="N127" s="3">
        <v>0</v>
      </c>
      <c r="O127" s="3">
        <v>0</v>
      </c>
      <c r="P127" s="3">
        <v>0</v>
      </c>
      <c r="Q127" s="3">
        <v>0</v>
      </c>
      <c r="R127" s="3">
        <v>0</v>
      </c>
      <c r="S127" s="3">
        <v>0</v>
      </c>
    </row>
    <row r="128" spans="1:19" ht="30" x14ac:dyDescent="0.25">
      <c r="A128" s="1" t="s">
        <v>1</v>
      </c>
      <c r="B128" s="1" t="s">
        <v>348</v>
      </c>
      <c r="C128" s="1" t="s">
        <v>479</v>
      </c>
      <c r="D128" s="1" t="s">
        <v>572</v>
      </c>
      <c r="E128" s="1" t="s">
        <v>573</v>
      </c>
      <c r="F128" s="3">
        <v>1</v>
      </c>
      <c r="G128" s="1">
        <v>2028</v>
      </c>
      <c r="H128" s="1" t="s">
        <v>2</v>
      </c>
      <c r="I128" s="3">
        <v>0</v>
      </c>
      <c r="J128" s="3">
        <v>0</v>
      </c>
      <c r="K128" s="3">
        <v>0</v>
      </c>
      <c r="L128" s="3">
        <v>0</v>
      </c>
      <c r="M128" s="3">
        <v>0</v>
      </c>
      <c r="N128" s="3">
        <v>0</v>
      </c>
      <c r="O128" s="3">
        <v>0</v>
      </c>
      <c r="P128" s="3">
        <v>0</v>
      </c>
      <c r="Q128" s="3">
        <v>0</v>
      </c>
      <c r="R128" s="3">
        <v>0</v>
      </c>
      <c r="S128" s="3">
        <v>0</v>
      </c>
    </row>
    <row r="129" spans="1:19" ht="30" x14ac:dyDescent="0.25">
      <c r="A129" s="1" t="s">
        <v>1</v>
      </c>
      <c r="B129" s="1" t="s">
        <v>348</v>
      </c>
      <c r="C129" s="1" t="s">
        <v>479</v>
      </c>
      <c r="D129" s="1" t="s">
        <v>572</v>
      </c>
      <c r="E129" s="1" t="s">
        <v>573</v>
      </c>
      <c r="F129" s="3">
        <v>1</v>
      </c>
      <c r="G129" s="1">
        <v>2029</v>
      </c>
      <c r="H129" s="1" t="s">
        <v>2</v>
      </c>
      <c r="I129" s="3">
        <v>0</v>
      </c>
      <c r="J129" s="3">
        <v>0</v>
      </c>
      <c r="K129" s="3">
        <v>0</v>
      </c>
      <c r="L129" s="3">
        <v>0</v>
      </c>
      <c r="M129" s="3">
        <v>0</v>
      </c>
      <c r="N129" s="3">
        <v>0</v>
      </c>
      <c r="O129" s="3">
        <v>0</v>
      </c>
      <c r="P129" s="3">
        <v>0</v>
      </c>
      <c r="Q129" s="3">
        <v>0</v>
      </c>
      <c r="R129" s="3">
        <v>0</v>
      </c>
      <c r="S129" s="3">
        <v>0</v>
      </c>
    </row>
    <row r="130" spans="1:19" ht="30" x14ac:dyDescent="0.25">
      <c r="A130" s="1" t="s">
        <v>1</v>
      </c>
      <c r="B130" s="1" t="s">
        <v>348</v>
      </c>
      <c r="C130" s="1" t="s">
        <v>479</v>
      </c>
      <c r="D130" s="1" t="s">
        <v>572</v>
      </c>
      <c r="E130" s="1" t="s">
        <v>573</v>
      </c>
      <c r="F130" s="3">
        <v>1</v>
      </c>
      <c r="G130" s="1">
        <v>2030</v>
      </c>
      <c r="H130" s="1" t="s">
        <v>2</v>
      </c>
      <c r="I130" s="3">
        <v>0</v>
      </c>
      <c r="J130" s="3">
        <v>0</v>
      </c>
      <c r="K130" s="3">
        <v>0</v>
      </c>
      <c r="L130" s="3">
        <v>0</v>
      </c>
      <c r="M130" s="3">
        <v>0</v>
      </c>
      <c r="N130" s="3">
        <v>0</v>
      </c>
      <c r="O130" s="3">
        <v>0</v>
      </c>
      <c r="P130" s="3">
        <v>0</v>
      </c>
      <c r="Q130" s="3">
        <v>0</v>
      </c>
      <c r="R130" s="3">
        <v>0</v>
      </c>
      <c r="S130" s="3">
        <v>0</v>
      </c>
    </row>
    <row r="131" spans="1:19" ht="30" x14ac:dyDescent="0.25">
      <c r="A131" s="1" t="s">
        <v>1</v>
      </c>
      <c r="B131" s="1" t="s">
        <v>348</v>
      </c>
      <c r="C131" s="1" t="s">
        <v>479</v>
      </c>
      <c r="D131" s="1" t="s">
        <v>572</v>
      </c>
      <c r="E131" s="1" t="s">
        <v>573</v>
      </c>
      <c r="F131" s="3">
        <v>1</v>
      </c>
      <c r="G131" s="1">
        <v>2031</v>
      </c>
      <c r="H131" s="1" t="s">
        <v>2</v>
      </c>
      <c r="I131" s="3">
        <v>0</v>
      </c>
      <c r="J131" s="3">
        <v>0</v>
      </c>
      <c r="K131" s="3">
        <v>0</v>
      </c>
      <c r="L131" s="3">
        <v>0</v>
      </c>
      <c r="M131" s="3">
        <v>0</v>
      </c>
      <c r="N131" s="3">
        <v>0</v>
      </c>
      <c r="O131" s="3">
        <v>0</v>
      </c>
      <c r="P131" s="3">
        <v>0</v>
      </c>
      <c r="Q131" s="3">
        <v>0</v>
      </c>
      <c r="R131" s="3">
        <v>0</v>
      </c>
      <c r="S131" s="3">
        <v>0</v>
      </c>
    </row>
    <row r="132" spans="1:19" ht="30" x14ac:dyDescent="0.25">
      <c r="A132" s="1" t="s">
        <v>1</v>
      </c>
      <c r="B132" s="1" t="s">
        <v>348</v>
      </c>
      <c r="C132" s="1" t="s">
        <v>479</v>
      </c>
      <c r="D132" s="1" t="s">
        <v>572</v>
      </c>
      <c r="E132" s="1" t="s">
        <v>573</v>
      </c>
      <c r="F132" s="3">
        <v>1</v>
      </c>
      <c r="G132" s="1">
        <v>2032</v>
      </c>
      <c r="H132" s="1" t="s">
        <v>2</v>
      </c>
      <c r="I132" s="3">
        <v>0</v>
      </c>
      <c r="J132" s="3">
        <v>0</v>
      </c>
      <c r="K132" s="3">
        <v>0</v>
      </c>
      <c r="L132" s="3">
        <v>0</v>
      </c>
      <c r="M132" s="3">
        <v>0</v>
      </c>
      <c r="N132" s="3">
        <v>0</v>
      </c>
      <c r="O132" s="3">
        <v>0</v>
      </c>
      <c r="P132" s="3">
        <v>0</v>
      </c>
      <c r="Q132" s="3">
        <v>0</v>
      </c>
      <c r="R132" s="3">
        <v>0</v>
      </c>
      <c r="S132" s="3">
        <v>0</v>
      </c>
    </row>
    <row r="133" spans="1:19" ht="30" x14ac:dyDescent="0.25">
      <c r="A133" s="1" t="s">
        <v>1</v>
      </c>
      <c r="B133" s="1" t="s">
        <v>348</v>
      </c>
      <c r="C133" s="1" t="s">
        <v>479</v>
      </c>
      <c r="D133" s="1" t="s">
        <v>572</v>
      </c>
      <c r="E133" s="1" t="s">
        <v>573</v>
      </c>
      <c r="F133" s="3">
        <v>1</v>
      </c>
      <c r="G133" s="1">
        <v>2033</v>
      </c>
      <c r="H133" s="1" t="s">
        <v>2</v>
      </c>
      <c r="I133" s="3">
        <v>0</v>
      </c>
      <c r="J133" s="3">
        <v>0</v>
      </c>
      <c r="K133" s="3">
        <v>0</v>
      </c>
      <c r="L133" s="3">
        <v>0</v>
      </c>
      <c r="M133" s="3">
        <v>0</v>
      </c>
      <c r="N133" s="3">
        <v>0</v>
      </c>
      <c r="O133" s="3">
        <v>0</v>
      </c>
      <c r="P133" s="3">
        <v>0</v>
      </c>
      <c r="Q133" s="3">
        <v>0</v>
      </c>
      <c r="R133" s="3">
        <v>0</v>
      </c>
      <c r="S133" s="3">
        <v>0</v>
      </c>
    </row>
    <row r="134" spans="1:19" ht="30" x14ac:dyDescent="0.25">
      <c r="A134" s="1" t="s">
        <v>1</v>
      </c>
      <c r="B134" s="1" t="s">
        <v>348</v>
      </c>
      <c r="C134" s="1" t="s">
        <v>479</v>
      </c>
      <c r="D134" s="1" t="s">
        <v>572</v>
      </c>
      <c r="E134" s="1" t="s">
        <v>573</v>
      </c>
      <c r="F134" s="3">
        <v>1</v>
      </c>
      <c r="G134" s="1">
        <v>2034</v>
      </c>
      <c r="H134" s="1" t="s">
        <v>2</v>
      </c>
      <c r="I134" s="3">
        <v>0</v>
      </c>
      <c r="J134" s="3">
        <v>0</v>
      </c>
      <c r="K134" s="3">
        <v>0</v>
      </c>
      <c r="L134" s="3">
        <v>0</v>
      </c>
      <c r="M134" s="3">
        <v>0</v>
      </c>
      <c r="N134" s="3">
        <v>0</v>
      </c>
      <c r="O134" s="3">
        <v>0</v>
      </c>
      <c r="P134" s="3">
        <v>0</v>
      </c>
      <c r="Q134" s="3">
        <v>0</v>
      </c>
      <c r="R134" s="3">
        <v>0</v>
      </c>
      <c r="S134" s="3">
        <v>0</v>
      </c>
    </row>
    <row r="135" spans="1:19" ht="30" x14ac:dyDescent="0.25">
      <c r="A135" s="1" t="s">
        <v>1</v>
      </c>
      <c r="B135" s="1" t="s">
        <v>348</v>
      </c>
      <c r="C135" s="1" t="s">
        <v>479</v>
      </c>
      <c r="D135" s="1" t="s">
        <v>572</v>
      </c>
      <c r="E135" s="1" t="s">
        <v>573</v>
      </c>
      <c r="F135" s="3">
        <v>1</v>
      </c>
      <c r="G135" s="1">
        <v>2035</v>
      </c>
      <c r="H135" s="1" t="s">
        <v>2</v>
      </c>
      <c r="I135" s="3">
        <v>0</v>
      </c>
      <c r="J135" s="3">
        <v>0</v>
      </c>
      <c r="K135" s="3">
        <v>0</v>
      </c>
      <c r="L135" s="3">
        <v>0</v>
      </c>
      <c r="M135" s="3">
        <v>0</v>
      </c>
      <c r="N135" s="3">
        <v>0</v>
      </c>
      <c r="O135" s="3">
        <v>0</v>
      </c>
      <c r="P135" s="3">
        <v>0</v>
      </c>
      <c r="Q135" s="3">
        <v>0</v>
      </c>
      <c r="R135" s="3">
        <v>0</v>
      </c>
      <c r="S135" s="3">
        <v>0</v>
      </c>
    </row>
    <row r="136" spans="1:19" ht="30" x14ac:dyDescent="0.25">
      <c r="A136" s="1" t="s">
        <v>1</v>
      </c>
      <c r="B136" s="1" t="s">
        <v>348</v>
      </c>
      <c r="C136" s="1" t="s">
        <v>479</v>
      </c>
      <c r="D136" s="1" t="s">
        <v>572</v>
      </c>
      <c r="E136" s="1" t="s">
        <v>573</v>
      </c>
      <c r="F136" s="3">
        <v>1</v>
      </c>
      <c r="G136" s="1">
        <v>2036</v>
      </c>
      <c r="H136" s="1" t="s">
        <v>2</v>
      </c>
      <c r="I136" s="3">
        <v>0</v>
      </c>
      <c r="J136" s="3">
        <v>0</v>
      </c>
      <c r="K136" s="3">
        <v>0</v>
      </c>
      <c r="L136" s="3">
        <v>0</v>
      </c>
      <c r="M136" s="3">
        <v>0</v>
      </c>
      <c r="N136" s="3">
        <v>0</v>
      </c>
      <c r="O136" s="3">
        <v>0</v>
      </c>
      <c r="P136" s="3">
        <v>0</v>
      </c>
      <c r="Q136" s="3">
        <v>0</v>
      </c>
      <c r="R136" s="3">
        <v>0</v>
      </c>
      <c r="S136" s="3">
        <v>0</v>
      </c>
    </row>
    <row r="137" spans="1:19" ht="30" x14ac:dyDescent="0.25">
      <c r="A137" s="1" t="s">
        <v>1</v>
      </c>
      <c r="B137" s="1" t="s">
        <v>348</v>
      </c>
      <c r="C137" s="1" t="s">
        <v>479</v>
      </c>
      <c r="D137" s="1" t="s">
        <v>572</v>
      </c>
      <c r="E137" s="1" t="s">
        <v>573</v>
      </c>
      <c r="F137" s="3">
        <v>1</v>
      </c>
      <c r="G137" s="1">
        <v>2037</v>
      </c>
      <c r="H137" s="1" t="s">
        <v>2</v>
      </c>
      <c r="I137" s="3">
        <v>0</v>
      </c>
      <c r="J137" s="3">
        <v>0</v>
      </c>
      <c r="K137" s="3">
        <v>0</v>
      </c>
      <c r="L137" s="3">
        <v>0</v>
      </c>
      <c r="M137" s="3">
        <v>0</v>
      </c>
      <c r="N137" s="3">
        <v>0</v>
      </c>
      <c r="O137" s="3">
        <v>0</v>
      </c>
      <c r="P137" s="3">
        <v>0</v>
      </c>
      <c r="Q137" s="3">
        <v>0</v>
      </c>
      <c r="R137" s="3">
        <v>0</v>
      </c>
      <c r="S137" s="3">
        <v>0</v>
      </c>
    </row>
    <row r="138" spans="1:19" ht="30" x14ac:dyDescent="0.25">
      <c r="A138" s="1" t="s">
        <v>1</v>
      </c>
      <c r="B138" s="1" t="s">
        <v>348</v>
      </c>
      <c r="C138" s="1" t="s">
        <v>479</v>
      </c>
      <c r="D138" s="1" t="s">
        <v>572</v>
      </c>
      <c r="E138" s="1" t="s">
        <v>573</v>
      </c>
      <c r="F138" s="3">
        <v>1</v>
      </c>
      <c r="G138" s="1">
        <v>2038</v>
      </c>
      <c r="H138" s="1" t="s">
        <v>2</v>
      </c>
      <c r="I138" s="3">
        <v>0</v>
      </c>
      <c r="J138" s="3">
        <v>0</v>
      </c>
      <c r="K138" s="3">
        <v>0</v>
      </c>
      <c r="L138" s="3">
        <v>0</v>
      </c>
      <c r="M138" s="3">
        <v>0</v>
      </c>
      <c r="N138" s="3">
        <v>0</v>
      </c>
      <c r="O138" s="3">
        <v>0</v>
      </c>
      <c r="P138" s="3">
        <v>0</v>
      </c>
      <c r="Q138" s="3">
        <v>0</v>
      </c>
      <c r="R138" s="3">
        <v>0</v>
      </c>
      <c r="S138" s="3">
        <v>0</v>
      </c>
    </row>
    <row r="139" spans="1:19" ht="30" x14ac:dyDescent="0.25">
      <c r="A139" s="1" t="s">
        <v>1</v>
      </c>
      <c r="B139" s="1" t="s">
        <v>348</v>
      </c>
      <c r="C139" s="1" t="s">
        <v>479</v>
      </c>
      <c r="D139" s="1" t="s">
        <v>572</v>
      </c>
      <c r="E139" s="1" t="s">
        <v>573</v>
      </c>
      <c r="F139" s="3">
        <v>1</v>
      </c>
      <c r="G139" s="1">
        <v>2039</v>
      </c>
      <c r="H139" s="1" t="s">
        <v>2</v>
      </c>
      <c r="I139" s="3">
        <v>0</v>
      </c>
      <c r="J139" s="3">
        <v>0</v>
      </c>
      <c r="K139" s="3">
        <v>0</v>
      </c>
      <c r="L139" s="3">
        <v>0</v>
      </c>
      <c r="M139" s="3">
        <v>0</v>
      </c>
      <c r="N139" s="3">
        <v>0</v>
      </c>
      <c r="O139" s="3">
        <v>0</v>
      </c>
      <c r="P139" s="3">
        <v>0</v>
      </c>
      <c r="Q139" s="3">
        <v>0</v>
      </c>
      <c r="R139" s="3">
        <v>0</v>
      </c>
      <c r="S139" s="3">
        <v>0</v>
      </c>
    </row>
    <row r="140" spans="1:19" ht="30" x14ac:dyDescent="0.25">
      <c r="A140" s="1" t="s">
        <v>1</v>
      </c>
      <c r="B140" s="1" t="s">
        <v>348</v>
      </c>
      <c r="C140" s="1" t="s">
        <v>479</v>
      </c>
      <c r="D140" s="1" t="s">
        <v>572</v>
      </c>
      <c r="E140" s="1" t="s">
        <v>573</v>
      </c>
      <c r="F140" s="3">
        <v>1</v>
      </c>
      <c r="G140" s="1">
        <v>2040</v>
      </c>
      <c r="H140" s="1" t="s">
        <v>2</v>
      </c>
      <c r="I140" s="3">
        <v>0</v>
      </c>
      <c r="J140" s="3">
        <v>0</v>
      </c>
      <c r="K140" s="3">
        <v>0</v>
      </c>
      <c r="L140" s="3">
        <v>0</v>
      </c>
      <c r="M140" s="3">
        <v>0</v>
      </c>
      <c r="N140" s="3">
        <v>0</v>
      </c>
      <c r="O140" s="3">
        <v>0</v>
      </c>
      <c r="P140" s="3">
        <v>0</v>
      </c>
      <c r="Q140" s="3">
        <v>0</v>
      </c>
      <c r="R140" s="3">
        <v>0</v>
      </c>
      <c r="S140" s="3">
        <v>0</v>
      </c>
    </row>
    <row r="141" spans="1:19" ht="30" x14ac:dyDescent="0.25">
      <c r="A141" s="1" t="s">
        <v>1</v>
      </c>
      <c r="B141" s="1" t="s">
        <v>348</v>
      </c>
      <c r="C141" s="1" t="s">
        <v>479</v>
      </c>
      <c r="D141" s="1" t="s">
        <v>572</v>
      </c>
      <c r="E141" s="1" t="s">
        <v>573</v>
      </c>
      <c r="F141" s="3">
        <v>1</v>
      </c>
      <c r="G141" s="1">
        <v>2041</v>
      </c>
      <c r="H141" s="1" t="s">
        <v>2</v>
      </c>
      <c r="I141" s="3">
        <v>0</v>
      </c>
      <c r="J141" s="3">
        <v>0</v>
      </c>
      <c r="K141" s="3">
        <v>0</v>
      </c>
      <c r="L141" s="3">
        <v>0</v>
      </c>
      <c r="M141" s="3">
        <v>0</v>
      </c>
      <c r="N141" s="3">
        <v>0</v>
      </c>
      <c r="O141" s="3">
        <v>0</v>
      </c>
      <c r="P141" s="3">
        <v>0</v>
      </c>
      <c r="Q141" s="3">
        <v>0</v>
      </c>
      <c r="R141" s="3">
        <v>0</v>
      </c>
      <c r="S141" s="3">
        <v>0</v>
      </c>
    </row>
    <row r="142" spans="1:19" ht="30" x14ac:dyDescent="0.25">
      <c r="A142" s="1" t="s">
        <v>1</v>
      </c>
      <c r="B142" s="1" t="s">
        <v>348</v>
      </c>
      <c r="C142" s="1" t="s">
        <v>479</v>
      </c>
      <c r="D142" s="1" t="s">
        <v>572</v>
      </c>
      <c r="E142" s="1" t="s">
        <v>573</v>
      </c>
      <c r="F142" s="3">
        <v>1</v>
      </c>
      <c r="G142" s="1">
        <v>2042</v>
      </c>
      <c r="H142" s="1" t="s">
        <v>2</v>
      </c>
      <c r="I142" s="3">
        <v>0</v>
      </c>
      <c r="J142" s="3">
        <v>0</v>
      </c>
      <c r="K142" s="3">
        <v>0</v>
      </c>
      <c r="L142" s="3">
        <v>0</v>
      </c>
      <c r="M142" s="3">
        <v>0</v>
      </c>
      <c r="N142" s="3">
        <v>0</v>
      </c>
      <c r="O142" s="3">
        <v>0</v>
      </c>
      <c r="P142" s="3">
        <v>0</v>
      </c>
      <c r="Q142" s="3">
        <v>0</v>
      </c>
      <c r="R142" s="3">
        <v>0</v>
      </c>
      <c r="S142" s="3">
        <v>0</v>
      </c>
    </row>
    <row r="143" spans="1:19" ht="30" x14ac:dyDescent="0.25">
      <c r="A143" s="1" t="s">
        <v>1</v>
      </c>
      <c r="B143" s="1" t="s">
        <v>348</v>
      </c>
      <c r="C143" s="1" t="s">
        <v>479</v>
      </c>
      <c r="D143" s="1" t="s">
        <v>572</v>
      </c>
      <c r="E143" s="1" t="s">
        <v>573</v>
      </c>
      <c r="F143" s="3">
        <v>1</v>
      </c>
      <c r="G143" s="1">
        <v>2043</v>
      </c>
      <c r="H143" s="1" t="s">
        <v>2</v>
      </c>
      <c r="I143" s="3">
        <v>0</v>
      </c>
      <c r="J143" s="3">
        <v>0</v>
      </c>
      <c r="K143" s="3">
        <v>0</v>
      </c>
      <c r="L143" s="3">
        <v>0</v>
      </c>
      <c r="M143" s="3">
        <v>0</v>
      </c>
      <c r="N143" s="3">
        <v>0</v>
      </c>
      <c r="O143" s="3">
        <v>0</v>
      </c>
      <c r="P143" s="3">
        <v>0</v>
      </c>
      <c r="Q143" s="3">
        <v>0</v>
      </c>
      <c r="R143" s="3">
        <v>0</v>
      </c>
      <c r="S143" s="3">
        <v>0</v>
      </c>
    </row>
    <row r="144" spans="1:19" ht="30" x14ac:dyDescent="0.25">
      <c r="A144" s="1" t="s">
        <v>1</v>
      </c>
      <c r="B144" s="1" t="s">
        <v>348</v>
      </c>
      <c r="C144" s="1" t="s">
        <v>479</v>
      </c>
      <c r="D144" s="1" t="s">
        <v>572</v>
      </c>
      <c r="E144" s="1" t="s">
        <v>573</v>
      </c>
      <c r="F144" s="3">
        <v>1</v>
      </c>
      <c r="G144" s="1">
        <v>2044</v>
      </c>
      <c r="H144" s="1" t="s">
        <v>2</v>
      </c>
      <c r="I144" s="3">
        <v>0</v>
      </c>
      <c r="J144" s="3">
        <v>0</v>
      </c>
      <c r="K144" s="3">
        <v>0</v>
      </c>
      <c r="L144" s="3">
        <v>0</v>
      </c>
      <c r="M144" s="3">
        <v>0</v>
      </c>
      <c r="N144" s="3">
        <v>0</v>
      </c>
      <c r="O144" s="3">
        <v>0</v>
      </c>
      <c r="P144" s="3">
        <v>0</v>
      </c>
      <c r="Q144" s="3">
        <v>0</v>
      </c>
      <c r="R144" s="3">
        <v>0</v>
      </c>
      <c r="S144" s="3">
        <v>0</v>
      </c>
    </row>
    <row r="145" spans="1:19" ht="30" x14ac:dyDescent="0.25">
      <c r="A145" s="1" t="s">
        <v>1</v>
      </c>
      <c r="B145" s="1" t="s">
        <v>348</v>
      </c>
      <c r="C145" s="1" t="s">
        <v>479</v>
      </c>
      <c r="D145" s="1" t="s">
        <v>572</v>
      </c>
      <c r="E145" s="1" t="s">
        <v>573</v>
      </c>
      <c r="F145" s="3">
        <v>1</v>
      </c>
      <c r="G145" s="1">
        <v>2045</v>
      </c>
      <c r="H145" s="1" t="s">
        <v>2</v>
      </c>
      <c r="I145" s="3">
        <v>0</v>
      </c>
      <c r="J145" s="3">
        <v>0</v>
      </c>
      <c r="K145" s="3">
        <v>0</v>
      </c>
      <c r="L145" s="3">
        <v>0</v>
      </c>
      <c r="M145" s="3">
        <v>0</v>
      </c>
      <c r="N145" s="3">
        <v>0</v>
      </c>
      <c r="O145" s="3">
        <v>0</v>
      </c>
      <c r="P145" s="3">
        <v>0</v>
      </c>
      <c r="Q145" s="3">
        <v>0</v>
      </c>
      <c r="R145" s="3">
        <v>0</v>
      </c>
      <c r="S145" s="3">
        <v>0</v>
      </c>
    </row>
    <row r="146" spans="1:19" ht="30" x14ac:dyDescent="0.25">
      <c r="A146" s="1" t="s">
        <v>1</v>
      </c>
      <c r="B146" s="1" t="s">
        <v>348</v>
      </c>
      <c r="C146" s="1" t="s">
        <v>479</v>
      </c>
      <c r="D146" s="1" t="s">
        <v>572</v>
      </c>
      <c r="E146" s="1" t="s">
        <v>573</v>
      </c>
      <c r="F146" s="3">
        <v>1</v>
      </c>
      <c r="G146" s="1">
        <v>2046</v>
      </c>
      <c r="H146" s="1" t="s">
        <v>2</v>
      </c>
      <c r="I146" s="3">
        <v>0</v>
      </c>
      <c r="J146" s="3">
        <v>0</v>
      </c>
      <c r="K146" s="3">
        <v>0</v>
      </c>
      <c r="L146" s="3">
        <v>0</v>
      </c>
      <c r="M146" s="3">
        <v>0</v>
      </c>
      <c r="N146" s="3">
        <v>0</v>
      </c>
      <c r="O146" s="3">
        <v>0</v>
      </c>
      <c r="P146" s="3">
        <v>0</v>
      </c>
      <c r="Q146" s="3">
        <v>0</v>
      </c>
      <c r="R146" s="3">
        <v>0</v>
      </c>
      <c r="S146" s="3">
        <v>0</v>
      </c>
    </row>
    <row r="147" spans="1:19" ht="30" x14ac:dyDescent="0.25">
      <c r="A147" s="1" t="s">
        <v>1</v>
      </c>
      <c r="B147" s="1" t="s">
        <v>348</v>
      </c>
      <c r="C147" s="1" t="s">
        <v>479</v>
      </c>
      <c r="D147" s="1" t="s">
        <v>572</v>
      </c>
      <c r="E147" s="1" t="s">
        <v>573</v>
      </c>
      <c r="F147" s="3">
        <v>1</v>
      </c>
      <c r="G147" s="1">
        <v>2047</v>
      </c>
      <c r="H147" s="1" t="s">
        <v>2</v>
      </c>
      <c r="I147" s="3">
        <v>0</v>
      </c>
      <c r="J147" s="3">
        <v>0</v>
      </c>
      <c r="K147" s="3">
        <v>0</v>
      </c>
      <c r="L147" s="3">
        <v>0</v>
      </c>
      <c r="M147" s="3">
        <v>0</v>
      </c>
      <c r="N147" s="3">
        <v>0</v>
      </c>
      <c r="O147" s="3">
        <v>0</v>
      </c>
      <c r="P147" s="3">
        <v>0</v>
      </c>
      <c r="Q147" s="3">
        <v>0</v>
      </c>
      <c r="R147" s="3">
        <v>0</v>
      </c>
      <c r="S147" s="3">
        <v>0</v>
      </c>
    </row>
    <row r="148" spans="1:19" ht="30" x14ac:dyDescent="0.25">
      <c r="A148" s="1" t="s">
        <v>1</v>
      </c>
      <c r="B148" s="1" t="s">
        <v>348</v>
      </c>
      <c r="C148" s="1" t="s">
        <v>479</v>
      </c>
      <c r="D148" s="1" t="s">
        <v>572</v>
      </c>
      <c r="E148" s="1" t="s">
        <v>573</v>
      </c>
      <c r="F148" s="3">
        <v>1</v>
      </c>
      <c r="G148" s="1">
        <v>2048</v>
      </c>
      <c r="H148" s="1" t="s">
        <v>2</v>
      </c>
      <c r="I148" s="3">
        <v>0</v>
      </c>
      <c r="J148" s="3">
        <v>0</v>
      </c>
      <c r="K148" s="3">
        <v>0</v>
      </c>
      <c r="L148" s="3">
        <v>0</v>
      </c>
      <c r="M148" s="3">
        <v>0</v>
      </c>
      <c r="N148" s="3">
        <v>0</v>
      </c>
      <c r="O148" s="3">
        <v>0</v>
      </c>
      <c r="P148" s="3">
        <v>0</v>
      </c>
      <c r="Q148" s="3">
        <v>0</v>
      </c>
      <c r="R148" s="3">
        <v>0</v>
      </c>
      <c r="S148" s="3">
        <v>0</v>
      </c>
    </row>
    <row r="149" spans="1:19" ht="30" x14ac:dyDescent="0.25">
      <c r="A149" s="1" t="s">
        <v>1</v>
      </c>
      <c r="B149" s="1" t="s">
        <v>348</v>
      </c>
      <c r="C149" s="1" t="s">
        <v>479</v>
      </c>
      <c r="D149" s="1" t="s">
        <v>572</v>
      </c>
      <c r="E149" s="1" t="s">
        <v>573</v>
      </c>
      <c r="F149" s="3">
        <v>1</v>
      </c>
      <c r="G149" s="1">
        <v>2049</v>
      </c>
      <c r="H149" s="1" t="s">
        <v>2</v>
      </c>
      <c r="I149" s="3">
        <v>0</v>
      </c>
      <c r="J149" s="3">
        <v>0</v>
      </c>
      <c r="K149" s="3">
        <v>0</v>
      </c>
      <c r="L149" s="3">
        <v>0</v>
      </c>
      <c r="M149" s="3">
        <v>0</v>
      </c>
      <c r="N149" s="3">
        <v>0</v>
      </c>
      <c r="O149" s="3">
        <v>0</v>
      </c>
      <c r="P149" s="3">
        <v>0</v>
      </c>
      <c r="Q149" s="3">
        <v>0</v>
      </c>
      <c r="R149" s="3">
        <v>0</v>
      </c>
      <c r="S149" s="3">
        <v>0</v>
      </c>
    </row>
    <row r="150" spans="1:19" ht="30" x14ac:dyDescent="0.25">
      <c r="A150" s="1" t="s">
        <v>1</v>
      </c>
      <c r="B150" s="1" t="s">
        <v>348</v>
      </c>
      <c r="C150" s="1" t="s">
        <v>479</v>
      </c>
      <c r="D150" s="1" t="s">
        <v>572</v>
      </c>
      <c r="E150" s="1" t="s">
        <v>573</v>
      </c>
      <c r="F150" s="3">
        <v>1</v>
      </c>
      <c r="G150" s="1">
        <v>2050</v>
      </c>
      <c r="H150" s="1" t="s">
        <v>2</v>
      </c>
      <c r="I150" s="3">
        <v>0</v>
      </c>
      <c r="J150" s="3">
        <v>0</v>
      </c>
      <c r="K150" s="3">
        <v>0</v>
      </c>
      <c r="L150" s="3">
        <v>0</v>
      </c>
      <c r="M150" s="3">
        <v>0</v>
      </c>
      <c r="N150" s="3">
        <v>0</v>
      </c>
      <c r="O150" s="3">
        <v>0</v>
      </c>
      <c r="P150" s="3">
        <v>0</v>
      </c>
      <c r="Q150" s="3">
        <v>0</v>
      </c>
      <c r="R150" s="3">
        <v>0</v>
      </c>
      <c r="S150" s="3">
        <v>0</v>
      </c>
    </row>
    <row r="151" spans="1:19" ht="30" x14ac:dyDescent="0.25">
      <c r="A151" s="1" t="s">
        <v>1</v>
      </c>
      <c r="B151" s="1" t="s">
        <v>348</v>
      </c>
      <c r="C151" s="1" t="s">
        <v>479</v>
      </c>
      <c r="D151" s="1" t="s">
        <v>572</v>
      </c>
      <c r="E151" s="1" t="s">
        <v>573</v>
      </c>
      <c r="F151" s="3">
        <v>1</v>
      </c>
      <c r="G151" s="1">
        <v>2051</v>
      </c>
      <c r="H151" s="1" t="s">
        <v>2</v>
      </c>
      <c r="I151" s="3">
        <v>0</v>
      </c>
      <c r="J151" s="3">
        <v>0</v>
      </c>
      <c r="K151" s="3">
        <v>0</v>
      </c>
      <c r="L151" s="3">
        <v>0</v>
      </c>
      <c r="M151" s="3">
        <v>0</v>
      </c>
      <c r="N151" s="3">
        <v>0</v>
      </c>
      <c r="O151" s="3">
        <v>0</v>
      </c>
      <c r="P151" s="3">
        <v>0</v>
      </c>
      <c r="Q151" s="3">
        <v>0</v>
      </c>
      <c r="R151" s="3">
        <v>0</v>
      </c>
      <c r="S151" s="3">
        <v>0</v>
      </c>
    </row>
    <row r="152" spans="1:19" ht="30" x14ac:dyDescent="0.25">
      <c r="A152" s="1" t="s">
        <v>1</v>
      </c>
      <c r="B152" s="1" t="s">
        <v>348</v>
      </c>
      <c r="C152" s="1" t="s">
        <v>480</v>
      </c>
      <c r="D152" s="1" t="s">
        <v>572</v>
      </c>
      <c r="E152" s="1" t="s">
        <v>573</v>
      </c>
      <c r="F152" s="3">
        <v>1</v>
      </c>
      <c r="G152" s="1">
        <v>2022</v>
      </c>
      <c r="H152" s="1" t="s">
        <v>2</v>
      </c>
      <c r="I152" s="3">
        <v>0</v>
      </c>
      <c r="J152" s="3">
        <v>0</v>
      </c>
      <c r="K152" s="3">
        <v>0</v>
      </c>
      <c r="L152" s="3">
        <v>0</v>
      </c>
      <c r="M152" s="3">
        <v>0</v>
      </c>
      <c r="N152" s="3">
        <v>0</v>
      </c>
      <c r="O152" s="3">
        <v>0</v>
      </c>
      <c r="P152" s="3">
        <v>0</v>
      </c>
      <c r="Q152" s="3">
        <v>0</v>
      </c>
      <c r="R152" s="3">
        <v>0</v>
      </c>
      <c r="S152" s="3">
        <v>0</v>
      </c>
    </row>
    <row r="153" spans="1:19" ht="30" x14ac:dyDescent="0.25">
      <c r="A153" s="1" t="s">
        <v>1</v>
      </c>
      <c r="B153" s="1" t="s">
        <v>348</v>
      </c>
      <c r="C153" s="1" t="s">
        <v>480</v>
      </c>
      <c r="D153" s="1" t="s">
        <v>572</v>
      </c>
      <c r="E153" s="1" t="s">
        <v>573</v>
      </c>
      <c r="F153" s="3">
        <v>1</v>
      </c>
      <c r="G153" s="1">
        <v>2023</v>
      </c>
      <c r="H153" s="1" t="s">
        <v>2</v>
      </c>
      <c r="I153" s="3">
        <v>0</v>
      </c>
      <c r="J153" s="3">
        <v>0</v>
      </c>
      <c r="K153" s="3">
        <v>0</v>
      </c>
      <c r="L153" s="3">
        <v>0</v>
      </c>
      <c r="M153" s="3">
        <v>0</v>
      </c>
      <c r="N153" s="3">
        <v>0</v>
      </c>
      <c r="O153" s="3">
        <v>0</v>
      </c>
      <c r="P153" s="3">
        <v>0</v>
      </c>
      <c r="Q153" s="3">
        <v>0</v>
      </c>
      <c r="R153" s="3">
        <v>0</v>
      </c>
      <c r="S153" s="3">
        <v>0</v>
      </c>
    </row>
    <row r="154" spans="1:19" ht="30" x14ac:dyDescent="0.25">
      <c r="A154" s="1" t="s">
        <v>1</v>
      </c>
      <c r="B154" s="1" t="s">
        <v>348</v>
      </c>
      <c r="C154" s="1" t="s">
        <v>480</v>
      </c>
      <c r="D154" s="1" t="s">
        <v>572</v>
      </c>
      <c r="E154" s="1" t="s">
        <v>573</v>
      </c>
      <c r="F154" s="3">
        <v>1</v>
      </c>
      <c r="G154" s="1">
        <v>2024</v>
      </c>
      <c r="H154" s="1" t="s">
        <v>2</v>
      </c>
      <c r="I154" s="3">
        <v>0</v>
      </c>
      <c r="J154" s="3">
        <v>0</v>
      </c>
      <c r="K154" s="3">
        <v>0</v>
      </c>
      <c r="L154" s="3">
        <v>0</v>
      </c>
      <c r="M154" s="3">
        <v>0</v>
      </c>
      <c r="N154" s="3">
        <v>0</v>
      </c>
      <c r="O154" s="3">
        <v>0</v>
      </c>
      <c r="P154" s="3">
        <v>0</v>
      </c>
      <c r="Q154" s="3">
        <v>0</v>
      </c>
      <c r="R154" s="3">
        <v>0</v>
      </c>
      <c r="S154" s="3">
        <v>0</v>
      </c>
    </row>
    <row r="155" spans="1:19" ht="30" x14ac:dyDescent="0.25">
      <c r="A155" s="1" t="s">
        <v>1</v>
      </c>
      <c r="B155" s="1" t="s">
        <v>348</v>
      </c>
      <c r="C155" s="1" t="s">
        <v>480</v>
      </c>
      <c r="D155" s="1" t="s">
        <v>572</v>
      </c>
      <c r="E155" s="1" t="s">
        <v>573</v>
      </c>
      <c r="F155" s="3">
        <v>1</v>
      </c>
      <c r="G155" s="1">
        <v>2025</v>
      </c>
      <c r="H155" s="1" t="s">
        <v>2</v>
      </c>
      <c r="I155" s="3">
        <v>0</v>
      </c>
      <c r="J155" s="3">
        <v>0</v>
      </c>
      <c r="K155" s="3">
        <v>0</v>
      </c>
      <c r="L155" s="3">
        <v>0</v>
      </c>
      <c r="M155" s="3">
        <v>0</v>
      </c>
      <c r="N155" s="3">
        <v>0</v>
      </c>
      <c r="O155" s="3">
        <v>0</v>
      </c>
      <c r="P155" s="3">
        <v>0</v>
      </c>
      <c r="Q155" s="3">
        <v>0</v>
      </c>
      <c r="R155" s="3">
        <v>0</v>
      </c>
      <c r="S155" s="3">
        <v>0</v>
      </c>
    </row>
    <row r="156" spans="1:19" ht="30" x14ac:dyDescent="0.25">
      <c r="A156" s="1" t="s">
        <v>1</v>
      </c>
      <c r="B156" s="1" t="s">
        <v>348</v>
      </c>
      <c r="C156" s="1" t="s">
        <v>480</v>
      </c>
      <c r="D156" s="1" t="s">
        <v>572</v>
      </c>
      <c r="E156" s="1" t="s">
        <v>573</v>
      </c>
      <c r="F156" s="3">
        <v>1</v>
      </c>
      <c r="G156" s="1">
        <v>2026</v>
      </c>
      <c r="H156" s="1" t="s">
        <v>2</v>
      </c>
      <c r="I156" s="3">
        <v>0</v>
      </c>
      <c r="J156" s="3">
        <v>0</v>
      </c>
      <c r="K156" s="3">
        <v>0</v>
      </c>
      <c r="L156" s="3">
        <v>0</v>
      </c>
      <c r="M156" s="3">
        <v>0</v>
      </c>
      <c r="N156" s="3">
        <v>0</v>
      </c>
      <c r="O156" s="3">
        <v>0</v>
      </c>
      <c r="P156" s="3">
        <v>0</v>
      </c>
      <c r="Q156" s="3">
        <v>0</v>
      </c>
      <c r="R156" s="3">
        <v>0</v>
      </c>
      <c r="S156" s="3">
        <v>0</v>
      </c>
    </row>
    <row r="157" spans="1:19" ht="30" x14ac:dyDescent="0.25">
      <c r="A157" s="1" t="s">
        <v>1</v>
      </c>
      <c r="B157" s="1" t="s">
        <v>348</v>
      </c>
      <c r="C157" s="1" t="s">
        <v>480</v>
      </c>
      <c r="D157" s="1" t="s">
        <v>572</v>
      </c>
      <c r="E157" s="1" t="s">
        <v>573</v>
      </c>
      <c r="F157" s="3">
        <v>1</v>
      </c>
      <c r="G157" s="1">
        <v>2027</v>
      </c>
      <c r="H157" s="1" t="s">
        <v>2</v>
      </c>
      <c r="I157" s="3">
        <v>0</v>
      </c>
      <c r="J157" s="3">
        <v>0</v>
      </c>
      <c r="K157" s="3">
        <v>0</v>
      </c>
      <c r="L157" s="3">
        <v>0</v>
      </c>
      <c r="M157" s="3">
        <v>0</v>
      </c>
      <c r="N157" s="3">
        <v>0</v>
      </c>
      <c r="O157" s="3">
        <v>0</v>
      </c>
      <c r="P157" s="3">
        <v>0</v>
      </c>
      <c r="Q157" s="3">
        <v>0</v>
      </c>
      <c r="R157" s="3">
        <v>0</v>
      </c>
      <c r="S157" s="3">
        <v>0</v>
      </c>
    </row>
    <row r="158" spans="1:19" ht="30" x14ac:dyDescent="0.25">
      <c r="A158" s="1" t="s">
        <v>1</v>
      </c>
      <c r="B158" s="1" t="s">
        <v>348</v>
      </c>
      <c r="C158" s="1" t="s">
        <v>480</v>
      </c>
      <c r="D158" s="1" t="s">
        <v>572</v>
      </c>
      <c r="E158" s="1" t="s">
        <v>573</v>
      </c>
      <c r="F158" s="3">
        <v>1</v>
      </c>
      <c r="G158" s="1">
        <v>2028</v>
      </c>
      <c r="H158" s="1" t="s">
        <v>2</v>
      </c>
      <c r="I158" s="3">
        <v>0</v>
      </c>
      <c r="J158" s="3">
        <v>0</v>
      </c>
      <c r="K158" s="3">
        <v>0</v>
      </c>
      <c r="L158" s="3">
        <v>0</v>
      </c>
      <c r="M158" s="3">
        <v>0</v>
      </c>
      <c r="N158" s="3">
        <v>0</v>
      </c>
      <c r="O158" s="3">
        <v>0</v>
      </c>
      <c r="P158" s="3">
        <v>0</v>
      </c>
      <c r="Q158" s="3">
        <v>0</v>
      </c>
      <c r="R158" s="3">
        <v>0</v>
      </c>
      <c r="S158" s="3">
        <v>0</v>
      </c>
    </row>
    <row r="159" spans="1:19" ht="30" x14ac:dyDescent="0.25">
      <c r="A159" s="1" t="s">
        <v>1</v>
      </c>
      <c r="B159" s="1" t="s">
        <v>348</v>
      </c>
      <c r="C159" s="1" t="s">
        <v>480</v>
      </c>
      <c r="D159" s="1" t="s">
        <v>572</v>
      </c>
      <c r="E159" s="1" t="s">
        <v>573</v>
      </c>
      <c r="F159" s="3">
        <v>1</v>
      </c>
      <c r="G159" s="1">
        <v>2029</v>
      </c>
      <c r="H159" s="1" t="s">
        <v>2</v>
      </c>
      <c r="I159" s="3">
        <v>0</v>
      </c>
      <c r="J159" s="3">
        <v>0</v>
      </c>
      <c r="K159" s="3">
        <v>0</v>
      </c>
      <c r="L159" s="3">
        <v>0</v>
      </c>
      <c r="M159" s="3">
        <v>0</v>
      </c>
      <c r="N159" s="3">
        <v>0</v>
      </c>
      <c r="O159" s="3">
        <v>0</v>
      </c>
      <c r="P159" s="3">
        <v>0</v>
      </c>
      <c r="Q159" s="3">
        <v>0</v>
      </c>
      <c r="R159" s="3">
        <v>0</v>
      </c>
      <c r="S159" s="3">
        <v>0</v>
      </c>
    </row>
    <row r="160" spans="1:19" ht="30" x14ac:dyDescent="0.25">
      <c r="A160" s="1" t="s">
        <v>1</v>
      </c>
      <c r="B160" s="1" t="s">
        <v>348</v>
      </c>
      <c r="C160" s="1" t="s">
        <v>480</v>
      </c>
      <c r="D160" s="1" t="s">
        <v>572</v>
      </c>
      <c r="E160" s="1" t="s">
        <v>573</v>
      </c>
      <c r="F160" s="3">
        <v>1</v>
      </c>
      <c r="G160" s="1">
        <v>2030</v>
      </c>
      <c r="H160" s="1" t="s">
        <v>2</v>
      </c>
      <c r="I160" s="3">
        <v>0</v>
      </c>
      <c r="J160" s="3">
        <v>0</v>
      </c>
      <c r="K160" s="3">
        <v>0</v>
      </c>
      <c r="L160" s="3">
        <v>0</v>
      </c>
      <c r="M160" s="3">
        <v>0</v>
      </c>
      <c r="N160" s="3">
        <v>0</v>
      </c>
      <c r="O160" s="3">
        <v>0</v>
      </c>
      <c r="P160" s="3">
        <v>0</v>
      </c>
      <c r="Q160" s="3">
        <v>0</v>
      </c>
      <c r="R160" s="3">
        <v>0</v>
      </c>
      <c r="S160" s="3">
        <v>0</v>
      </c>
    </row>
    <row r="161" spans="1:19" ht="30" x14ac:dyDescent="0.25">
      <c r="A161" s="1" t="s">
        <v>1</v>
      </c>
      <c r="B161" s="1" t="s">
        <v>348</v>
      </c>
      <c r="C161" s="1" t="s">
        <v>480</v>
      </c>
      <c r="D161" s="1" t="s">
        <v>572</v>
      </c>
      <c r="E161" s="1" t="s">
        <v>573</v>
      </c>
      <c r="F161" s="3">
        <v>1</v>
      </c>
      <c r="G161" s="1">
        <v>2031</v>
      </c>
      <c r="H161" s="1" t="s">
        <v>2</v>
      </c>
      <c r="I161" s="3">
        <v>0</v>
      </c>
      <c r="J161" s="3">
        <v>0</v>
      </c>
      <c r="K161" s="3">
        <v>0</v>
      </c>
      <c r="L161" s="3">
        <v>0</v>
      </c>
      <c r="M161" s="3">
        <v>0</v>
      </c>
      <c r="N161" s="3">
        <v>0</v>
      </c>
      <c r="O161" s="3">
        <v>0</v>
      </c>
      <c r="P161" s="3">
        <v>0</v>
      </c>
      <c r="Q161" s="3">
        <v>0</v>
      </c>
      <c r="R161" s="3">
        <v>0</v>
      </c>
      <c r="S161" s="3">
        <v>0</v>
      </c>
    </row>
    <row r="162" spans="1:19" ht="30" x14ac:dyDescent="0.25">
      <c r="A162" s="1" t="s">
        <v>1</v>
      </c>
      <c r="B162" s="1" t="s">
        <v>348</v>
      </c>
      <c r="C162" s="1" t="s">
        <v>480</v>
      </c>
      <c r="D162" s="1" t="s">
        <v>572</v>
      </c>
      <c r="E162" s="1" t="s">
        <v>573</v>
      </c>
      <c r="F162" s="3">
        <v>1</v>
      </c>
      <c r="G162" s="1">
        <v>2032</v>
      </c>
      <c r="H162" s="1" t="s">
        <v>2</v>
      </c>
      <c r="I162" s="3">
        <v>0</v>
      </c>
      <c r="J162" s="3">
        <v>0</v>
      </c>
      <c r="K162" s="3">
        <v>0</v>
      </c>
      <c r="L162" s="3">
        <v>0</v>
      </c>
      <c r="M162" s="3">
        <v>0</v>
      </c>
      <c r="N162" s="3">
        <v>0</v>
      </c>
      <c r="O162" s="3">
        <v>0</v>
      </c>
      <c r="P162" s="3">
        <v>0</v>
      </c>
      <c r="Q162" s="3">
        <v>0</v>
      </c>
      <c r="R162" s="3">
        <v>0</v>
      </c>
      <c r="S162" s="3">
        <v>0</v>
      </c>
    </row>
    <row r="163" spans="1:19" ht="30" x14ac:dyDescent="0.25">
      <c r="A163" s="1" t="s">
        <v>1</v>
      </c>
      <c r="B163" s="1" t="s">
        <v>348</v>
      </c>
      <c r="C163" s="1" t="s">
        <v>480</v>
      </c>
      <c r="D163" s="1" t="s">
        <v>572</v>
      </c>
      <c r="E163" s="1" t="s">
        <v>573</v>
      </c>
      <c r="F163" s="3">
        <v>1</v>
      </c>
      <c r="G163" s="1">
        <v>2033</v>
      </c>
      <c r="H163" s="1" t="s">
        <v>2</v>
      </c>
      <c r="I163" s="3">
        <v>0</v>
      </c>
      <c r="J163" s="3">
        <v>0</v>
      </c>
      <c r="K163" s="3">
        <v>0</v>
      </c>
      <c r="L163" s="3">
        <v>0</v>
      </c>
      <c r="M163" s="3">
        <v>0</v>
      </c>
      <c r="N163" s="3">
        <v>0</v>
      </c>
      <c r="O163" s="3">
        <v>0</v>
      </c>
      <c r="P163" s="3">
        <v>0</v>
      </c>
      <c r="Q163" s="3">
        <v>0</v>
      </c>
      <c r="R163" s="3">
        <v>0</v>
      </c>
      <c r="S163" s="3">
        <v>0</v>
      </c>
    </row>
    <row r="164" spans="1:19" ht="30" x14ac:dyDescent="0.25">
      <c r="A164" s="1" t="s">
        <v>1</v>
      </c>
      <c r="B164" s="1" t="s">
        <v>348</v>
      </c>
      <c r="C164" s="1" t="s">
        <v>480</v>
      </c>
      <c r="D164" s="1" t="s">
        <v>572</v>
      </c>
      <c r="E164" s="1" t="s">
        <v>573</v>
      </c>
      <c r="F164" s="3">
        <v>1</v>
      </c>
      <c r="G164" s="1">
        <v>2034</v>
      </c>
      <c r="H164" s="1" t="s">
        <v>2</v>
      </c>
      <c r="I164" s="3">
        <v>0</v>
      </c>
      <c r="J164" s="3">
        <v>0</v>
      </c>
      <c r="K164" s="3">
        <v>0</v>
      </c>
      <c r="L164" s="3">
        <v>0</v>
      </c>
      <c r="M164" s="3">
        <v>0</v>
      </c>
      <c r="N164" s="3">
        <v>0</v>
      </c>
      <c r="O164" s="3">
        <v>0</v>
      </c>
      <c r="P164" s="3">
        <v>0</v>
      </c>
      <c r="Q164" s="3">
        <v>0</v>
      </c>
      <c r="R164" s="3">
        <v>0</v>
      </c>
      <c r="S164" s="3">
        <v>0</v>
      </c>
    </row>
    <row r="165" spans="1:19" ht="30" x14ac:dyDescent="0.25">
      <c r="A165" s="1" t="s">
        <v>1</v>
      </c>
      <c r="B165" s="1" t="s">
        <v>348</v>
      </c>
      <c r="C165" s="1" t="s">
        <v>480</v>
      </c>
      <c r="D165" s="1" t="s">
        <v>572</v>
      </c>
      <c r="E165" s="1" t="s">
        <v>573</v>
      </c>
      <c r="F165" s="3">
        <v>1</v>
      </c>
      <c r="G165" s="1">
        <v>2035</v>
      </c>
      <c r="H165" s="1" t="s">
        <v>2</v>
      </c>
      <c r="I165" s="3">
        <v>0</v>
      </c>
      <c r="J165" s="3">
        <v>0</v>
      </c>
      <c r="K165" s="3">
        <v>0</v>
      </c>
      <c r="L165" s="3">
        <v>0</v>
      </c>
      <c r="M165" s="3">
        <v>0</v>
      </c>
      <c r="N165" s="3">
        <v>0</v>
      </c>
      <c r="O165" s="3">
        <v>0</v>
      </c>
      <c r="P165" s="3">
        <v>0</v>
      </c>
      <c r="Q165" s="3">
        <v>0</v>
      </c>
      <c r="R165" s="3">
        <v>0</v>
      </c>
      <c r="S165" s="3">
        <v>0</v>
      </c>
    </row>
    <row r="166" spans="1:19" ht="30" x14ac:dyDescent="0.25">
      <c r="A166" s="1" t="s">
        <v>1</v>
      </c>
      <c r="B166" s="1" t="s">
        <v>348</v>
      </c>
      <c r="C166" s="1" t="s">
        <v>480</v>
      </c>
      <c r="D166" s="1" t="s">
        <v>572</v>
      </c>
      <c r="E166" s="1" t="s">
        <v>573</v>
      </c>
      <c r="F166" s="3">
        <v>1</v>
      </c>
      <c r="G166" s="1">
        <v>2036</v>
      </c>
      <c r="H166" s="1" t="s">
        <v>2</v>
      </c>
      <c r="I166" s="3">
        <v>0</v>
      </c>
      <c r="J166" s="3">
        <v>0</v>
      </c>
      <c r="K166" s="3">
        <v>0</v>
      </c>
      <c r="L166" s="3">
        <v>0</v>
      </c>
      <c r="M166" s="3">
        <v>0</v>
      </c>
      <c r="N166" s="3">
        <v>0</v>
      </c>
      <c r="O166" s="3">
        <v>0</v>
      </c>
      <c r="P166" s="3">
        <v>0</v>
      </c>
      <c r="Q166" s="3">
        <v>0</v>
      </c>
      <c r="R166" s="3">
        <v>0</v>
      </c>
      <c r="S166" s="3">
        <v>0</v>
      </c>
    </row>
    <row r="167" spans="1:19" ht="30" x14ac:dyDescent="0.25">
      <c r="A167" s="1" t="s">
        <v>1</v>
      </c>
      <c r="B167" s="1" t="s">
        <v>348</v>
      </c>
      <c r="C167" s="1" t="s">
        <v>480</v>
      </c>
      <c r="D167" s="1" t="s">
        <v>572</v>
      </c>
      <c r="E167" s="1" t="s">
        <v>573</v>
      </c>
      <c r="F167" s="3">
        <v>1</v>
      </c>
      <c r="G167" s="1">
        <v>2037</v>
      </c>
      <c r="H167" s="1" t="s">
        <v>2</v>
      </c>
      <c r="I167" s="3">
        <v>0</v>
      </c>
      <c r="J167" s="3">
        <v>0</v>
      </c>
      <c r="K167" s="3">
        <v>0</v>
      </c>
      <c r="L167" s="3">
        <v>0</v>
      </c>
      <c r="M167" s="3">
        <v>0</v>
      </c>
      <c r="N167" s="3">
        <v>0</v>
      </c>
      <c r="O167" s="3">
        <v>0</v>
      </c>
      <c r="P167" s="3">
        <v>0</v>
      </c>
      <c r="Q167" s="3">
        <v>0</v>
      </c>
      <c r="R167" s="3">
        <v>0</v>
      </c>
      <c r="S167" s="3">
        <v>0</v>
      </c>
    </row>
    <row r="168" spans="1:19" ht="30" x14ac:dyDescent="0.25">
      <c r="A168" s="1" t="s">
        <v>1</v>
      </c>
      <c r="B168" s="1" t="s">
        <v>348</v>
      </c>
      <c r="C168" s="1" t="s">
        <v>480</v>
      </c>
      <c r="D168" s="1" t="s">
        <v>572</v>
      </c>
      <c r="E168" s="1" t="s">
        <v>573</v>
      </c>
      <c r="F168" s="3">
        <v>1</v>
      </c>
      <c r="G168" s="1">
        <v>2038</v>
      </c>
      <c r="H168" s="1" t="s">
        <v>2</v>
      </c>
      <c r="I168" s="3">
        <v>0</v>
      </c>
      <c r="J168" s="3">
        <v>0</v>
      </c>
      <c r="K168" s="3">
        <v>0</v>
      </c>
      <c r="L168" s="3">
        <v>0</v>
      </c>
      <c r="M168" s="3">
        <v>0</v>
      </c>
      <c r="N168" s="3">
        <v>0</v>
      </c>
      <c r="O168" s="3">
        <v>0</v>
      </c>
      <c r="P168" s="3">
        <v>0</v>
      </c>
      <c r="Q168" s="3">
        <v>0</v>
      </c>
      <c r="R168" s="3">
        <v>0</v>
      </c>
      <c r="S168" s="3">
        <v>0</v>
      </c>
    </row>
    <row r="169" spans="1:19" ht="30" x14ac:dyDescent="0.25">
      <c r="A169" s="1" t="s">
        <v>1</v>
      </c>
      <c r="B169" s="1" t="s">
        <v>348</v>
      </c>
      <c r="C169" s="1" t="s">
        <v>480</v>
      </c>
      <c r="D169" s="1" t="s">
        <v>572</v>
      </c>
      <c r="E169" s="1" t="s">
        <v>573</v>
      </c>
      <c r="F169" s="3">
        <v>1</v>
      </c>
      <c r="G169" s="1">
        <v>2039</v>
      </c>
      <c r="H169" s="1" t="s">
        <v>2</v>
      </c>
      <c r="I169" s="3">
        <v>0</v>
      </c>
      <c r="J169" s="3">
        <v>0</v>
      </c>
      <c r="K169" s="3">
        <v>0</v>
      </c>
      <c r="L169" s="3">
        <v>0</v>
      </c>
      <c r="M169" s="3">
        <v>0</v>
      </c>
      <c r="N169" s="3">
        <v>0</v>
      </c>
      <c r="O169" s="3">
        <v>0</v>
      </c>
      <c r="P169" s="3">
        <v>0</v>
      </c>
      <c r="Q169" s="3">
        <v>0</v>
      </c>
      <c r="R169" s="3">
        <v>0</v>
      </c>
      <c r="S169" s="3">
        <v>0</v>
      </c>
    </row>
    <row r="170" spans="1:19" ht="30" x14ac:dyDescent="0.25">
      <c r="A170" s="1" t="s">
        <v>1</v>
      </c>
      <c r="B170" s="1" t="s">
        <v>348</v>
      </c>
      <c r="C170" s="1" t="s">
        <v>480</v>
      </c>
      <c r="D170" s="1" t="s">
        <v>572</v>
      </c>
      <c r="E170" s="1" t="s">
        <v>573</v>
      </c>
      <c r="F170" s="3">
        <v>1</v>
      </c>
      <c r="G170" s="1">
        <v>2040</v>
      </c>
      <c r="H170" s="1" t="s">
        <v>2</v>
      </c>
      <c r="I170" s="3">
        <v>0</v>
      </c>
      <c r="J170" s="3">
        <v>0</v>
      </c>
      <c r="K170" s="3">
        <v>0</v>
      </c>
      <c r="L170" s="3">
        <v>0</v>
      </c>
      <c r="M170" s="3">
        <v>0</v>
      </c>
      <c r="N170" s="3">
        <v>0</v>
      </c>
      <c r="O170" s="3">
        <v>0</v>
      </c>
      <c r="P170" s="3">
        <v>0</v>
      </c>
      <c r="Q170" s="3">
        <v>0</v>
      </c>
      <c r="R170" s="3">
        <v>0</v>
      </c>
      <c r="S170" s="3">
        <v>0</v>
      </c>
    </row>
    <row r="171" spans="1:19" ht="30" x14ac:dyDescent="0.25">
      <c r="A171" s="1" t="s">
        <v>1</v>
      </c>
      <c r="B171" s="1" t="s">
        <v>348</v>
      </c>
      <c r="C171" s="1" t="s">
        <v>480</v>
      </c>
      <c r="D171" s="1" t="s">
        <v>572</v>
      </c>
      <c r="E171" s="1" t="s">
        <v>573</v>
      </c>
      <c r="F171" s="3">
        <v>1</v>
      </c>
      <c r="G171" s="1">
        <v>2041</v>
      </c>
      <c r="H171" s="1" t="s">
        <v>2</v>
      </c>
      <c r="I171" s="3">
        <v>0</v>
      </c>
      <c r="J171" s="3">
        <v>0</v>
      </c>
      <c r="K171" s="3">
        <v>0</v>
      </c>
      <c r="L171" s="3">
        <v>0</v>
      </c>
      <c r="M171" s="3">
        <v>0</v>
      </c>
      <c r="N171" s="3">
        <v>0</v>
      </c>
      <c r="O171" s="3">
        <v>0</v>
      </c>
      <c r="P171" s="3">
        <v>0</v>
      </c>
      <c r="Q171" s="3">
        <v>0</v>
      </c>
      <c r="R171" s="3">
        <v>0</v>
      </c>
      <c r="S171" s="3">
        <v>0</v>
      </c>
    </row>
    <row r="172" spans="1:19" ht="30" x14ac:dyDescent="0.25">
      <c r="A172" s="1" t="s">
        <v>1</v>
      </c>
      <c r="B172" s="1" t="s">
        <v>348</v>
      </c>
      <c r="C172" s="1" t="s">
        <v>480</v>
      </c>
      <c r="D172" s="1" t="s">
        <v>572</v>
      </c>
      <c r="E172" s="1" t="s">
        <v>573</v>
      </c>
      <c r="F172" s="3">
        <v>1</v>
      </c>
      <c r="G172" s="1">
        <v>2042</v>
      </c>
      <c r="H172" s="1" t="s">
        <v>2</v>
      </c>
      <c r="I172" s="3">
        <v>0</v>
      </c>
      <c r="J172" s="3">
        <v>0</v>
      </c>
      <c r="K172" s="3">
        <v>0</v>
      </c>
      <c r="L172" s="3">
        <v>0</v>
      </c>
      <c r="M172" s="3">
        <v>0</v>
      </c>
      <c r="N172" s="3">
        <v>0</v>
      </c>
      <c r="O172" s="3">
        <v>0</v>
      </c>
      <c r="P172" s="3">
        <v>0</v>
      </c>
      <c r="Q172" s="3">
        <v>0</v>
      </c>
      <c r="R172" s="3">
        <v>0</v>
      </c>
      <c r="S172" s="3">
        <v>0</v>
      </c>
    </row>
    <row r="173" spans="1:19" ht="30" x14ac:dyDescent="0.25">
      <c r="A173" s="1" t="s">
        <v>1</v>
      </c>
      <c r="B173" s="1" t="s">
        <v>348</v>
      </c>
      <c r="C173" s="1" t="s">
        <v>480</v>
      </c>
      <c r="D173" s="1" t="s">
        <v>572</v>
      </c>
      <c r="E173" s="1" t="s">
        <v>573</v>
      </c>
      <c r="F173" s="3">
        <v>1</v>
      </c>
      <c r="G173" s="1">
        <v>2043</v>
      </c>
      <c r="H173" s="1" t="s">
        <v>2</v>
      </c>
      <c r="I173" s="3">
        <v>0</v>
      </c>
      <c r="J173" s="3">
        <v>0</v>
      </c>
      <c r="K173" s="3">
        <v>0</v>
      </c>
      <c r="L173" s="3">
        <v>0</v>
      </c>
      <c r="M173" s="3">
        <v>0</v>
      </c>
      <c r="N173" s="3">
        <v>0</v>
      </c>
      <c r="O173" s="3">
        <v>0</v>
      </c>
      <c r="P173" s="3">
        <v>0</v>
      </c>
      <c r="Q173" s="3">
        <v>0</v>
      </c>
      <c r="R173" s="3">
        <v>0</v>
      </c>
      <c r="S173" s="3">
        <v>0</v>
      </c>
    </row>
    <row r="174" spans="1:19" ht="30" x14ac:dyDescent="0.25">
      <c r="A174" s="1" t="s">
        <v>1</v>
      </c>
      <c r="B174" s="1" t="s">
        <v>348</v>
      </c>
      <c r="C174" s="1" t="s">
        <v>480</v>
      </c>
      <c r="D174" s="1" t="s">
        <v>572</v>
      </c>
      <c r="E174" s="1" t="s">
        <v>573</v>
      </c>
      <c r="F174" s="3">
        <v>1</v>
      </c>
      <c r="G174" s="1">
        <v>2044</v>
      </c>
      <c r="H174" s="1" t="s">
        <v>2</v>
      </c>
      <c r="I174" s="3">
        <v>0</v>
      </c>
      <c r="J174" s="3">
        <v>0</v>
      </c>
      <c r="K174" s="3">
        <v>0</v>
      </c>
      <c r="L174" s="3">
        <v>0</v>
      </c>
      <c r="M174" s="3">
        <v>0</v>
      </c>
      <c r="N174" s="3">
        <v>0</v>
      </c>
      <c r="O174" s="3">
        <v>0</v>
      </c>
      <c r="P174" s="3">
        <v>0</v>
      </c>
      <c r="Q174" s="3">
        <v>0</v>
      </c>
      <c r="R174" s="3">
        <v>0</v>
      </c>
      <c r="S174" s="3">
        <v>0</v>
      </c>
    </row>
    <row r="175" spans="1:19" ht="30" x14ac:dyDescent="0.25">
      <c r="A175" s="1" t="s">
        <v>1</v>
      </c>
      <c r="B175" s="1" t="s">
        <v>348</v>
      </c>
      <c r="C175" s="1" t="s">
        <v>480</v>
      </c>
      <c r="D175" s="1" t="s">
        <v>572</v>
      </c>
      <c r="E175" s="1" t="s">
        <v>573</v>
      </c>
      <c r="F175" s="3">
        <v>1</v>
      </c>
      <c r="G175" s="1">
        <v>2045</v>
      </c>
      <c r="H175" s="1" t="s">
        <v>2</v>
      </c>
      <c r="I175" s="3">
        <v>0</v>
      </c>
      <c r="J175" s="3">
        <v>0</v>
      </c>
      <c r="K175" s="3">
        <v>0</v>
      </c>
      <c r="L175" s="3">
        <v>0</v>
      </c>
      <c r="M175" s="3">
        <v>0</v>
      </c>
      <c r="N175" s="3">
        <v>0</v>
      </c>
      <c r="O175" s="3">
        <v>0</v>
      </c>
      <c r="P175" s="3">
        <v>0</v>
      </c>
      <c r="Q175" s="3">
        <v>0</v>
      </c>
      <c r="R175" s="3">
        <v>0</v>
      </c>
      <c r="S175" s="3">
        <v>0</v>
      </c>
    </row>
    <row r="176" spans="1:19" ht="30" x14ac:dyDescent="0.25">
      <c r="A176" s="1" t="s">
        <v>1</v>
      </c>
      <c r="B176" s="1" t="s">
        <v>348</v>
      </c>
      <c r="C176" s="1" t="s">
        <v>480</v>
      </c>
      <c r="D176" s="1" t="s">
        <v>572</v>
      </c>
      <c r="E176" s="1" t="s">
        <v>573</v>
      </c>
      <c r="F176" s="3">
        <v>1</v>
      </c>
      <c r="G176" s="1">
        <v>2046</v>
      </c>
      <c r="H176" s="1" t="s">
        <v>2</v>
      </c>
      <c r="I176" s="3">
        <v>0</v>
      </c>
      <c r="J176" s="3">
        <v>0</v>
      </c>
      <c r="K176" s="3">
        <v>0</v>
      </c>
      <c r="L176" s="3">
        <v>0</v>
      </c>
      <c r="M176" s="3">
        <v>0</v>
      </c>
      <c r="N176" s="3">
        <v>0</v>
      </c>
      <c r="O176" s="3">
        <v>0</v>
      </c>
      <c r="P176" s="3">
        <v>0</v>
      </c>
      <c r="Q176" s="3">
        <v>0</v>
      </c>
      <c r="R176" s="3">
        <v>0</v>
      </c>
      <c r="S176" s="3">
        <v>0</v>
      </c>
    </row>
    <row r="177" spans="1:19" ht="30" x14ac:dyDescent="0.25">
      <c r="A177" s="1" t="s">
        <v>1</v>
      </c>
      <c r="B177" s="1" t="s">
        <v>348</v>
      </c>
      <c r="C177" s="1" t="s">
        <v>480</v>
      </c>
      <c r="D177" s="1" t="s">
        <v>572</v>
      </c>
      <c r="E177" s="1" t="s">
        <v>573</v>
      </c>
      <c r="F177" s="3">
        <v>1</v>
      </c>
      <c r="G177" s="1">
        <v>2047</v>
      </c>
      <c r="H177" s="1" t="s">
        <v>2</v>
      </c>
      <c r="I177" s="3">
        <v>0</v>
      </c>
      <c r="J177" s="3">
        <v>0</v>
      </c>
      <c r="K177" s="3">
        <v>0</v>
      </c>
      <c r="L177" s="3">
        <v>0</v>
      </c>
      <c r="M177" s="3">
        <v>0</v>
      </c>
      <c r="N177" s="3">
        <v>0</v>
      </c>
      <c r="O177" s="3">
        <v>0</v>
      </c>
      <c r="P177" s="3">
        <v>0</v>
      </c>
      <c r="Q177" s="3">
        <v>0</v>
      </c>
      <c r="R177" s="3">
        <v>0</v>
      </c>
      <c r="S177" s="3">
        <v>0</v>
      </c>
    </row>
    <row r="178" spans="1:19" ht="30" x14ac:dyDescent="0.25">
      <c r="A178" s="1" t="s">
        <v>1</v>
      </c>
      <c r="B178" s="1" t="s">
        <v>348</v>
      </c>
      <c r="C178" s="1" t="s">
        <v>480</v>
      </c>
      <c r="D178" s="1" t="s">
        <v>572</v>
      </c>
      <c r="E178" s="1" t="s">
        <v>573</v>
      </c>
      <c r="F178" s="3">
        <v>1</v>
      </c>
      <c r="G178" s="1">
        <v>2048</v>
      </c>
      <c r="H178" s="1" t="s">
        <v>2</v>
      </c>
      <c r="I178" s="3">
        <v>0</v>
      </c>
      <c r="J178" s="3">
        <v>0</v>
      </c>
      <c r="K178" s="3">
        <v>0</v>
      </c>
      <c r="L178" s="3">
        <v>0</v>
      </c>
      <c r="M178" s="3">
        <v>0</v>
      </c>
      <c r="N178" s="3">
        <v>0</v>
      </c>
      <c r="O178" s="3">
        <v>0</v>
      </c>
      <c r="P178" s="3">
        <v>0</v>
      </c>
      <c r="Q178" s="3">
        <v>0</v>
      </c>
      <c r="R178" s="3">
        <v>0</v>
      </c>
      <c r="S178" s="3">
        <v>0</v>
      </c>
    </row>
    <row r="179" spans="1:19" ht="30" x14ac:dyDescent="0.25">
      <c r="A179" s="1" t="s">
        <v>1</v>
      </c>
      <c r="B179" s="1" t="s">
        <v>348</v>
      </c>
      <c r="C179" s="1" t="s">
        <v>480</v>
      </c>
      <c r="D179" s="1" t="s">
        <v>572</v>
      </c>
      <c r="E179" s="1" t="s">
        <v>573</v>
      </c>
      <c r="F179" s="3">
        <v>1</v>
      </c>
      <c r="G179" s="1">
        <v>2049</v>
      </c>
      <c r="H179" s="1" t="s">
        <v>2</v>
      </c>
      <c r="I179" s="3">
        <v>0</v>
      </c>
      <c r="J179" s="3">
        <v>0</v>
      </c>
      <c r="K179" s="3">
        <v>0</v>
      </c>
      <c r="L179" s="3">
        <v>0</v>
      </c>
      <c r="M179" s="3">
        <v>0</v>
      </c>
      <c r="N179" s="3">
        <v>0</v>
      </c>
      <c r="O179" s="3">
        <v>0</v>
      </c>
      <c r="P179" s="3">
        <v>0</v>
      </c>
      <c r="Q179" s="3">
        <v>0</v>
      </c>
      <c r="R179" s="3">
        <v>0</v>
      </c>
      <c r="S179" s="3">
        <v>0</v>
      </c>
    </row>
    <row r="180" spans="1:19" ht="30" x14ac:dyDescent="0.25">
      <c r="A180" s="1" t="s">
        <v>1</v>
      </c>
      <c r="B180" s="1" t="s">
        <v>348</v>
      </c>
      <c r="C180" s="1" t="s">
        <v>480</v>
      </c>
      <c r="D180" s="1" t="s">
        <v>572</v>
      </c>
      <c r="E180" s="1" t="s">
        <v>573</v>
      </c>
      <c r="F180" s="3">
        <v>1</v>
      </c>
      <c r="G180" s="1">
        <v>2050</v>
      </c>
      <c r="H180" s="1" t="s">
        <v>2</v>
      </c>
      <c r="I180" s="3">
        <v>0</v>
      </c>
      <c r="J180" s="3">
        <v>0</v>
      </c>
      <c r="K180" s="3">
        <v>0</v>
      </c>
      <c r="L180" s="3">
        <v>0</v>
      </c>
      <c r="M180" s="3">
        <v>0</v>
      </c>
      <c r="N180" s="3">
        <v>0</v>
      </c>
      <c r="O180" s="3">
        <v>0</v>
      </c>
      <c r="P180" s="3">
        <v>0</v>
      </c>
      <c r="Q180" s="3">
        <v>0</v>
      </c>
      <c r="R180" s="3">
        <v>0</v>
      </c>
      <c r="S180" s="3">
        <v>0</v>
      </c>
    </row>
    <row r="181" spans="1:19" ht="30" x14ac:dyDescent="0.25">
      <c r="A181" s="1" t="s">
        <v>1</v>
      </c>
      <c r="B181" s="1" t="s">
        <v>348</v>
      </c>
      <c r="C181" s="1" t="s">
        <v>480</v>
      </c>
      <c r="D181" s="1" t="s">
        <v>572</v>
      </c>
      <c r="E181" s="1" t="s">
        <v>573</v>
      </c>
      <c r="F181" s="3">
        <v>1</v>
      </c>
      <c r="G181" s="1">
        <v>2051</v>
      </c>
      <c r="H181" s="1" t="s">
        <v>2</v>
      </c>
      <c r="I181" s="3">
        <v>0</v>
      </c>
      <c r="J181" s="3">
        <v>0</v>
      </c>
      <c r="K181" s="3">
        <v>0</v>
      </c>
      <c r="L181" s="3">
        <v>0</v>
      </c>
      <c r="M181" s="3">
        <v>0</v>
      </c>
      <c r="N181" s="3">
        <v>0</v>
      </c>
      <c r="O181" s="3">
        <v>0</v>
      </c>
      <c r="P181" s="3">
        <v>0</v>
      </c>
      <c r="Q181" s="3">
        <v>0</v>
      </c>
      <c r="R181" s="3">
        <v>0</v>
      </c>
      <c r="S181" s="3">
        <v>0</v>
      </c>
    </row>
    <row r="182" spans="1:19" ht="30" x14ac:dyDescent="0.25">
      <c r="A182" s="1" t="s">
        <v>1</v>
      </c>
      <c r="B182" s="1" t="s">
        <v>348</v>
      </c>
      <c r="C182" s="1" t="s">
        <v>481</v>
      </c>
      <c r="D182" s="1" t="s">
        <v>572</v>
      </c>
      <c r="E182" s="1" t="s">
        <v>573</v>
      </c>
      <c r="F182" s="3">
        <v>1</v>
      </c>
      <c r="G182" s="1">
        <v>2022</v>
      </c>
      <c r="H182" s="1" t="s">
        <v>2</v>
      </c>
      <c r="I182" s="3">
        <v>0</v>
      </c>
      <c r="J182" s="3">
        <v>0</v>
      </c>
      <c r="K182" s="3">
        <v>0</v>
      </c>
      <c r="L182" s="3">
        <v>0</v>
      </c>
      <c r="M182" s="3">
        <v>0</v>
      </c>
      <c r="N182" s="3">
        <v>0</v>
      </c>
      <c r="O182" s="3">
        <v>0</v>
      </c>
      <c r="P182" s="3">
        <v>0</v>
      </c>
      <c r="Q182" s="3">
        <v>0</v>
      </c>
      <c r="R182" s="3">
        <v>0</v>
      </c>
      <c r="S182" s="3">
        <v>0</v>
      </c>
    </row>
    <row r="183" spans="1:19" ht="30" x14ac:dyDescent="0.25">
      <c r="A183" s="1" t="s">
        <v>1</v>
      </c>
      <c r="B183" s="1" t="s">
        <v>348</v>
      </c>
      <c r="C183" s="1" t="s">
        <v>481</v>
      </c>
      <c r="D183" s="1" t="s">
        <v>572</v>
      </c>
      <c r="E183" s="1" t="s">
        <v>573</v>
      </c>
      <c r="F183" s="3">
        <v>1</v>
      </c>
      <c r="G183" s="1">
        <v>2023</v>
      </c>
      <c r="H183" s="1" t="s">
        <v>2</v>
      </c>
      <c r="I183" s="3">
        <v>0</v>
      </c>
      <c r="J183" s="3">
        <v>0</v>
      </c>
      <c r="K183" s="3">
        <v>0</v>
      </c>
      <c r="L183" s="3">
        <v>0</v>
      </c>
      <c r="M183" s="3">
        <v>0</v>
      </c>
      <c r="N183" s="3">
        <v>0</v>
      </c>
      <c r="O183" s="3">
        <v>0</v>
      </c>
      <c r="P183" s="3">
        <v>0</v>
      </c>
      <c r="Q183" s="3">
        <v>0</v>
      </c>
      <c r="R183" s="3">
        <v>0</v>
      </c>
      <c r="S183" s="3">
        <v>0</v>
      </c>
    </row>
    <row r="184" spans="1:19" ht="30" x14ac:dyDescent="0.25">
      <c r="A184" s="1" t="s">
        <v>1</v>
      </c>
      <c r="B184" s="1" t="s">
        <v>348</v>
      </c>
      <c r="C184" s="1" t="s">
        <v>481</v>
      </c>
      <c r="D184" s="1" t="s">
        <v>572</v>
      </c>
      <c r="E184" s="1" t="s">
        <v>573</v>
      </c>
      <c r="F184" s="3">
        <v>1</v>
      </c>
      <c r="G184" s="1">
        <v>2024</v>
      </c>
      <c r="H184" s="1" t="s">
        <v>2</v>
      </c>
      <c r="I184" s="3">
        <v>0</v>
      </c>
      <c r="J184" s="3">
        <v>0</v>
      </c>
      <c r="K184" s="3">
        <v>0</v>
      </c>
      <c r="L184" s="3">
        <v>0</v>
      </c>
      <c r="M184" s="3">
        <v>0</v>
      </c>
      <c r="N184" s="3">
        <v>0</v>
      </c>
      <c r="O184" s="3">
        <v>0</v>
      </c>
      <c r="P184" s="3">
        <v>0</v>
      </c>
      <c r="Q184" s="3">
        <v>0</v>
      </c>
      <c r="R184" s="3">
        <v>0</v>
      </c>
      <c r="S184" s="3">
        <v>0</v>
      </c>
    </row>
    <row r="185" spans="1:19" ht="30" x14ac:dyDescent="0.25">
      <c r="A185" s="1" t="s">
        <v>1</v>
      </c>
      <c r="B185" s="1" t="s">
        <v>348</v>
      </c>
      <c r="C185" s="1" t="s">
        <v>481</v>
      </c>
      <c r="D185" s="1" t="s">
        <v>572</v>
      </c>
      <c r="E185" s="1" t="s">
        <v>573</v>
      </c>
      <c r="F185" s="3">
        <v>1</v>
      </c>
      <c r="G185" s="1">
        <v>2025</v>
      </c>
      <c r="H185" s="1" t="s">
        <v>2</v>
      </c>
      <c r="I185" s="3">
        <v>0</v>
      </c>
      <c r="J185" s="3">
        <v>0</v>
      </c>
      <c r="K185" s="3">
        <v>0</v>
      </c>
      <c r="L185" s="3">
        <v>0</v>
      </c>
      <c r="M185" s="3">
        <v>0</v>
      </c>
      <c r="N185" s="3">
        <v>0</v>
      </c>
      <c r="O185" s="3">
        <v>0</v>
      </c>
      <c r="P185" s="3">
        <v>0</v>
      </c>
      <c r="Q185" s="3">
        <v>0</v>
      </c>
      <c r="R185" s="3">
        <v>0</v>
      </c>
      <c r="S185" s="3">
        <v>0</v>
      </c>
    </row>
    <row r="186" spans="1:19" ht="30" x14ac:dyDescent="0.25">
      <c r="A186" s="1" t="s">
        <v>1</v>
      </c>
      <c r="B186" s="1" t="s">
        <v>348</v>
      </c>
      <c r="C186" s="1" t="s">
        <v>481</v>
      </c>
      <c r="D186" s="1" t="s">
        <v>572</v>
      </c>
      <c r="E186" s="1" t="s">
        <v>573</v>
      </c>
      <c r="F186" s="3">
        <v>1</v>
      </c>
      <c r="G186" s="1">
        <v>2026</v>
      </c>
      <c r="H186" s="1" t="s">
        <v>2</v>
      </c>
      <c r="I186" s="3">
        <v>0</v>
      </c>
      <c r="J186" s="3">
        <v>0</v>
      </c>
      <c r="K186" s="3">
        <v>0</v>
      </c>
      <c r="L186" s="3">
        <v>0</v>
      </c>
      <c r="M186" s="3">
        <v>0</v>
      </c>
      <c r="N186" s="3">
        <v>0</v>
      </c>
      <c r="O186" s="3">
        <v>0</v>
      </c>
      <c r="P186" s="3">
        <v>0</v>
      </c>
      <c r="Q186" s="3">
        <v>0</v>
      </c>
      <c r="R186" s="3">
        <v>0</v>
      </c>
      <c r="S186" s="3">
        <v>0</v>
      </c>
    </row>
    <row r="187" spans="1:19" ht="30" x14ac:dyDescent="0.25">
      <c r="A187" s="1" t="s">
        <v>1</v>
      </c>
      <c r="B187" s="1" t="s">
        <v>348</v>
      </c>
      <c r="C187" s="1" t="s">
        <v>481</v>
      </c>
      <c r="D187" s="1" t="s">
        <v>572</v>
      </c>
      <c r="E187" s="1" t="s">
        <v>573</v>
      </c>
      <c r="F187" s="3">
        <v>1</v>
      </c>
      <c r="G187" s="1">
        <v>2027</v>
      </c>
      <c r="H187" s="1" t="s">
        <v>2</v>
      </c>
      <c r="I187" s="3">
        <v>0</v>
      </c>
      <c r="J187" s="3">
        <v>0</v>
      </c>
      <c r="K187" s="3">
        <v>0</v>
      </c>
      <c r="L187" s="3">
        <v>0</v>
      </c>
      <c r="M187" s="3">
        <v>0</v>
      </c>
      <c r="N187" s="3">
        <v>0</v>
      </c>
      <c r="O187" s="3">
        <v>0</v>
      </c>
      <c r="P187" s="3">
        <v>0</v>
      </c>
      <c r="Q187" s="3">
        <v>0</v>
      </c>
      <c r="R187" s="3">
        <v>0</v>
      </c>
      <c r="S187" s="3">
        <v>0</v>
      </c>
    </row>
    <row r="188" spans="1:19" ht="30" x14ac:dyDescent="0.25">
      <c r="A188" s="1" t="s">
        <v>1</v>
      </c>
      <c r="B188" s="1" t="s">
        <v>348</v>
      </c>
      <c r="C188" s="1" t="s">
        <v>481</v>
      </c>
      <c r="D188" s="1" t="s">
        <v>572</v>
      </c>
      <c r="E188" s="1" t="s">
        <v>573</v>
      </c>
      <c r="F188" s="3">
        <v>1</v>
      </c>
      <c r="G188" s="1">
        <v>2028</v>
      </c>
      <c r="H188" s="1" t="s">
        <v>2</v>
      </c>
      <c r="I188" s="3">
        <v>0</v>
      </c>
      <c r="J188" s="3">
        <v>0</v>
      </c>
      <c r="K188" s="3">
        <v>0</v>
      </c>
      <c r="L188" s="3">
        <v>0</v>
      </c>
      <c r="M188" s="3">
        <v>0</v>
      </c>
      <c r="N188" s="3">
        <v>0</v>
      </c>
      <c r="O188" s="3">
        <v>0</v>
      </c>
      <c r="P188" s="3">
        <v>0</v>
      </c>
      <c r="Q188" s="3">
        <v>0</v>
      </c>
      <c r="R188" s="3">
        <v>0</v>
      </c>
      <c r="S188" s="3">
        <v>0</v>
      </c>
    </row>
    <row r="189" spans="1:19" ht="30" x14ac:dyDescent="0.25">
      <c r="A189" s="1" t="s">
        <v>1</v>
      </c>
      <c r="B189" s="1" t="s">
        <v>348</v>
      </c>
      <c r="C189" s="1" t="s">
        <v>481</v>
      </c>
      <c r="D189" s="1" t="s">
        <v>572</v>
      </c>
      <c r="E189" s="1" t="s">
        <v>573</v>
      </c>
      <c r="F189" s="3">
        <v>1</v>
      </c>
      <c r="G189" s="1">
        <v>2029</v>
      </c>
      <c r="H189" s="1" t="s">
        <v>2</v>
      </c>
      <c r="I189" s="3">
        <v>0</v>
      </c>
      <c r="J189" s="3">
        <v>0</v>
      </c>
      <c r="K189" s="3">
        <v>0</v>
      </c>
      <c r="L189" s="3">
        <v>0</v>
      </c>
      <c r="M189" s="3">
        <v>0</v>
      </c>
      <c r="N189" s="3">
        <v>0</v>
      </c>
      <c r="O189" s="3">
        <v>0</v>
      </c>
      <c r="P189" s="3">
        <v>0</v>
      </c>
      <c r="Q189" s="3">
        <v>0</v>
      </c>
      <c r="R189" s="3">
        <v>0</v>
      </c>
      <c r="S189" s="3">
        <v>0</v>
      </c>
    </row>
    <row r="190" spans="1:19" ht="30" x14ac:dyDescent="0.25">
      <c r="A190" s="1" t="s">
        <v>1</v>
      </c>
      <c r="B190" s="1" t="s">
        <v>348</v>
      </c>
      <c r="C190" s="1" t="s">
        <v>481</v>
      </c>
      <c r="D190" s="1" t="s">
        <v>572</v>
      </c>
      <c r="E190" s="1" t="s">
        <v>573</v>
      </c>
      <c r="F190" s="3">
        <v>1</v>
      </c>
      <c r="G190" s="1">
        <v>2030</v>
      </c>
      <c r="H190" s="1" t="s">
        <v>2</v>
      </c>
      <c r="I190" s="3">
        <v>0</v>
      </c>
      <c r="J190" s="3">
        <v>0</v>
      </c>
      <c r="K190" s="3">
        <v>0</v>
      </c>
      <c r="L190" s="3">
        <v>0</v>
      </c>
      <c r="M190" s="3">
        <v>0</v>
      </c>
      <c r="N190" s="3">
        <v>0</v>
      </c>
      <c r="O190" s="3">
        <v>0</v>
      </c>
      <c r="P190" s="3">
        <v>0</v>
      </c>
      <c r="Q190" s="3">
        <v>0</v>
      </c>
      <c r="R190" s="3">
        <v>0</v>
      </c>
      <c r="S190" s="3">
        <v>0</v>
      </c>
    </row>
    <row r="191" spans="1:19" ht="30" x14ac:dyDescent="0.25">
      <c r="A191" s="1" t="s">
        <v>1</v>
      </c>
      <c r="B191" s="1" t="s">
        <v>348</v>
      </c>
      <c r="C191" s="1" t="s">
        <v>481</v>
      </c>
      <c r="D191" s="1" t="s">
        <v>572</v>
      </c>
      <c r="E191" s="1" t="s">
        <v>573</v>
      </c>
      <c r="F191" s="3">
        <v>1</v>
      </c>
      <c r="G191" s="1">
        <v>2031</v>
      </c>
      <c r="H191" s="1" t="s">
        <v>2</v>
      </c>
      <c r="I191" s="3">
        <v>0</v>
      </c>
      <c r="J191" s="3">
        <v>0</v>
      </c>
      <c r="K191" s="3">
        <v>0</v>
      </c>
      <c r="L191" s="3">
        <v>0</v>
      </c>
      <c r="M191" s="3">
        <v>0</v>
      </c>
      <c r="N191" s="3">
        <v>0</v>
      </c>
      <c r="O191" s="3">
        <v>0</v>
      </c>
      <c r="P191" s="3">
        <v>0</v>
      </c>
      <c r="Q191" s="3">
        <v>0</v>
      </c>
      <c r="R191" s="3">
        <v>0</v>
      </c>
      <c r="S191" s="3">
        <v>0</v>
      </c>
    </row>
    <row r="192" spans="1:19" ht="30" x14ac:dyDescent="0.25">
      <c r="A192" s="1" t="s">
        <v>1</v>
      </c>
      <c r="B192" s="1" t="s">
        <v>348</v>
      </c>
      <c r="C192" s="1" t="s">
        <v>481</v>
      </c>
      <c r="D192" s="1" t="s">
        <v>572</v>
      </c>
      <c r="E192" s="1" t="s">
        <v>573</v>
      </c>
      <c r="F192" s="3">
        <v>1</v>
      </c>
      <c r="G192" s="1">
        <v>2032</v>
      </c>
      <c r="H192" s="1" t="s">
        <v>2</v>
      </c>
      <c r="I192" s="3">
        <v>0</v>
      </c>
      <c r="J192" s="3">
        <v>0</v>
      </c>
      <c r="K192" s="3">
        <v>0</v>
      </c>
      <c r="L192" s="3">
        <v>0</v>
      </c>
      <c r="M192" s="3">
        <v>0</v>
      </c>
      <c r="N192" s="3">
        <v>0</v>
      </c>
      <c r="O192" s="3">
        <v>0</v>
      </c>
      <c r="P192" s="3">
        <v>0</v>
      </c>
      <c r="Q192" s="3">
        <v>0</v>
      </c>
      <c r="R192" s="3">
        <v>0</v>
      </c>
      <c r="S192" s="3">
        <v>0</v>
      </c>
    </row>
    <row r="193" spans="1:19" ht="30" x14ac:dyDescent="0.25">
      <c r="A193" s="1" t="s">
        <v>1</v>
      </c>
      <c r="B193" s="1" t="s">
        <v>348</v>
      </c>
      <c r="C193" s="1" t="s">
        <v>481</v>
      </c>
      <c r="D193" s="1" t="s">
        <v>572</v>
      </c>
      <c r="E193" s="1" t="s">
        <v>573</v>
      </c>
      <c r="F193" s="3">
        <v>1</v>
      </c>
      <c r="G193" s="1">
        <v>2033</v>
      </c>
      <c r="H193" s="1" t="s">
        <v>2</v>
      </c>
      <c r="I193" s="3">
        <v>0</v>
      </c>
      <c r="J193" s="3">
        <v>0</v>
      </c>
      <c r="K193" s="3">
        <v>0</v>
      </c>
      <c r="L193" s="3">
        <v>0</v>
      </c>
      <c r="M193" s="3">
        <v>0</v>
      </c>
      <c r="N193" s="3">
        <v>0</v>
      </c>
      <c r="O193" s="3">
        <v>0</v>
      </c>
      <c r="P193" s="3">
        <v>0</v>
      </c>
      <c r="Q193" s="3">
        <v>0</v>
      </c>
      <c r="R193" s="3">
        <v>0</v>
      </c>
      <c r="S193" s="3">
        <v>0</v>
      </c>
    </row>
    <row r="194" spans="1:19" ht="30" x14ac:dyDescent="0.25">
      <c r="A194" s="1" t="s">
        <v>1</v>
      </c>
      <c r="B194" s="1" t="s">
        <v>348</v>
      </c>
      <c r="C194" s="1" t="s">
        <v>481</v>
      </c>
      <c r="D194" s="1" t="s">
        <v>572</v>
      </c>
      <c r="E194" s="1" t="s">
        <v>573</v>
      </c>
      <c r="F194" s="3">
        <v>1</v>
      </c>
      <c r="G194" s="1">
        <v>2034</v>
      </c>
      <c r="H194" s="1" t="s">
        <v>2</v>
      </c>
      <c r="I194" s="3">
        <v>0</v>
      </c>
      <c r="J194" s="3">
        <v>0</v>
      </c>
      <c r="K194" s="3">
        <v>0</v>
      </c>
      <c r="L194" s="3">
        <v>0</v>
      </c>
      <c r="M194" s="3">
        <v>0</v>
      </c>
      <c r="N194" s="3">
        <v>0</v>
      </c>
      <c r="O194" s="3">
        <v>0</v>
      </c>
      <c r="P194" s="3">
        <v>0</v>
      </c>
      <c r="Q194" s="3">
        <v>0</v>
      </c>
      <c r="R194" s="3">
        <v>0</v>
      </c>
      <c r="S194" s="3">
        <v>0</v>
      </c>
    </row>
    <row r="195" spans="1:19" ht="30" x14ac:dyDescent="0.25">
      <c r="A195" s="1" t="s">
        <v>1</v>
      </c>
      <c r="B195" s="1" t="s">
        <v>348</v>
      </c>
      <c r="C195" s="1" t="s">
        <v>481</v>
      </c>
      <c r="D195" s="1" t="s">
        <v>572</v>
      </c>
      <c r="E195" s="1" t="s">
        <v>573</v>
      </c>
      <c r="F195" s="3">
        <v>1</v>
      </c>
      <c r="G195" s="1">
        <v>2035</v>
      </c>
      <c r="H195" s="1" t="s">
        <v>2</v>
      </c>
      <c r="I195" s="3">
        <v>0</v>
      </c>
      <c r="J195" s="3">
        <v>0</v>
      </c>
      <c r="K195" s="3">
        <v>0</v>
      </c>
      <c r="L195" s="3">
        <v>0</v>
      </c>
      <c r="M195" s="3">
        <v>0</v>
      </c>
      <c r="N195" s="3">
        <v>0</v>
      </c>
      <c r="O195" s="3">
        <v>0</v>
      </c>
      <c r="P195" s="3">
        <v>0</v>
      </c>
      <c r="Q195" s="3">
        <v>0</v>
      </c>
      <c r="R195" s="3">
        <v>0</v>
      </c>
      <c r="S195" s="3">
        <v>0</v>
      </c>
    </row>
    <row r="196" spans="1:19" ht="30" x14ac:dyDescent="0.25">
      <c r="A196" s="1" t="s">
        <v>1</v>
      </c>
      <c r="B196" s="1" t="s">
        <v>348</v>
      </c>
      <c r="C196" s="1" t="s">
        <v>481</v>
      </c>
      <c r="D196" s="1" t="s">
        <v>572</v>
      </c>
      <c r="E196" s="1" t="s">
        <v>573</v>
      </c>
      <c r="F196" s="3">
        <v>1</v>
      </c>
      <c r="G196" s="1">
        <v>2036</v>
      </c>
      <c r="H196" s="1" t="s">
        <v>2</v>
      </c>
      <c r="I196" s="3">
        <v>0</v>
      </c>
      <c r="J196" s="3">
        <v>0</v>
      </c>
      <c r="K196" s="3">
        <v>0</v>
      </c>
      <c r="L196" s="3">
        <v>0</v>
      </c>
      <c r="M196" s="3">
        <v>0</v>
      </c>
      <c r="N196" s="3">
        <v>0</v>
      </c>
      <c r="O196" s="3">
        <v>0</v>
      </c>
      <c r="P196" s="3">
        <v>0</v>
      </c>
      <c r="Q196" s="3">
        <v>0</v>
      </c>
      <c r="R196" s="3">
        <v>0</v>
      </c>
      <c r="S196" s="3">
        <v>0</v>
      </c>
    </row>
    <row r="197" spans="1:19" ht="30" x14ac:dyDescent="0.25">
      <c r="A197" s="1" t="s">
        <v>1</v>
      </c>
      <c r="B197" s="1" t="s">
        <v>348</v>
      </c>
      <c r="C197" s="1" t="s">
        <v>481</v>
      </c>
      <c r="D197" s="1" t="s">
        <v>572</v>
      </c>
      <c r="E197" s="1" t="s">
        <v>573</v>
      </c>
      <c r="F197" s="3">
        <v>1</v>
      </c>
      <c r="G197" s="1">
        <v>2037</v>
      </c>
      <c r="H197" s="1" t="s">
        <v>2</v>
      </c>
      <c r="I197" s="3">
        <v>0</v>
      </c>
      <c r="J197" s="3">
        <v>0</v>
      </c>
      <c r="K197" s="3">
        <v>0</v>
      </c>
      <c r="L197" s="3">
        <v>0</v>
      </c>
      <c r="M197" s="3">
        <v>0</v>
      </c>
      <c r="N197" s="3">
        <v>0</v>
      </c>
      <c r="O197" s="3">
        <v>0</v>
      </c>
      <c r="P197" s="3">
        <v>0</v>
      </c>
      <c r="Q197" s="3">
        <v>0</v>
      </c>
      <c r="R197" s="3">
        <v>0</v>
      </c>
      <c r="S197" s="3">
        <v>0</v>
      </c>
    </row>
    <row r="198" spans="1:19" ht="30" x14ac:dyDescent="0.25">
      <c r="A198" s="1" t="s">
        <v>1</v>
      </c>
      <c r="B198" s="1" t="s">
        <v>348</v>
      </c>
      <c r="C198" s="1" t="s">
        <v>481</v>
      </c>
      <c r="D198" s="1" t="s">
        <v>572</v>
      </c>
      <c r="E198" s="1" t="s">
        <v>573</v>
      </c>
      <c r="F198" s="3">
        <v>1</v>
      </c>
      <c r="G198" s="1">
        <v>2038</v>
      </c>
      <c r="H198" s="1" t="s">
        <v>2</v>
      </c>
      <c r="I198" s="3">
        <v>0</v>
      </c>
      <c r="J198" s="3">
        <v>0</v>
      </c>
      <c r="K198" s="3">
        <v>0</v>
      </c>
      <c r="L198" s="3">
        <v>0</v>
      </c>
      <c r="M198" s="3">
        <v>0</v>
      </c>
      <c r="N198" s="3">
        <v>0</v>
      </c>
      <c r="O198" s="3">
        <v>0</v>
      </c>
      <c r="P198" s="3">
        <v>0</v>
      </c>
      <c r="Q198" s="3">
        <v>0</v>
      </c>
      <c r="R198" s="3">
        <v>0</v>
      </c>
      <c r="S198" s="3">
        <v>0</v>
      </c>
    </row>
    <row r="199" spans="1:19" ht="30" x14ac:dyDescent="0.25">
      <c r="A199" s="1" t="s">
        <v>1</v>
      </c>
      <c r="B199" s="1" t="s">
        <v>348</v>
      </c>
      <c r="C199" s="1" t="s">
        <v>481</v>
      </c>
      <c r="D199" s="1" t="s">
        <v>572</v>
      </c>
      <c r="E199" s="1" t="s">
        <v>573</v>
      </c>
      <c r="F199" s="3">
        <v>1</v>
      </c>
      <c r="G199" s="1">
        <v>2039</v>
      </c>
      <c r="H199" s="1" t="s">
        <v>2</v>
      </c>
      <c r="I199" s="3">
        <v>0</v>
      </c>
      <c r="J199" s="3">
        <v>0</v>
      </c>
      <c r="K199" s="3">
        <v>0</v>
      </c>
      <c r="L199" s="3">
        <v>0</v>
      </c>
      <c r="M199" s="3">
        <v>0</v>
      </c>
      <c r="N199" s="3">
        <v>0</v>
      </c>
      <c r="O199" s="3">
        <v>0</v>
      </c>
      <c r="P199" s="3">
        <v>0</v>
      </c>
      <c r="Q199" s="3">
        <v>0</v>
      </c>
      <c r="R199" s="3">
        <v>0</v>
      </c>
      <c r="S199" s="3">
        <v>0</v>
      </c>
    </row>
    <row r="200" spans="1:19" ht="30" x14ac:dyDescent="0.25">
      <c r="A200" s="1" t="s">
        <v>1</v>
      </c>
      <c r="B200" s="1" t="s">
        <v>348</v>
      </c>
      <c r="C200" s="1" t="s">
        <v>481</v>
      </c>
      <c r="D200" s="1" t="s">
        <v>572</v>
      </c>
      <c r="E200" s="1" t="s">
        <v>573</v>
      </c>
      <c r="F200" s="3">
        <v>1</v>
      </c>
      <c r="G200" s="1">
        <v>2040</v>
      </c>
      <c r="H200" s="1" t="s">
        <v>2</v>
      </c>
      <c r="I200" s="3">
        <v>0</v>
      </c>
      <c r="J200" s="3">
        <v>0</v>
      </c>
      <c r="K200" s="3">
        <v>0</v>
      </c>
      <c r="L200" s="3">
        <v>0</v>
      </c>
      <c r="M200" s="3">
        <v>0</v>
      </c>
      <c r="N200" s="3">
        <v>0</v>
      </c>
      <c r="O200" s="3">
        <v>0</v>
      </c>
      <c r="P200" s="3">
        <v>0</v>
      </c>
      <c r="Q200" s="3">
        <v>0</v>
      </c>
      <c r="R200" s="3">
        <v>0</v>
      </c>
      <c r="S200" s="3">
        <v>0</v>
      </c>
    </row>
    <row r="201" spans="1:19" ht="30" x14ac:dyDescent="0.25">
      <c r="A201" s="1" t="s">
        <v>1</v>
      </c>
      <c r="B201" s="1" t="s">
        <v>348</v>
      </c>
      <c r="C201" s="1" t="s">
        <v>481</v>
      </c>
      <c r="D201" s="1" t="s">
        <v>572</v>
      </c>
      <c r="E201" s="1" t="s">
        <v>573</v>
      </c>
      <c r="F201" s="3">
        <v>1</v>
      </c>
      <c r="G201" s="1">
        <v>2041</v>
      </c>
      <c r="H201" s="1" t="s">
        <v>2</v>
      </c>
      <c r="I201" s="3">
        <v>0</v>
      </c>
      <c r="J201" s="3">
        <v>0</v>
      </c>
      <c r="K201" s="3">
        <v>0</v>
      </c>
      <c r="L201" s="3">
        <v>0</v>
      </c>
      <c r="M201" s="3">
        <v>0</v>
      </c>
      <c r="N201" s="3">
        <v>0</v>
      </c>
      <c r="O201" s="3">
        <v>0</v>
      </c>
      <c r="P201" s="3">
        <v>0</v>
      </c>
      <c r="Q201" s="3">
        <v>0</v>
      </c>
      <c r="R201" s="3">
        <v>0</v>
      </c>
      <c r="S201" s="3">
        <v>0</v>
      </c>
    </row>
    <row r="202" spans="1:19" ht="30" x14ac:dyDescent="0.25">
      <c r="A202" s="1" t="s">
        <v>1</v>
      </c>
      <c r="B202" s="1" t="s">
        <v>348</v>
      </c>
      <c r="C202" s="1" t="s">
        <v>481</v>
      </c>
      <c r="D202" s="1" t="s">
        <v>572</v>
      </c>
      <c r="E202" s="1" t="s">
        <v>573</v>
      </c>
      <c r="F202" s="3">
        <v>1</v>
      </c>
      <c r="G202" s="1">
        <v>2042</v>
      </c>
      <c r="H202" s="1" t="s">
        <v>2</v>
      </c>
      <c r="I202" s="3">
        <v>0</v>
      </c>
      <c r="J202" s="3">
        <v>0</v>
      </c>
      <c r="K202" s="3">
        <v>0</v>
      </c>
      <c r="L202" s="3">
        <v>0</v>
      </c>
      <c r="M202" s="3">
        <v>0</v>
      </c>
      <c r="N202" s="3">
        <v>0</v>
      </c>
      <c r="O202" s="3">
        <v>0</v>
      </c>
      <c r="P202" s="3">
        <v>0</v>
      </c>
      <c r="Q202" s="3">
        <v>0</v>
      </c>
      <c r="R202" s="3">
        <v>0</v>
      </c>
      <c r="S202" s="3">
        <v>0</v>
      </c>
    </row>
    <row r="203" spans="1:19" ht="30" x14ac:dyDescent="0.25">
      <c r="A203" s="1" t="s">
        <v>1</v>
      </c>
      <c r="B203" s="1" t="s">
        <v>348</v>
      </c>
      <c r="C203" s="1" t="s">
        <v>481</v>
      </c>
      <c r="D203" s="1" t="s">
        <v>572</v>
      </c>
      <c r="E203" s="1" t="s">
        <v>573</v>
      </c>
      <c r="F203" s="3">
        <v>1</v>
      </c>
      <c r="G203" s="1">
        <v>2043</v>
      </c>
      <c r="H203" s="1" t="s">
        <v>2</v>
      </c>
      <c r="I203" s="3">
        <v>0</v>
      </c>
      <c r="J203" s="3">
        <v>0</v>
      </c>
      <c r="K203" s="3">
        <v>0</v>
      </c>
      <c r="L203" s="3">
        <v>0</v>
      </c>
      <c r="M203" s="3">
        <v>0</v>
      </c>
      <c r="N203" s="3">
        <v>0</v>
      </c>
      <c r="O203" s="3">
        <v>0</v>
      </c>
      <c r="P203" s="3">
        <v>0</v>
      </c>
      <c r="Q203" s="3">
        <v>0</v>
      </c>
      <c r="R203" s="3">
        <v>0</v>
      </c>
      <c r="S203" s="3">
        <v>0</v>
      </c>
    </row>
    <row r="204" spans="1:19" ht="30" x14ac:dyDescent="0.25">
      <c r="A204" s="1" t="s">
        <v>1</v>
      </c>
      <c r="B204" s="1" t="s">
        <v>348</v>
      </c>
      <c r="C204" s="1" t="s">
        <v>481</v>
      </c>
      <c r="D204" s="1" t="s">
        <v>572</v>
      </c>
      <c r="E204" s="1" t="s">
        <v>573</v>
      </c>
      <c r="F204" s="3">
        <v>1</v>
      </c>
      <c r="G204" s="1">
        <v>2044</v>
      </c>
      <c r="H204" s="1" t="s">
        <v>2</v>
      </c>
      <c r="I204" s="3">
        <v>0</v>
      </c>
      <c r="J204" s="3">
        <v>0</v>
      </c>
      <c r="K204" s="3">
        <v>0</v>
      </c>
      <c r="L204" s="3">
        <v>0</v>
      </c>
      <c r="M204" s="3">
        <v>0</v>
      </c>
      <c r="N204" s="3">
        <v>0</v>
      </c>
      <c r="O204" s="3">
        <v>0</v>
      </c>
      <c r="P204" s="3">
        <v>0</v>
      </c>
      <c r="Q204" s="3">
        <v>0</v>
      </c>
      <c r="R204" s="3">
        <v>0</v>
      </c>
      <c r="S204" s="3">
        <v>0</v>
      </c>
    </row>
    <row r="205" spans="1:19" ht="30" x14ac:dyDescent="0.25">
      <c r="A205" s="1" t="s">
        <v>1</v>
      </c>
      <c r="B205" s="1" t="s">
        <v>348</v>
      </c>
      <c r="C205" s="1" t="s">
        <v>481</v>
      </c>
      <c r="D205" s="1" t="s">
        <v>572</v>
      </c>
      <c r="E205" s="1" t="s">
        <v>573</v>
      </c>
      <c r="F205" s="3">
        <v>1</v>
      </c>
      <c r="G205" s="1">
        <v>2045</v>
      </c>
      <c r="H205" s="1" t="s">
        <v>2</v>
      </c>
      <c r="I205" s="3">
        <v>0</v>
      </c>
      <c r="J205" s="3">
        <v>0</v>
      </c>
      <c r="K205" s="3">
        <v>0</v>
      </c>
      <c r="L205" s="3">
        <v>0</v>
      </c>
      <c r="M205" s="3">
        <v>0</v>
      </c>
      <c r="N205" s="3">
        <v>0</v>
      </c>
      <c r="O205" s="3">
        <v>0</v>
      </c>
      <c r="P205" s="3">
        <v>0</v>
      </c>
      <c r="Q205" s="3">
        <v>0</v>
      </c>
      <c r="R205" s="3">
        <v>0</v>
      </c>
      <c r="S205" s="3">
        <v>0</v>
      </c>
    </row>
    <row r="206" spans="1:19" ht="30" x14ac:dyDescent="0.25">
      <c r="A206" s="1" t="s">
        <v>1</v>
      </c>
      <c r="B206" s="1" t="s">
        <v>348</v>
      </c>
      <c r="C206" s="1" t="s">
        <v>481</v>
      </c>
      <c r="D206" s="1" t="s">
        <v>572</v>
      </c>
      <c r="E206" s="1" t="s">
        <v>573</v>
      </c>
      <c r="F206" s="3">
        <v>1</v>
      </c>
      <c r="G206" s="1">
        <v>2046</v>
      </c>
      <c r="H206" s="1" t="s">
        <v>2</v>
      </c>
      <c r="I206" s="3">
        <v>0</v>
      </c>
      <c r="J206" s="3">
        <v>0</v>
      </c>
      <c r="K206" s="3">
        <v>0</v>
      </c>
      <c r="L206" s="3">
        <v>0</v>
      </c>
      <c r="M206" s="3">
        <v>0</v>
      </c>
      <c r="N206" s="3">
        <v>0</v>
      </c>
      <c r="O206" s="3">
        <v>0</v>
      </c>
      <c r="P206" s="3">
        <v>0</v>
      </c>
      <c r="Q206" s="3">
        <v>0</v>
      </c>
      <c r="R206" s="3">
        <v>0</v>
      </c>
      <c r="S206" s="3">
        <v>0</v>
      </c>
    </row>
    <row r="207" spans="1:19" ht="30" x14ac:dyDescent="0.25">
      <c r="A207" s="1" t="s">
        <v>1</v>
      </c>
      <c r="B207" s="1" t="s">
        <v>348</v>
      </c>
      <c r="C207" s="1" t="s">
        <v>481</v>
      </c>
      <c r="D207" s="1" t="s">
        <v>572</v>
      </c>
      <c r="E207" s="1" t="s">
        <v>573</v>
      </c>
      <c r="F207" s="3">
        <v>1</v>
      </c>
      <c r="G207" s="1">
        <v>2047</v>
      </c>
      <c r="H207" s="1" t="s">
        <v>2</v>
      </c>
      <c r="I207" s="3">
        <v>0</v>
      </c>
      <c r="J207" s="3">
        <v>0</v>
      </c>
      <c r="K207" s="3">
        <v>0</v>
      </c>
      <c r="L207" s="3">
        <v>0</v>
      </c>
      <c r="M207" s="3">
        <v>0</v>
      </c>
      <c r="N207" s="3">
        <v>0</v>
      </c>
      <c r="O207" s="3">
        <v>0</v>
      </c>
      <c r="P207" s="3">
        <v>0</v>
      </c>
      <c r="Q207" s="3">
        <v>0</v>
      </c>
      <c r="R207" s="3">
        <v>0</v>
      </c>
      <c r="S207" s="3">
        <v>0</v>
      </c>
    </row>
    <row r="208" spans="1:19" ht="30" x14ac:dyDescent="0.25">
      <c r="A208" s="1" t="s">
        <v>1</v>
      </c>
      <c r="B208" s="1" t="s">
        <v>348</v>
      </c>
      <c r="C208" s="1" t="s">
        <v>481</v>
      </c>
      <c r="D208" s="1" t="s">
        <v>572</v>
      </c>
      <c r="E208" s="1" t="s">
        <v>573</v>
      </c>
      <c r="F208" s="3">
        <v>1</v>
      </c>
      <c r="G208" s="1">
        <v>2048</v>
      </c>
      <c r="H208" s="1" t="s">
        <v>2</v>
      </c>
      <c r="I208" s="3">
        <v>0</v>
      </c>
      <c r="J208" s="3">
        <v>0</v>
      </c>
      <c r="K208" s="3">
        <v>0</v>
      </c>
      <c r="L208" s="3">
        <v>0</v>
      </c>
      <c r="M208" s="3">
        <v>0</v>
      </c>
      <c r="N208" s="3">
        <v>0</v>
      </c>
      <c r="O208" s="3">
        <v>0</v>
      </c>
      <c r="P208" s="3">
        <v>0</v>
      </c>
      <c r="Q208" s="3">
        <v>0</v>
      </c>
      <c r="R208" s="3">
        <v>0</v>
      </c>
      <c r="S208" s="3">
        <v>0</v>
      </c>
    </row>
    <row r="209" spans="1:19" ht="30" x14ac:dyDescent="0.25">
      <c r="A209" s="1" t="s">
        <v>1</v>
      </c>
      <c r="B209" s="1" t="s">
        <v>348</v>
      </c>
      <c r="C209" s="1" t="s">
        <v>481</v>
      </c>
      <c r="D209" s="1" t="s">
        <v>572</v>
      </c>
      <c r="E209" s="1" t="s">
        <v>573</v>
      </c>
      <c r="F209" s="3">
        <v>1</v>
      </c>
      <c r="G209" s="1">
        <v>2049</v>
      </c>
      <c r="H209" s="1" t="s">
        <v>2</v>
      </c>
      <c r="I209" s="3">
        <v>0</v>
      </c>
      <c r="J209" s="3">
        <v>0</v>
      </c>
      <c r="K209" s="3">
        <v>0</v>
      </c>
      <c r="L209" s="3">
        <v>0</v>
      </c>
      <c r="M209" s="3">
        <v>0</v>
      </c>
      <c r="N209" s="3">
        <v>0</v>
      </c>
      <c r="O209" s="3">
        <v>0</v>
      </c>
      <c r="P209" s="3">
        <v>0</v>
      </c>
      <c r="Q209" s="3">
        <v>0</v>
      </c>
      <c r="R209" s="3">
        <v>0</v>
      </c>
      <c r="S209" s="3">
        <v>0</v>
      </c>
    </row>
    <row r="210" spans="1:19" ht="30" x14ac:dyDescent="0.25">
      <c r="A210" s="1" t="s">
        <v>1</v>
      </c>
      <c r="B210" s="1" t="s">
        <v>348</v>
      </c>
      <c r="C210" s="1" t="s">
        <v>481</v>
      </c>
      <c r="D210" s="1" t="s">
        <v>572</v>
      </c>
      <c r="E210" s="1" t="s">
        <v>573</v>
      </c>
      <c r="F210" s="3">
        <v>1</v>
      </c>
      <c r="G210" s="1">
        <v>2050</v>
      </c>
      <c r="H210" s="1" t="s">
        <v>2</v>
      </c>
      <c r="I210" s="3">
        <v>0</v>
      </c>
      <c r="J210" s="3">
        <v>0</v>
      </c>
      <c r="K210" s="3">
        <v>0</v>
      </c>
      <c r="L210" s="3">
        <v>0</v>
      </c>
      <c r="M210" s="3">
        <v>0</v>
      </c>
      <c r="N210" s="3">
        <v>0</v>
      </c>
      <c r="O210" s="3">
        <v>0</v>
      </c>
      <c r="P210" s="3">
        <v>0</v>
      </c>
      <c r="Q210" s="3">
        <v>0</v>
      </c>
      <c r="R210" s="3">
        <v>0</v>
      </c>
      <c r="S210" s="3">
        <v>0</v>
      </c>
    </row>
    <row r="211" spans="1:19" ht="30" x14ac:dyDescent="0.25">
      <c r="A211" s="1" t="s">
        <v>1</v>
      </c>
      <c r="B211" s="1" t="s">
        <v>348</v>
      </c>
      <c r="C211" s="1" t="s">
        <v>481</v>
      </c>
      <c r="D211" s="1" t="s">
        <v>572</v>
      </c>
      <c r="E211" s="1" t="s">
        <v>573</v>
      </c>
      <c r="F211" s="3">
        <v>1</v>
      </c>
      <c r="G211" s="1">
        <v>2051</v>
      </c>
      <c r="H211" s="1" t="s">
        <v>2</v>
      </c>
      <c r="I211" s="3">
        <v>0</v>
      </c>
      <c r="J211" s="3">
        <v>0</v>
      </c>
      <c r="K211" s="3">
        <v>0</v>
      </c>
      <c r="L211" s="3">
        <v>0</v>
      </c>
      <c r="M211" s="3">
        <v>0</v>
      </c>
      <c r="N211" s="3">
        <v>0</v>
      </c>
      <c r="O211" s="3">
        <v>0</v>
      </c>
      <c r="P211" s="3">
        <v>0</v>
      </c>
      <c r="Q211" s="3">
        <v>0</v>
      </c>
      <c r="R211" s="3">
        <v>0</v>
      </c>
      <c r="S211" s="3">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0DB45-9FA0-4327-B467-913FC879B2D2}">
  <sheetPr>
    <tabColor rgb="FFFFC000"/>
  </sheetPr>
  <dimension ref="A1:S181"/>
  <sheetViews>
    <sheetView topLeftCell="C1" workbookViewId="0">
      <selection activeCell="X62" sqref="X62"/>
    </sheetView>
  </sheetViews>
  <sheetFormatPr defaultRowHeight="15" x14ac:dyDescent="0.25"/>
  <cols>
    <col min="1" max="7" width="39" customWidth="1"/>
    <col min="19" max="19" width="11.85546875" customWidth="1"/>
  </cols>
  <sheetData>
    <row r="1" spans="1:19" x14ac:dyDescent="0.25">
      <c r="A1" s="1" t="s">
        <v>43</v>
      </c>
      <c r="B1" s="1" t="s">
        <v>44</v>
      </c>
      <c r="C1" s="1" t="s">
        <v>323</v>
      </c>
      <c r="D1" s="1" t="s">
        <v>324</v>
      </c>
      <c r="E1" s="1" t="s">
        <v>45</v>
      </c>
      <c r="F1" s="1" t="s">
        <v>46</v>
      </c>
      <c r="G1" s="1" t="s">
        <v>0</v>
      </c>
      <c r="H1" s="1" t="s">
        <v>48</v>
      </c>
      <c r="I1" s="1" t="s">
        <v>576</v>
      </c>
      <c r="J1" s="1" t="s">
        <v>61</v>
      </c>
      <c r="K1" s="1" t="s">
        <v>62</v>
      </c>
      <c r="L1" s="1" t="s">
        <v>63</v>
      </c>
      <c r="M1" s="1" t="s">
        <v>64</v>
      </c>
      <c r="N1" s="1" t="s">
        <v>65</v>
      </c>
      <c r="O1" s="1" t="s">
        <v>66</v>
      </c>
      <c r="P1" s="1" t="s">
        <v>67</v>
      </c>
      <c r="Q1" s="1" t="s">
        <v>95</v>
      </c>
      <c r="R1" s="1" t="s">
        <v>96</v>
      </c>
      <c r="S1" s="1" t="s">
        <v>97</v>
      </c>
    </row>
    <row r="2" spans="1:19" x14ac:dyDescent="0.25">
      <c r="A2" s="1" t="s">
        <v>1</v>
      </c>
      <c r="B2" s="1" t="s">
        <v>574</v>
      </c>
      <c r="C2" s="1" t="s">
        <v>474</v>
      </c>
      <c r="D2" s="1" t="s">
        <v>572</v>
      </c>
      <c r="E2" s="1" t="s">
        <v>575</v>
      </c>
      <c r="F2" s="3">
        <v>1</v>
      </c>
      <c r="G2" s="1">
        <v>2022</v>
      </c>
      <c r="H2" s="1" t="s">
        <v>2</v>
      </c>
      <c r="I2" s="3">
        <v>0</v>
      </c>
      <c r="J2" s="3">
        <v>0</v>
      </c>
      <c r="K2" s="3">
        <v>0</v>
      </c>
      <c r="L2" s="3">
        <v>0</v>
      </c>
      <c r="M2" s="3">
        <v>0</v>
      </c>
      <c r="N2" s="3">
        <v>0</v>
      </c>
      <c r="O2" s="3">
        <v>0</v>
      </c>
      <c r="P2" s="3">
        <v>0</v>
      </c>
      <c r="Q2" s="3">
        <v>0</v>
      </c>
      <c r="R2" s="3">
        <v>0</v>
      </c>
      <c r="S2" s="3">
        <v>0</v>
      </c>
    </row>
    <row r="3" spans="1:19" x14ac:dyDescent="0.25">
      <c r="A3" s="1" t="s">
        <v>1</v>
      </c>
      <c r="B3" s="1" t="s">
        <v>574</v>
      </c>
      <c r="C3" s="1" t="s">
        <v>474</v>
      </c>
      <c r="D3" s="1" t="s">
        <v>572</v>
      </c>
      <c r="E3" s="1" t="s">
        <v>575</v>
      </c>
      <c r="F3" s="3">
        <v>1</v>
      </c>
      <c r="G3" s="1">
        <v>2023</v>
      </c>
      <c r="H3" s="1" t="s">
        <v>2</v>
      </c>
      <c r="I3" s="3">
        <v>0</v>
      </c>
      <c r="J3" s="3">
        <v>0</v>
      </c>
      <c r="K3" s="3">
        <v>0</v>
      </c>
      <c r="L3" s="3">
        <v>0</v>
      </c>
      <c r="M3" s="3">
        <v>0</v>
      </c>
      <c r="N3" s="3">
        <v>0</v>
      </c>
      <c r="O3" s="3">
        <v>0</v>
      </c>
      <c r="P3" s="3">
        <v>0</v>
      </c>
      <c r="Q3" s="3">
        <v>0</v>
      </c>
      <c r="R3" s="3">
        <v>0</v>
      </c>
      <c r="S3" s="3">
        <v>0</v>
      </c>
    </row>
    <row r="4" spans="1:19" x14ac:dyDescent="0.25">
      <c r="A4" s="1" t="s">
        <v>1</v>
      </c>
      <c r="B4" s="1" t="s">
        <v>574</v>
      </c>
      <c r="C4" s="1" t="s">
        <v>474</v>
      </c>
      <c r="D4" s="1" t="s">
        <v>572</v>
      </c>
      <c r="E4" s="1" t="s">
        <v>575</v>
      </c>
      <c r="F4" s="3">
        <v>1</v>
      </c>
      <c r="G4" s="1">
        <v>2024</v>
      </c>
      <c r="H4" s="1" t="s">
        <v>2</v>
      </c>
      <c r="I4" s="3">
        <v>0</v>
      </c>
      <c r="J4" s="3">
        <v>0</v>
      </c>
      <c r="K4" s="3">
        <v>0</v>
      </c>
      <c r="L4" s="3">
        <v>0</v>
      </c>
      <c r="M4" s="3">
        <v>0</v>
      </c>
      <c r="N4" s="3">
        <v>0</v>
      </c>
      <c r="O4" s="3">
        <v>0</v>
      </c>
      <c r="P4" s="3">
        <v>0</v>
      </c>
      <c r="Q4" s="3">
        <v>0</v>
      </c>
      <c r="R4" s="3">
        <v>0</v>
      </c>
      <c r="S4" s="3">
        <v>0</v>
      </c>
    </row>
    <row r="5" spans="1:19" x14ac:dyDescent="0.25">
      <c r="A5" s="1" t="s">
        <v>1</v>
      </c>
      <c r="B5" s="1" t="s">
        <v>574</v>
      </c>
      <c r="C5" s="1" t="s">
        <v>474</v>
      </c>
      <c r="D5" s="1" t="s">
        <v>572</v>
      </c>
      <c r="E5" s="1" t="s">
        <v>575</v>
      </c>
      <c r="F5" s="3">
        <v>1</v>
      </c>
      <c r="G5" s="1">
        <v>2025</v>
      </c>
      <c r="H5" s="1" t="s">
        <v>2</v>
      </c>
      <c r="I5" s="3">
        <v>0</v>
      </c>
      <c r="J5" s="3">
        <v>0</v>
      </c>
      <c r="K5" s="3">
        <v>0</v>
      </c>
      <c r="L5" s="3">
        <v>0</v>
      </c>
      <c r="M5" s="3">
        <v>0</v>
      </c>
      <c r="N5" s="3">
        <v>0</v>
      </c>
      <c r="O5" s="3">
        <v>0</v>
      </c>
      <c r="P5" s="3">
        <v>0</v>
      </c>
      <c r="Q5" s="3">
        <v>0</v>
      </c>
      <c r="R5" s="3">
        <v>0</v>
      </c>
      <c r="S5" s="3">
        <v>0</v>
      </c>
    </row>
    <row r="6" spans="1:19" x14ac:dyDescent="0.25">
      <c r="A6" s="1" t="s">
        <v>1</v>
      </c>
      <c r="B6" s="1" t="s">
        <v>574</v>
      </c>
      <c r="C6" s="1" t="s">
        <v>474</v>
      </c>
      <c r="D6" s="1" t="s">
        <v>572</v>
      </c>
      <c r="E6" s="1" t="s">
        <v>575</v>
      </c>
      <c r="F6" s="3">
        <v>1</v>
      </c>
      <c r="G6" s="1">
        <v>2026</v>
      </c>
      <c r="H6" s="1" t="s">
        <v>2</v>
      </c>
      <c r="I6" s="3">
        <v>0</v>
      </c>
      <c r="J6" s="3">
        <v>0</v>
      </c>
      <c r="K6" s="3">
        <v>0</v>
      </c>
      <c r="L6" s="3">
        <v>0</v>
      </c>
      <c r="M6" s="3">
        <v>0</v>
      </c>
      <c r="N6" s="3">
        <v>0</v>
      </c>
      <c r="O6" s="3">
        <v>0</v>
      </c>
      <c r="P6" s="3">
        <v>0</v>
      </c>
      <c r="Q6" s="3">
        <v>0</v>
      </c>
      <c r="R6" s="3">
        <v>0</v>
      </c>
      <c r="S6" s="3">
        <v>0</v>
      </c>
    </row>
    <row r="7" spans="1:19" x14ac:dyDescent="0.25">
      <c r="A7" s="1" t="s">
        <v>1</v>
      </c>
      <c r="B7" s="1" t="s">
        <v>574</v>
      </c>
      <c r="C7" s="1" t="s">
        <v>474</v>
      </c>
      <c r="D7" s="1" t="s">
        <v>572</v>
      </c>
      <c r="E7" s="1" t="s">
        <v>575</v>
      </c>
      <c r="F7" s="3">
        <v>1</v>
      </c>
      <c r="G7" s="1">
        <v>2027</v>
      </c>
      <c r="H7" s="1" t="s">
        <v>2</v>
      </c>
      <c r="I7" s="3">
        <v>0</v>
      </c>
      <c r="J7" s="3">
        <v>0</v>
      </c>
      <c r="K7" s="3">
        <v>0</v>
      </c>
      <c r="L7" s="3">
        <v>0</v>
      </c>
      <c r="M7" s="3">
        <v>0</v>
      </c>
      <c r="N7" s="3">
        <v>0</v>
      </c>
      <c r="O7" s="3">
        <v>0</v>
      </c>
      <c r="P7" s="3">
        <v>0</v>
      </c>
      <c r="Q7" s="3">
        <v>0</v>
      </c>
      <c r="R7" s="3">
        <v>0</v>
      </c>
      <c r="S7" s="3">
        <v>0</v>
      </c>
    </row>
    <row r="8" spans="1:19" x14ac:dyDescent="0.25">
      <c r="A8" s="1" t="s">
        <v>1</v>
      </c>
      <c r="B8" s="1" t="s">
        <v>574</v>
      </c>
      <c r="C8" s="1" t="s">
        <v>474</v>
      </c>
      <c r="D8" s="1" t="s">
        <v>572</v>
      </c>
      <c r="E8" s="1" t="s">
        <v>575</v>
      </c>
      <c r="F8" s="3">
        <v>1</v>
      </c>
      <c r="G8" s="1">
        <v>2028</v>
      </c>
      <c r="H8" s="1" t="s">
        <v>2</v>
      </c>
      <c r="I8" s="3">
        <v>0</v>
      </c>
      <c r="J8" s="3">
        <v>0</v>
      </c>
      <c r="K8" s="3">
        <v>0</v>
      </c>
      <c r="L8" s="3">
        <v>0</v>
      </c>
      <c r="M8" s="3">
        <v>0</v>
      </c>
      <c r="N8" s="3">
        <v>0</v>
      </c>
      <c r="O8" s="3">
        <v>0</v>
      </c>
      <c r="P8" s="3">
        <v>0</v>
      </c>
      <c r="Q8" s="3">
        <v>0</v>
      </c>
      <c r="R8" s="3">
        <v>0</v>
      </c>
      <c r="S8" s="3">
        <v>0</v>
      </c>
    </row>
    <row r="9" spans="1:19" x14ac:dyDescent="0.25">
      <c r="A9" s="1" t="s">
        <v>1</v>
      </c>
      <c r="B9" s="1" t="s">
        <v>574</v>
      </c>
      <c r="C9" s="1" t="s">
        <v>474</v>
      </c>
      <c r="D9" s="1" t="s">
        <v>572</v>
      </c>
      <c r="E9" s="1" t="s">
        <v>575</v>
      </c>
      <c r="F9" s="3">
        <v>1</v>
      </c>
      <c r="G9" s="1">
        <v>2029</v>
      </c>
      <c r="H9" s="1" t="s">
        <v>2</v>
      </c>
      <c r="I9" s="3">
        <v>0</v>
      </c>
      <c r="J9" s="3">
        <v>0</v>
      </c>
      <c r="K9" s="3">
        <v>0</v>
      </c>
      <c r="L9" s="3">
        <v>0</v>
      </c>
      <c r="M9" s="3">
        <v>0</v>
      </c>
      <c r="N9" s="3">
        <v>0</v>
      </c>
      <c r="O9" s="3">
        <v>0</v>
      </c>
      <c r="P9" s="3">
        <v>0</v>
      </c>
      <c r="Q9" s="3">
        <v>0</v>
      </c>
      <c r="R9" s="3">
        <v>0</v>
      </c>
      <c r="S9" s="3">
        <v>0</v>
      </c>
    </row>
    <row r="10" spans="1:19" x14ac:dyDescent="0.25">
      <c r="A10" s="1" t="s">
        <v>1</v>
      </c>
      <c r="B10" s="1" t="s">
        <v>574</v>
      </c>
      <c r="C10" s="1" t="s">
        <v>474</v>
      </c>
      <c r="D10" s="1" t="s">
        <v>572</v>
      </c>
      <c r="E10" s="1" t="s">
        <v>575</v>
      </c>
      <c r="F10" s="3">
        <v>1</v>
      </c>
      <c r="G10" s="1">
        <v>2030</v>
      </c>
      <c r="H10" s="1" t="s">
        <v>2</v>
      </c>
      <c r="I10" s="3">
        <v>0</v>
      </c>
      <c r="J10" s="3">
        <v>0</v>
      </c>
      <c r="K10" s="3">
        <v>0</v>
      </c>
      <c r="L10" s="3">
        <v>0</v>
      </c>
      <c r="M10" s="3">
        <v>0</v>
      </c>
      <c r="N10" s="3">
        <v>0</v>
      </c>
      <c r="O10" s="3">
        <v>0</v>
      </c>
      <c r="P10" s="3">
        <v>0</v>
      </c>
      <c r="Q10" s="3">
        <v>0</v>
      </c>
      <c r="R10" s="3">
        <v>0</v>
      </c>
      <c r="S10" s="3">
        <v>0</v>
      </c>
    </row>
    <row r="11" spans="1:19" x14ac:dyDescent="0.25">
      <c r="A11" s="1" t="s">
        <v>1</v>
      </c>
      <c r="B11" s="1" t="s">
        <v>574</v>
      </c>
      <c r="C11" s="1" t="s">
        <v>474</v>
      </c>
      <c r="D11" s="1" t="s">
        <v>572</v>
      </c>
      <c r="E11" s="1" t="s">
        <v>575</v>
      </c>
      <c r="F11" s="3">
        <v>1</v>
      </c>
      <c r="G11" s="1">
        <v>2031</v>
      </c>
      <c r="H11" s="1" t="s">
        <v>2</v>
      </c>
      <c r="I11" s="3">
        <v>0</v>
      </c>
      <c r="J11" s="3">
        <v>0</v>
      </c>
      <c r="K11" s="3">
        <v>0</v>
      </c>
      <c r="L11" s="3">
        <v>0</v>
      </c>
      <c r="M11" s="3">
        <v>0</v>
      </c>
      <c r="N11" s="3">
        <v>0</v>
      </c>
      <c r="O11" s="3">
        <v>0</v>
      </c>
      <c r="P11" s="3">
        <v>0</v>
      </c>
      <c r="Q11" s="3">
        <v>0</v>
      </c>
      <c r="R11" s="3">
        <v>0</v>
      </c>
      <c r="S11" s="3">
        <v>0</v>
      </c>
    </row>
    <row r="12" spans="1:19" x14ac:dyDescent="0.25">
      <c r="A12" s="1" t="s">
        <v>1</v>
      </c>
      <c r="B12" s="1" t="s">
        <v>574</v>
      </c>
      <c r="C12" s="1" t="s">
        <v>474</v>
      </c>
      <c r="D12" s="1" t="s">
        <v>572</v>
      </c>
      <c r="E12" s="1" t="s">
        <v>575</v>
      </c>
      <c r="F12" s="3">
        <v>1</v>
      </c>
      <c r="G12" s="1">
        <v>2032</v>
      </c>
      <c r="H12" s="1" t="s">
        <v>2</v>
      </c>
      <c r="I12" s="3">
        <v>0</v>
      </c>
      <c r="J12" s="3">
        <v>0</v>
      </c>
      <c r="K12" s="3">
        <v>0</v>
      </c>
      <c r="L12" s="3">
        <v>0</v>
      </c>
      <c r="M12" s="3">
        <v>0</v>
      </c>
      <c r="N12" s="3">
        <v>0</v>
      </c>
      <c r="O12" s="3">
        <v>0</v>
      </c>
      <c r="P12" s="3">
        <v>0</v>
      </c>
      <c r="Q12" s="3">
        <v>0</v>
      </c>
      <c r="R12" s="3">
        <v>0</v>
      </c>
      <c r="S12" s="3">
        <v>0</v>
      </c>
    </row>
    <row r="13" spans="1:19" x14ac:dyDescent="0.25">
      <c r="A13" s="1" t="s">
        <v>1</v>
      </c>
      <c r="B13" s="1" t="s">
        <v>574</v>
      </c>
      <c r="C13" s="1" t="s">
        <v>474</v>
      </c>
      <c r="D13" s="1" t="s">
        <v>572</v>
      </c>
      <c r="E13" s="1" t="s">
        <v>575</v>
      </c>
      <c r="F13" s="3">
        <v>1</v>
      </c>
      <c r="G13" s="1">
        <v>2033</v>
      </c>
      <c r="H13" s="1" t="s">
        <v>2</v>
      </c>
      <c r="I13" s="3">
        <v>0</v>
      </c>
      <c r="J13" s="3">
        <v>0</v>
      </c>
      <c r="K13" s="3">
        <v>0</v>
      </c>
      <c r="L13" s="3">
        <v>0</v>
      </c>
      <c r="M13" s="3">
        <v>0</v>
      </c>
      <c r="N13" s="3">
        <v>0</v>
      </c>
      <c r="O13" s="3">
        <v>0</v>
      </c>
      <c r="P13" s="3">
        <v>0</v>
      </c>
      <c r="Q13" s="3">
        <v>0</v>
      </c>
      <c r="R13" s="3">
        <v>0</v>
      </c>
      <c r="S13" s="3">
        <v>0</v>
      </c>
    </row>
    <row r="14" spans="1:19" x14ac:dyDescent="0.25">
      <c r="A14" s="1" t="s">
        <v>1</v>
      </c>
      <c r="B14" s="1" t="s">
        <v>574</v>
      </c>
      <c r="C14" s="1" t="s">
        <v>474</v>
      </c>
      <c r="D14" s="1" t="s">
        <v>572</v>
      </c>
      <c r="E14" s="1" t="s">
        <v>575</v>
      </c>
      <c r="F14" s="3">
        <v>1</v>
      </c>
      <c r="G14" s="1">
        <v>2034</v>
      </c>
      <c r="H14" s="1" t="s">
        <v>2</v>
      </c>
      <c r="I14" s="3">
        <v>0</v>
      </c>
      <c r="J14" s="3">
        <v>0</v>
      </c>
      <c r="K14" s="3">
        <v>0</v>
      </c>
      <c r="L14" s="3">
        <v>0</v>
      </c>
      <c r="M14" s="3">
        <v>0</v>
      </c>
      <c r="N14" s="3">
        <v>0</v>
      </c>
      <c r="O14" s="3">
        <v>0</v>
      </c>
      <c r="P14" s="3">
        <v>0</v>
      </c>
      <c r="Q14" s="3">
        <v>0</v>
      </c>
      <c r="R14" s="3">
        <v>0</v>
      </c>
      <c r="S14" s="3">
        <v>0</v>
      </c>
    </row>
    <row r="15" spans="1:19" x14ac:dyDescent="0.25">
      <c r="A15" s="1" t="s">
        <v>1</v>
      </c>
      <c r="B15" s="1" t="s">
        <v>574</v>
      </c>
      <c r="C15" s="1" t="s">
        <v>474</v>
      </c>
      <c r="D15" s="1" t="s">
        <v>572</v>
      </c>
      <c r="E15" s="1" t="s">
        <v>575</v>
      </c>
      <c r="F15" s="3">
        <v>1</v>
      </c>
      <c r="G15" s="1">
        <v>2035</v>
      </c>
      <c r="H15" s="1" t="s">
        <v>2</v>
      </c>
      <c r="I15" s="3">
        <v>0</v>
      </c>
      <c r="J15" s="3">
        <v>0</v>
      </c>
      <c r="K15" s="3">
        <v>0</v>
      </c>
      <c r="L15" s="3">
        <v>0</v>
      </c>
      <c r="M15" s="3">
        <v>0</v>
      </c>
      <c r="N15" s="3">
        <v>0</v>
      </c>
      <c r="O15" s="3">
        <v>0</v>
      </c>
      <c r="P15" s="3">
        <v>0</v>
      </c>
      <c r="Q15" s="3">
        <v>0</v>
      </c>
      <c r="R15" s="3">
        <v>0</v>
      </c>
      <c r="S15" s="3">
        <v>0</v>
      </c>
    </row>
    <row r="16" spans="1:19" x14ac:dyDescent="0.25">
      <c r="A16" s="1" t="s">
        <v>1</v>
      </c>
      <c r="B16" s="1" t="s">
        <v>574</v>
      </c>
      <c r="C16" s="1" t="s">
        <v>474</v>
      </c>
      <c r="D16" s="1" t="s">
        <v>572</v>
      </c>
      <c r="E16" s="1" t="s">
        <v>575</v>
      </c>
      <c r="F16" s="3">
        <v>1</v>
      </c>
      <c r="G16" s="1">
        <v>2036</v>
      </c>
      <c r="H16" s="1" t="s">
        <v>2</v>
      </c>
      <c r="I16" s="3">
        <v>0</v>
      </c>
      <c r="J16" s="3">
        <v>0</v>
      </c>
      <c r="K16" s="3">
        <v>0</v>
      </c>
      <c r="L16" s="3">
        <v>0</v>
      </c>
      <c r="M16" s="3">
        <v>0</v>
      </c>
      <c r="N16" s="3">
        <v>0</v>
      </c>
      <c r="O16" s="3">
        <v>0</v>
      </c>
      <c r="P16" s="3">
        <v>0</v>
      </c>
      <c r="Q16" s="3">
        <v>0</v>
      </c>
      <c r="R16" s="3">
        <v>0</v>
      </c>
      <c r="S16" s="3">
        <v>0</v>
      </c>
    </row>
    <row r="17" spans="1:19" x14ac:dyDescent="0.25">
      <c r="A17" s="1" t="s">
        <v>1</v>
      </c>
      <c r="B17" s="1" t="s">
        <v>574</v>
      </c>
      <c r="C17" s="1" t="s">
        <v>474</v>
      </c>
      <c r="D17" s="1" t="s">
        <v>572</v>
      </c>
      <c r="E17" s="1" t="s">
        <v>575</v>
      </c>
      <c r="F17" s="3">
        <v>1</v>
      </c>
      <c r="G17" s="1">
        <v>2037</v>
      </c>
      <c r="H17" s="1" t="s">
        <v>2</v>
      </c>
      <c r="I17" s="3">
        <v>36.010958899999999</v>
      </c>
      <c r="J17" s="3">
        <v>360.10958904</v>
      </c>
      <c r="K17" s="3">
        <v>0</v>
      </c>
      <c r="L17" s="3">
        <v>0</v>
      </c>
      <c r="M17" s="3">
        <v>0</v>
      </c>
      <c r="N17" s="3">
        <v>0</v>
      </c>
      <c r="O17" s="3">
        <v>0</v>
      </c>
      <c r="P17" s="3">
        <v>0</v>
      </c>
      <c r="Q17" s="3">
        <v>0</v>
      </c>
      <c r="R17" s="3">
        <v>0</v>
      </c>
      <c r="S17" s="3">
        <v>0</v>
      </c>
    </row>
    <row r="18" spans="1:19" x14ac:dyDescent="0.25">
      <c r="A18" s="1" t="s">
        <v>1</v>
      </c>
      <c r="B18" s="1" t="s">
        <v>574</v>
      </c>
      <c r="C18" s="1" t="s">
        <v>474</v>
      </c>
      <c r="D18" s="1" t="s">
        <v>572</v>
      </c>
      <c r="E18" s="1" t="s">
        <v>575</v>
      </c>
      <c r="F18" s="3">
        <v>1</v>
      </c>
      <c r="G18" s="1">
        <v>2038</v>
      </c>
      <c r="H18" s="1" t="s">
        <v>2</v>
      </c>
      <c r="I18" s="3">
        <v>0</v>
      </c>
      <c r="J18" s="3">
        <v>0</v>
      </c>
      <c r="K18" s="3">
        <v>0</v>
      </c>
      <c r="L18" s="3">
        <v>0</v>
      </c>
      <c r="M18" s="3">
        <v>0</v>
      </c>
      <c r="N18" s="3">
        <v>0</v>
      </c>
      <c r="O18" s="3">
        <v>0</v>
      </c>
      <c r="P18" s="3">
        <v>0</v>
      </c>
      <c r="Q18" s="3">
        <v>0</v>
      </c>
      <c r="R18" s="3">
        <v>0</v>
      </c>
      <c r="S18" s="3">
        <v>0</v>
      </c>
    </row>
    <row r="19" spans="1:19" x14ac:dyDescent="0.25">
      <c r="A19" s="1" t="s">
        <v>1</v>
      </c>
      <c r="B19" s="1" t="s">
        <v>574</v>
      </c>
      <c r="C19" s="1" t="s">
        <v>474</v>
      </c>
      <c r="D19" s="1" t="s">
        <v>572</v>
      </c>
      <c r="E19" s="1" t="s">
        <v>575</v>
      </c>
      <c r="F19" s="3">
        <v>1</v>
      </c>
      <c r="G19" s="1">
        <v>2039</v>
      </c>
      <c r="H19" s="1" t="s">
        <v>2</v>
      </c>
      <c r="I19" s="3">
        <v>0</v>
      </c>
      <c r="J19" s="3">
        <v>0</v>
      </c>
      <c r="K19" s="3">
        <v>0</v>
      </c>
      <c r="L19" s="3">
        <v>0</v>
      </c>
      <c r="M19" s="3">
        <v>0</v>
      </c>
      <c r="N19" s="3">
        <v>0</v>
      </c>
      <c r="O19" s="3">
        <v>0</v>
      </c>
      <c r="P19" s="3">
        <v>0</v>
      </c>
      <c r="Q19" s="3">
        <v>0</v>
      </c>
      <c r="R19" s="3">
        <v>0</v>
      </c>
      <c r="S19" s="3">
        <v>0</v>
      </c>
    </row>
    <row r="20" spans="1:19" x14ac:dyDescent="0.25">
      <c r="A20" s="1" t="s">
        <v>1</v>
      </c>
      <c r="B20" s="1" t="s">
        <v>574</v>
      </c>
      <c r="C20" s="1" t="s">
        <v>474</v>
      </c>
      <c r="D20" s="1" t="s">
        <v>572</v>
      </c>
      <c r="E20" s="1" t="s">
        <v>575</v>
      </c>
      <c r="F20" s="3">
        <v>1</v>
      </c>
      <c r="G20" s="1">
        <v>2040</v>
      </c>
      <c r="H20" s="1" t="s">
        <v>2</v>
      </c>
      <c r="I20" s="3">
        <v>0</v>
      </c>
      <c r="J20" s="3">
        <v>0</v>
      </c>
      <c r="K20" s="3">
        <v>0</v>
      </c>
      <c r="L20" s="3">
        <v>0</v>
      </c>
      <c r="M20" s="3">
        <v>0</v>
      </c>
      <c r="N20" s="3">
        <v>0</v>
      </c>
      <c r="O20" s="3">
        <v>0</v>
      </c>
      <c r="P20" s="3">
        <v>0</v>
      </c>
      <c r="Q20" s="3">
        <v>0</v>
      </c>
      <c r="R20" s="3">
        <v>0</v>
      </c>
      <c r="S20" s="3">
        <v>0</v>
      </c>
    </row>
    <row r="21" spans="1:19" x14ac:dyDescent="0.25">
      <c r="A21" s="1" t="s">
        <v>1</v>
      </c>
      <c r="B21" s="1" t="s">
        <v>574</v>
      </c>
      <c r="C21" s="1" t="s">
        <v>474</v>
      </c>
      <c r="D21" s="1" t="s">
        <v>572</v>
      </c>
      <c r="E21" s="1" t="s">
        <v>575</v>
      </c>
      <c r="F21" s="3">
        <v>1</v>
      </c>
      <c r="G21" s="1">
        <v>2041</v>
      </c>
      <c r="H21" s="1" t="s">
        <v>2</v>
      </c>
      <c r="I21" s="3">
        <v>0</v>
      </c>
      <c r="J21" s="3">
        <v>0</v>
      </c>
      <c r="K21" s="3">
        <v>0</v>
      </c>
      <c r="L21" s="3">
        <v>0</v>
      </c>
      <c r="M21" s="3">
        <v>0</v>
      </c>
      <c r="N21" s="3">
        <v>0</v>
      </c>
      <c r="O21" s="3">
        <v>0</v>
      </c>
      <c r="P21" s="3">
        <v>0</v>
      </c>
      <c r="Q21" s="3">
        <v>0</v>
      </c>
      <c r="R21" s="3">
        <v>0</v>
      </c>
      <c r="S21" s="3">
        <v>0</v>
      </c>
    </row>
    <row r="22" spans="1:19" x14ac:dyDescent="0.25">
      <c r="A22" s="1" t="s">
        <v>1</v>
      </c>
      <c r="B22" s="1" t="s">
        <v>574</v>
      </c>
      <c r="C22" s="1" t="s">
        <v>474</v>
      </c>
      <c r="D22" s="1" t="s">
        <v>572</v>
      </c>
      <c r="E22" s="1" t="s">
        <v>575</v>
      </c>
      <c r="F22" s="3">
        <v>1</v>
      </c>
      <c r="G22" s="1">
        <v>2042</v>
      </c>
      <c r="H22" s="1" t="s">
        <v>2</v>
      </c>
      <c r="I22" s="3">
        <v>0</v>
      </c>
      <c r="J22" s="3">
        <v>0</v>
      </c>
      <c r="K22" s="3">
        <v>0</v>
      </c>
      <c r="L22" s="3">
        <v>0</v>
      </c>
      <c r="M22" s="3">
        <v>0</v>
      </c>
      <c r="N22" s="3">
        <v>0</v>
      </c>
      <c r="O22" s="3">
        <v>0</v>
      </c>
      <c r="P22" s="3">
        <v>0</v>
      </c>
      <c r="Q22" s="3">
        <v>0</v>
      </c>
      <c r="R22" s="3">
        <v>0</v>
      </c>
      <c r="S22" s="3">
        <v>0</v>
      </c>
    </row>
    <row r="23" spans="1:19" x14ac:dyDescent="0.25">
      <c r="A23" s="1" t="s">
        <v>1</v>
      </c>
      <c r="B23" s="1" t="s">
        <v>574</v>
      </c>
      <c r="C23" s="1" t="s">
        <v>474</v>
      </c>
      <c r="D23" s="1" t="s">
        <v>572</v>
      </c>
      <c r="E23" s="1" t="s">
        <v>575</v>
      </c>
      <c r="F23" s="3">
        <v>1</v>
      </c>
      <c r="G23" s="1">
        <v>2043</v>
      </c>
      <c r="H23" s="1" t="s">
        <v>2</v>
      </c>
      <c r="I23" s="3">
        <v>0</v>
      </c>
      <c r="J23" s="3">
        <v>0</v>
      </c>
      <c r="K23" s="3">
        <v>0</v>
      </c>
      <c r="L23" s="3">
        <v>0</v>
      </c>
      <c r="M23" s="3">
        <v>0</v>
      </c>
      <c r="N23" s="3">
        <v>0</v>
      </c>
      <c r="O23" s="3">
        <v>0</v>
      </c>
      <c r="P23" s="3">
        <v>0</v>
      </c>
      <c r="Q23" s="3">
        <v>0</v>
      </c>
      <c r="R23" s="3">
        <v>0</v>
      </c>
      <c r="S23" s="3">
        <v>0</v>
      </c>
    </row>
    <row r="24" spans="1:19" x14ac:dyDescent="0.25">
      <c r="A24" s="1" t="s">
        <v>1</v>
      </c>
      <c r="B24" s="1" t="s">
        <v>574</v>
      </c>
      <c r="C24" s="1" t="s">
        <v>474</v>
      </c>
      <c r="D24" s="1" t="s">
        <v>572</v>
      </c>
      <c r="E24" s="1" t="s">
        <v>575</v>
      </c>
      <c r="F24" s="3">
        <v>1</v>
      </c>
      <c r="G24" s="1">
        <v>2044</v>
      </c>
      <c r="H24" s="1" t="s">
        <v>2</v>
      </c>
      <c r="I24" s="3">
        <v>0</v>
      </c>
      <c r="J24" s="3">
        <v>0</v>
      </c>
      <c r="K24" s="3">
        <v>0</v>
      </c>
      <c r="L24" s="3">
        <v>0</v>
      </c>
      <c r="M24" s="3">
        <v>0</v>
      </c>
      <c r="N24" s="3">
        <v>0</v>
      </c>
      <c r="O24" s="3">
        <v>0</v>
      </c>
      <c r="P24" s="3">
        <v>0</v>
      </c>
      <c r="Q24" s="3">
        <v>0</v>
      </c>
      <c r="R24" s="3">
        <v>0</v>
      </c>
      <c r="S24" s="3">
        <v>0</v>
      </c>
    </row>
    <row r="25" spans="1:19" x14ac:dyDescent="0.25">
      <c r="A25" s="1" t="s">
        <v>1</v>
      </c>
      <c r="B25" s="1" t="s">
        <v>574</v>
      </c>
      <c r="C25" s="1" t="s">
        <v>474</v>
      </c>
      <c r="D25" s="1" t="s">
        <v>572</v>
      </c>
      <c r="E25" s="1" t="s">
        <v>575</v>
      </c>
      <c r="F25" s="3">
        <v>1</v>
      </c>
      <c r="G25" s="1">
        <v>2045</v>
      </c>
      <c r="H25" s="1" t="s">
        <v>2</v>
      </c>
      <c r="I25" s="3">
        <v>0</v>
      </c>
      <c r="J25" s="3">
        <v>0</v>
      </c>
      <c r="K25" s="3">
        <v>0</v>
      </c>
      <c r="L25" s="3">
        <v>0</v>
      </c>
      <c r="M25" s="3">
        <v>0</v>
      </c>
      <c r="N25" s="3">
        <v>0</v>
      </c>
      <c r="O25" s="3">
        <v>0</v>
      </c>
      <c r="P25" s="3">
        <v>0</v>
      </c>
      <c r="Q25" s="3">
        <v>0</v>
      </c>
      <c r="R25" s="3">
        <v>0</v>
      </c>
      <c r="S25" s="3">
        <v>0</v>
      </c>
    </row>
    <row r="26" spans="1:19" x14ac:dyDescent="0.25">
      <c r="A26" s="1" t="s">
        <v>1</v>
      </c>
      <c r="B26" s="1" t="s">
        <v>574</v>
      </c>
      <c r="C26" s="1" t="s">
        <v>474</v>
      </c>
      <c r="D26" s="1" t="s">
        <v>572</v>
      </c>
      <c r="E26" s="1" t="s">
        <v>575</v>
      </c>
      <c r="F26" s="3">
        <v>1</v>
      </c>
      <c r="G26" s="1">
        <v>2046</v>
      </c>
      <c r="H26" s="1" t="s">
        <v>2</v>
      </c>
      <c r="I26" s="3">
        <v>0</v>
      </c>
      <c r="J26" s="3">
        <v>0</v>
      </c>
      <c r="K26" s="3">
        <v>0</v>
      </c>
      <c r="L26" s="3">
        <v>0</v>
      </c>
      <c r="M26" s="3">
        <v>0</v>
      </c>
      <c r="N26" s="3">
        <v>0</v>
      </c>
      <c r="O26" s="3">
        <v>0</v>
      </c>
      <c r="P26" s="3">
        <v>0</v>
      </c>
      <c r="Q26" s="3">
        <v>0</v>
      </c>
      <c r="R26" s="3">
        <v>0</v>
      </c>
      <c r="S26" s="3">
        <v>0</v>
      </c>
    </row>
    <row r="27" spans="1:19" x14ac:dyDescent="0.25">
      <c r="A27" s="1" t="s">
        <v>1</v>
      </c>
      <c r="B27" s="1" t="s">
        <v>574</v>
      </c>
      <c r="C27" s="1" t="s">
        <v>474</v>
      </c>
      <c r="D27" s="1" t="s">
        <v>572</v>
      </c>
      <c r="E27" s="1" t="s">
        <v>575</v>
      </c>
      <c r="F27" s="3">
        <v>1</v>
      </c>
      <c r="G27" s="1">
        <v>2047</v>
      </c>
      <c r="H27" s="1" t="s">
        <v>2</v>
      </c>
      <c r="I27" s="3">
        <v>0</v>
      </c>
      <c r="J27" s="3">
        <v>0</v>
      </c>
      <c r="K27" s="3">
        <v>0</v>
      </c>
      <c r="L27" s="3">
        <v>0</v>
      </c>
      <c r="M27" s="3">
        <v>0</v>
      </c>
      <c r="N27" s="3">
        <v>0</v>
      </c>
      <c r="O27" s="3">
        <v>0</v>
      </c>
      <c r="P27" s="3">
        <v>0</v>
      </c>
      <c r="Q27" s="3">
        <v>0</v>
      </c>
      <c r="R27" s="3">
        <v>0</v>
      </c>
      <c r="S27" s="3">
        <v>0</v>
      </c>
    </row>
    <row r="28" spans="1:19" x14ac:dyDescent="0.25">
      <c r="A28" s="1" t="s">
        <v>1</v>
      </c>
      <c r="B28" s="1" t="s">
        <v>574</v>
      </c>
      <c r="C28" s="1" t="s">
        <v>474</v>
      </c>
      <c r="D28" s="1" t="s">
        <v>572</v>
      </c>
      <c r="E28" s="1" t="s">
        <v>575</v>
      </c>
      <c r="F28" s="3">
        <v>1</v>
      </c>
      <c r="G28" s="1">
        <v>2048</v>
      </c>
      <c r="H28" s="1" t="s">
        <v>2</v>
      </c>
      <c r="I28" s="3">
        <v>0</v>
      </c>
      <c r="J28" s="3">
        <v>0</v>
      </c>
      <c r="K28" s="3">
        <v>0</v>
      </c>
      <c r="L28" s="3">
        <v>0</v>
      </c>
      <c r="M28" s="3">
        <v>0</v>
      </c>
      <c r="N28" s="3">
        <v>0</v>
      </c>
      <c r="O28" s="3">
        <v>0</v>
      </c>
      <c r="P28" s="3">
        <v>0</v>
      </c>
      <c r="Q28" s="3">
        <v>0</v>
      </c>
      <c r="R28" s="3">
        <v>0</v>
      </c>
      <c r="S28" s="3">
        <v>0</v>
      </c>
    </row>
    <row r="29" spans="1:19" x14ac:dyDescent="0.25">
      <c r="A29" s="1" t="s">
        <v>1</v>
      </c>
      <c r="B29" s="1" t="s">
        <v>574</v>
      </c>
      <c r="C29" s="1" t="s">
        <v>474</v>
      </c>
      <c r="D29" s="1" t="s">
        <v>572</v>
      </c>
      <c r="E29" s="1" t="s">
        <v>575</v>
      </c>
      <c r="F29" s="3">
        <v>1</v>
      </c>
      <c r="G29" s="1">
        <v>2049</v>
      </c>
      <c r="H29" s="1" t="s">
        <v>2</v>
      </c>
      <c r="I29" s="3">
        <v>0</v>
      </c>
      <c r="J29" s="3">
        <v>0</v>
      </c>
      <c r="K29" s="3">
        <v>0</v>
      </c>
      <c r="L29" s="3">
        <v>0</v>
      </c>
      <c r="M29" s="3">
        <v>0</v>
      </c>
      <c r="N29" s="3">
        <v>0</v>
      </c>
      <c r="O29" s="3">
        <v>0</v>
      </c>
      <c r="P29" s="3">
        <v>0</v>
      </c>
      <c r="Q29" s="3">
        <v>0</v>
      </c>
      <c r="R29" s="3">
        <v>0</v>
      </c>
      <c r="S29" s="3">
        <v>0</v>
      </c>
    </row>
    <row r="30" spans="1:19" x14ac:dyDescent="0.25">
      <c r="A30" s="1" t="s">
        <v>1</v>
      </c>
      <c r="B30" s="1" t="s">
        <v>574</v>
      </c>
      <c r="C30" s="1" t="s">
        <v>474</v>
      </c>
      <c r="D30" s="1" t="s">
        <v>572</v>
      </c>
      <c r="E30" s="1" t="s">
        <v>575</v>
      </c>
      <c r="F30" s="3">
        <v>1</v>
      </c>
      <c r="G30" s="1">
        <v>2050</v>
      </c>
      <c r="H30" s="1" t="s">
        <v>2</v>
      </c>
      <c r="I30" s="3">
        <v>0</v>
      </c>
      <c r="J30" s="3">
        <v>0</v>
      </c>
      <c r="K30" s="3">
        <v>0</v>
      </c>
      <c r="L30" s="3">
        <v>0</v>
      </c>
      <c r="M30" s="3">
        <v>0</v>
      </c>
      <c r="N30" s="3">
        <v>0</v>
      </c>
      <c r="O30" s="3">
        <v>0</v>
      </c>
      <c r="P30" s="3">
        <v>0</v>
      </c>
      <c r="Q30" s="3">
        <v>0</v>
      </c>
      <c r="R30" s="3">
        <v>0</v>
      </c>
      <c r="S30" s="3">
        <v>0</v>
      </c>
    </row>
    <row r="31" spans="1:19" x14ac:dyDescent="0.25">
      <c r="A31" s="1" t="s">
        <v>1</v>
      </c>
      <c r="B31" s="1" t="s">
        <v>574</v>
      </c>
      <c r="C31" s="1" t="s">
        <v>474</v>
      </c>
      <c r="D31" s="1" t="s">
        <v>572</v>
      </c>
      <c r="E31" s="1" t="s">
        <v>575</v>
      </c>
      <c r="F31" s="3">
        <v>1</v>
      </c>
      <c r="G31" s="1">
        <v>2051</v>
      </c>
      <c r="H31" s="1" t="s">
        <v>2</v>
      </c>
      <c r="I31" s="3">
        <v>0</v>
      </c>
      <c r="J31" s="3">
        <v>0</v>
      </c>
      <c r="K31" s="3">
        <v>0</v>
      </c>
      <c r="L31" s="3">
        <v>0</v>
      </c>
      <c r="M31" s="3">
        <v>0</v>
      </c>
      <c r="N31" s="3">
        <v>0</v>
      </c>
      <c r="O31" s="3">
        <v>0</v>
      </c>
      <c r="P31" s="3">
        <v>0</v>
      </c>
      <c r="Q31" s="3">
        <v>0</v>
      </c>
      <c r="R31" s="3">
        <v>0</v>
      </c>
      <c r="S31" s="3">
        <v>0</v>
      </c>
    </row>
    <row r="32" spans="1:19" x14ac:dyDescent="0.25">
      <c r="A32" s="1" t="s">
        <v>1</v>
      </c>
      <c r="B32" s="1" t="s">
        <v>574</v>
      </c>
      <c r="C32" s="1" t="s">
        <v>470</v>
      </c>
      <c r="D32" s="1" t="s">
        <v>572</v>
      </c>
      <c r="E32" s="1" t="s">
        <v>575</v>
      </c>
      <c r="F32" s="3">
        <v>1</v>
      </c>
      <c r="G32" s="1">
        <v>2022</v>
      </c>
      <c r="H32" s="1" t="s">
        <v>2</v>
      </c>
      <c r="I32" s="3">
        <v>0</v>
      </c>
      <c r="J32" s="3">
        <v>0</v>
      </c>
      <c r="K32" s="3">
        <v>0</v>
      </c>
      <c r="L32" s="3">
        <v>0</v>
      </c>
      <c r="M32" s="3">
        <v>0</v>
      </c>
      <c r="N32" s="3">
        <v>0</v>
      </c>
      <c r="O32" s="3">
        <v>0</v>
      </c>
      <c r="P32" s="3">
        <v>0</v>
      </c>
      <c r="Q32" s="3">
        <v>0</v>
      </c>
      <c r="R32" s="3">
        <v>0</v>
      </c>
      <c r="S32" s="3">
        <v>0</v>
      </c>
    </row>
    <row r="33" spans="1:19" x14ac:dyDescent="0.25">
      <c r="A33" s="1" t="s">
        <v>1</v>
      </c>
      <c r="B33" s="1" t="s">
        <v>574</v>
      </c>
      <c r="C33" s="1" t="s">
        <v>470</v>
      </c>
      <c r="D33" s="1" t="s">
        <v>572</v>
      </c>
      <c r="E33" s="1" t="s">
        <v>575</v>
      </c>
      <c r="F33" s="3">
        <v>1</v>
      </c>
      <c r="G33" s="1">
        <v>2023</v>
      </c>
      <c r="H33" s="1" t="s">
        <v>2</v>
      </c>
      <c r="I33" s="3">
        <v>0</v>
      </c>
      <c r="J33" s="3">
        <v>0</v>
      </c>
      <c r="K33" s="3">
        <v>0</v>
      </c>
      <c r="L33" s="3">
        <v>0</v>
      </c>
      <c r="M33" s="3">
        <v>0</v>
      </c>
      <c r="N33" s="3">
        <v>0</v>
      </c>
      <c r="O33" s="3">
        <v>0</v>
      </c>
      <c r="P33" s="3">
        <v>0</v>
      </c>
      <c r="Q33" s="3">
        <v>0</v>
      </c>
      <c r="R33" s="3">
        <v>0</v>
      </c>
      <c r="S33" s="3">
        <v>0</v>
      </c>
    </row>
    <row r="34" spans="1:19" x14ac:dyDescent="0.25">
      <c r="A34" s="1" t="s">
        <v>1</v>
      </c>
      <c r="B34" s="1" t="s">
        <v>574</v>
      </c>
      <c r="C34" s="1" t="s">
        <v>470</v>
      </c>
      <c r="D34" s="1" t="s">
        <v>572</v>
      </c>
      <c r="E34" s="1" t="s">
        <v>575</v>
      </c>
      <c r="F34" s="3">
        <v>1</v>
      </c>
      <c r="G34" s="1">
        <v>2024</v>
      </c>
      <c r="H34" s="1" t="s">
        <v>2</v>
      </c>
      <c r="I34" s="3">
        <v>0</v>
      </c>
      <c r="J34" s="3">
        <v>0</v>
      </c>
      <c r="K34" s="3">
        <v>0</v>
      </c>
      <c r="L34" s="3">
        <v>0</v>
      </c>
      <c r="M34" s="3">
        <v>0</v>
      </c>
      <c r="N34" s="3">
        <v>0</v>
      </c>
      <c r="O34" s="3">
        <v>0</v>
      </c>
      <c r="P34" s="3">
        <v>0</v>
      </c>
      <c r="Q34" s="3">
        <v>0</v>
      </c>
      <c r="R34" s="3">
        <v>0</v>
      </c>
      <c r="S34" s="3">
        <v>0</v>
      </c>
    </row>
    <row r="35" spans="1:19" x14ac:dyDescent="0.25">
      <c r="A35" s="1" t="s">
        <v>1</v>
      </c>
      <c r="B35" s="1" t="s">
        <v>574</v>
      </c>
      <c r="C35" s="1" t="s">
        <v>470</v>
      </c>
      <c r="D35" s="1" t="s">
        <v>572</v>
      </c>
      <c r="E35" s="1" t="s">
        <v>575</v>
      </c>
      <c r="F35" s="3">
        <v>1</v>
      </c>
      <c r="G35" s="1">
        <v>2025</v>
      </c>
      <c r="H35" s="1" t="s">
        <v>2</v>
      </c>
      <c r="I35" s="3">
        <v>0</v>
      </c>
      <c r="J35" s="3">
        <v>0</v>
      </c>
      <c r="K35" s="3">
        <v>0</v>
      </c>
      <c r="L35" s="3">
        <v>0</v>
      </c>
      <c r="M35" s="3">
        <v>0</v>
      </c>
      <c r="N35" s="3">
        <v>0</v>
      </c>
      <c r="O35" s="3">
        <v>0</v>
      </c>
      <c r="P35" s="3">
        <v>0</v>
      </c>
      <c r="Q35" s="3">
        <v>0</v>
      </c>
      <c r="R35" s="3">
        <v>0</v>
      </c>
      <c r="S35" s="3">
        <v>0</v>
      </c>
    </row>
    <row r="36" spans="1:19" x14ac:dyDescent="0.25">
      <c r="A36" s="1" t="s">
        <v>1</v>
      </c>
      <c r="B36" s="1" t="s">
        <v>574</v>
      </c>
      <c r="C36" s="1" t="s">
        <v>470</v>
      </c>
      <c r="D36" s="1" t="s">
        <v>572</v>
      </c>
      <c r="E36" s="1" t="s">
        <v>575</v>
      </c>
      <c r="F36" s="3">
        <v>1</v>
      </c>
      <c r="G36" s="1">
        <v>2026</v>
      </c>
      <c r="H36" s="1" t="s">
        <v>2</v>
      </c>
      <c r="I36" s="3">
        <v>0</v>
      </c>
      <c r="J36" s="3">
        <v>0</v>
      </c>
      <c r="K36" s="3">
        <v>0</v>
      </c>
      <c r="L36" s="3">
        <v>0</v>
      </c>
      <c r="M36" s="3">
        <v>0</v>
      </c>
      <c r="N36" s="3">
        <v>0</v>
      </c>
      <c r="O36" s="3">
        <v>0</v>
      </c>
      <c r="P36" s="3">
        <v>0</v>
      </c>
      <c r="Q36" s="3">
        <v>0</v>
      </c>
      <c r="R36" s="3">
        <v>0</v>
      </c>
      <c r="S36" s="3">
        <v>0</v>
      </c>
    </row>
    <row r="37" spans="1:19" x14ac:dyDescent="0.25">
      <c r="A37" s="1" t="s">
        <v>1</v>
      </c>
      <c r="B37" s="1" t="s">
        <v>574</v>
      </c>
      <c r="C37" s="1" t="s">
        <v>470</v>
      </c>
      <c r="D37" s="1" t="s">
        <v>572</v>
      </c>
      <c r="E37" s="1" t="s">
        <v>575</v>
      </c>
      <c r="F37" s="3">
        <v>1</v>
      </c>
      <c r="G37" s="1">
        <v>2027</v>
      </c>
      <c r="H37" s="1" t="s">
        <v>2</v>
      </c>
      <c r="I37" s="3">
        <v>0</v>
      </c>
      <c r="J37" s="3">
        <v>0</v>
      </c>
      <c r="K37" s="3">
        <v>0</v>
      </c>
      <c r="L37" s="3">
        <v>0</v>
      </c>
      <c r="M37" s="3">
        <v>0</v>
      </c>
      <c r="N37" s="3">
        <v>0</v>
      </c>
      <c r="O37" s="3">
        <v>0</v>
      </c>
      <c r="P37" s="3">
        <v>0</v>
      </c>
      <c r="Q37" s="3">
        <v>0</v>
      </c>
      <c r="R37" s="3">
        <v>0</v>
      </c>
      <c r="S37" s="3">
        <v>0</v>
      </c>
    </row>
    <row r="38" spans="1:19" x14ac:dyDescent="0.25">
      <c r="A38" s="1" t="s">
        <v>1</v>
      </c>
      <c r="B38" s="1" t="s">
        <v>574</v>
      </c>
      <c r="C38" s="1" t="s">
        <v>470</v>
      </c>
      <c r="D38" s="1" t="s">
        <v>572</v>
      </c>
      <c r="E38" s="1" t="s">
        <v>575</v>
      </c>
      <c r="F38" s="3">
        <v>1</v>
      </c>
      <c r="G38" s="1">
        <v>2028</v>
      </c>
      <c r="H38" s="1" t="s">
        <v>2</v>
      </c>
      <c r="I38" s="3">
        <v>0</v>
      </c>
      <c r="J38" s="3">
        <v>0</v>
      </c>
      <c r="K38" s="3">
        <v>0</v>
      </c>
      <c r="L38" s="3">
        <v>0</v>
      </c>
      <c r="M38" s="3">
        <v>0</v>
      </c>
      <c r="N38" s="3">
        <v>0</v>
      </c>
      <c r="O38" s="3">
        <v>0</v>
      </c>
      <c r="P38" s="3">
        <v>0</v>
      </c>
      <c r="Q38" s="3">
        <v>0</v>
      </c>
      <c r="R38" s="3">
        <v>0</v>
      </c>
      <c r="S38" s="3">
        <v>0</v>
      </c>
    </row>
    <row r="39" spans="1:19" x14ac:dyDescent="0.25">
      <c r="A39" s="1" t="s">
        <v>1</v>
      </c>
      <c r="B39" s="1" t="s">
        <v>574</v>
      </c>
      <c r="C39" s="1" t="s">
        <v>470</v>
      </c>
      <c r="D39" s="1" t="s">
        <v>572</v>
      </c>
      <c r="E39" s="1" t="s">
        <v>575</v>
      </c>
      <c r="F39" s="3">
        <v>1</v>
      </c>
      <c r="G39" s="1">
        <v>2029</v>
      </c>
      <c r="H39" s="1" t="s">
        <v>2</v>
      </c>
      <c r="I39" s="3">
        <v>0</v>
      </c>
      <c r="J39" s="3">
        <v>0</v>
      </c>
      <c r="K39" s="3">
        <v>0</v>
      </c>
      <c r="L39" s="3">
        <v>0</v>
      </c>
      <c r="M39" s="3">
        <v>0</v>
      </c>
      <c r="N39" s="3">
        <v>0</v>
      </c>
      <c r="O39" s="3">
        <v>0</v>
      </c>
      <c r="P39" s="3">
        <v>0</v>
      </c>
      <c r="Q39" s="3">
        <v>0</v>
      </c>
      <c r="R39" s="3">
        <v>0</v>
      </c>
      <c r="S39" s="3">
        <v>0</v>
      </c>
    </row>
    <row r="40" spans="1:19" x14ac:dyDescent="0.25">
      <c r="A40" s="1" t="s">
        <v>1</v>
      </c>
      <c r="B40" s="1" t="s">
        <v>574</v>
      </c>
      <c r="C40" s="1" t="s">
        <v>470</v>
      </c>
      <c r="D40" s="1" t="s">
        <v>572</v>
      </c>
      <c r="E40" s="1" t="s">
        <v>575</v>
      </c>
      <c r="F40" s="3">
        <v>1</v>
      </c>
      <c r="G40" s="1">
        <v>2030</v>
      </c>
      <c r="H40" s="1" t="s">
        <v>2</v>
      </c>
      <c r="I40" s="3">
        <v>0</v>
      </c>
      <c r="J40" s="3">
        <v>0</v>
      </c>
      <c r="K40" s="3">
        <v>0</v>
      </c>
      <c r="L40" s="3">
        <v>0</v>
      </c>
      <c r="M40" s="3">
        <v>0</v>
      </c>
      <c r="N40" s="3">
        <v>0</v>
      </c>
      <c r="O40" s="3">
        <v>0</v>
      </c>
      <c r="P40" s="3">
        <v>0</v>
      </c>
      <c r="Q40" s="3">
        <v>0</v>
      </c>
      <c r="R40" s="3">
        <v>0</v>
      </c>
      <c r="S40" s="3">
        <v>0</v>
      </c>
    </row>
    <row r="41" spans="1:19" x14ac:dyDescent="0.25">
      <c r="A41" s="1" t="s">
        <v>1</v>
      </c>
      <c r="B41" s="1" t="s">
        <v>574</v>
      </c>
      <c r="C41" s="1" t="s">
        <v>470</v>
      </c>
      <c r="D41" s="1" t="s">
        <v>572</v>
      </c>
      <c r="E41" s="1" t="s">
        <v>575</v>
      </c>
      <c r="F41" s="3">
        <v>1</v>
      </c>
      <c r="G41" s="1">
        <v>2031</v>
      </c>
      <c r="H41" s="1" t="s">
        <v>2</v>
      </c>
      <c r="I41" s="3">
        <v>0</v>
      </c>
      <c r="J41" s="3">
        <v>0</v>
      </c>
      <c r="K41" s="3">
        <v>0</v>
      </c>
      <c r="L41" s="3">
        <v>0</v>
      </c>
      <c r="M41" s="3">
        <v>0</v>
      </c>
      <c r="N41" s="3">
        <v>0</v>
      </c>
      <c r="O41" s="3">
        <v>0</v>
      </c>
      <c r="P41" s="3">
        <v>0</v>
      </c>
      <c r="Q41" s="3">
        <v>0</v>
      </c>
      <c r="R41" s="3">
        <v>0</v>
      </c>
      <c r="S41" s="3">
        <v>0</v>
      </c>
    </row>
    <row r="42" spans="1:19" x14ac:dyDescent="0.25">
      <c r="A42" s="1" t="s">
        <v>1</v>
      </c>
      <c r="B42" s="1" t="s">
        <v>574</v>
      </c>
      <c r="C42" s="1" t="s">
        <v>470</v>
      </c>
      <c r="D42" s="1" t="s">
        <v>572</v>
      </c>
      <c r="E42" s="1" t="s">
        <v>575</v>
      </c>
      <c r="F42" s="3">
        <v>1</v>
      </c>
      <c r="G42" s="1">
        <v>2032</v>
      </c>
      <c r="H42" s="1" t="s">
        <v>2</v>
      </c>
      <c r="I42" s="3">
        <v>0</v>
      </c>
      <c r="J42" s="3">
        <v>0</v>
      </c>
      <c r="K42" s="3">
        <v>0</v>
      </c>
      <c r="L42" s="3">
        <v>0</v>
      </c>
      <c r="M42" s="3">
        <v>0</v>
      </c>
      <c r="N42" s="3">
        <v>0</v>
      </c>
      <c r="O42" s="3">
        <v>0</v>
      </c>
      <c r="P42" s="3">
        <v>0</v>
      </c>
      <c r="Q42" s="3">
        <v>0</v>
      </c>
      <c r="R42" s="3">
        <v>0</v>
      </c>
      <c r="S42" s="3">
        <v>0</v>
      </c>
    </row>
    <row r="43" spans="1:19" x14ac:dyDescent="0.25">
      <c r="A43" s="1" t="s">
        <v>1</v>
      </c>
      <c r="B43" s="1" t="s">
        <v>574</v>
      </c>
      <c r="C43" s="1" t="s">
        <v>470</v>
      </c>
      <c r="D43" s="1" t="s">
        <v>572</v>
      </c>
      <c r="E43" s="1" t="s">
        <v>575</v>
      </c>
      <c r="F43" s="3">
        <v>1</v>
      </c>
      <c r="G43" s="1">
        <v>2033</v>
      </c>
      <c r="H43" s="1" t="s">
        <v>2</v>
      </c>
      <c r="I43" s="3">
        <v>0</v>
      </c>
      <c r="J43" s="3">
        <v>0</v>
      </c>
      <c r="K43" s="3">
        <v>0</v>
      </c>
      <c r="L43" s="3">
        <v>0</v>
      </c>
      <c r="M43" s="3">
        <v>0</v>
      </c>
      <c r="N43" s="3">
        <v>0</v>
      </c>
      <c r="O43" s="3">
        <v>0</v>
      </c>
      <c r="P43" s="3">
        <v>0</v>
      </c>
      <c r="Q43" s="3">
        <v>0</v>
      </c>
      <c r="R43" s="3">
        <v>0</v>
      </c>
      <c r="S43" s="3">
        <v>0</v>
      </c>
    </row>
    <row r="44" spans="1:19" x14ac:dyDescent="0.25">
      <c r="A44" s="1" t="s">
        <v>1</v>
      </c>
      <c r="B44" s="1" t="s">
        <v>574</v>
      </c>
      <c r="C44" s="1" t="s">
        <v>470</v>
      </c>
      <c r="D44" s="1" t="s">
        <v>572</v>
      </c>
      <c r="E44" s="1" t="s">
        <v>575</v>
      </c>
      <c r="F44" s="3">
        <v>1</v>
      </c>
      <c r="G44" s="1">
        <v>2034</v>
      </c>
      <c r="H44" s="1" t="s">
        <v>2</v>
      </c>
      <c r="I44" s="3">
        <v>0</v>
      </c>
      <c r="J44" s="3">
        <v>0</v>
      </c>
      <c r="K44" s="3">
        <v>0</v>
      </c>
      <c r="L44" s="3">
        <v>0</v>
      </c>
      <c r="M44" s="3">
        <v>0</v>
      </c>
      <c r="N44" s="3">
        <v>0</v>
      </c>
      <c r="O44" s="3">
        <v>0</v>
      </c>
      <c r="P44" s="3">
        <v>0</v>
      </c>
      <c r="Q44" s="3">
        <v>0</v>
      </c>
      <c r="R44" s="3">
        <v>0</v>
      </c>
      <c r="S44" s="3">
        <v>0</v>
      </c>
    </row>
    <row r="45" spans="1:19" x14ac:dyDescent="0.25">
      <c r="A45" s="1" t="s">
        <v>1</v>
      </c>
      <c r="B45" s="1" t="s">
        <v>574</v>
      </c>
      <c r="C45" s="1" t="s">
        <v>470</v>
      </c>
      <c r="D45" s="1" t="s">
        <v>572</v>
      </c>
      <c r="E45" s="1" t="s">
        <v>575</v>
      </c>
      <c r="F45" s="3">
        <v>1</v>
      </c>
      <c r="G45" s="1">
        <v>2035</v>
      </c>
      <c r="H45" s="1" t="s">
        <v>2</v>
      </c>
      <c r="I45" s="3">
        <v>0</v>
      </c>
      <c r="J45" s="3">
        <v>0</v>
      </c>
      <c r="K45" s="3">
        <v>0</v>
      </c>
      <c r="L45" s="3">
        <v>0</v>
      </c>
      <c r="M45" s="3">
        <v>0</v>
      </c>
      <c r="N45" s="3">
        <v>0</v>
      </c>
      <c r="O45" s="3">
        <v>0</v>
      </c>
      <c r="P45" s="3">
        <v>0</v>
      </c>
      <c r="Q45" s="3">
        <v>0</v>
      </c>
      <c r="R45" s="3">
        <v>0</v>
      </c>
      <c r="S45" s="3">
        <v>0</v>
      </c>
    </row>
    <row r="46" spans="1:19" x14ac:dyDescent="0.25">
      <c r="A46" s="1" t="s">
        <v>1</v>
      </c>
      <c r="B46" s="1" t="s">
        <v>574</v>
      </c>
      <c r="C46" s="1" t="s">
        <v>470</v>
      </c>
      <c r="D46" s="1" t="s">
        <v>572</v>
      </c>
      <c r="E46" s="1" t="s">
        <v>575</v>
      </c>
      <c r="F46" s="3">
        <v>1</v>
      </c>
      <c r="G46" s="1">
        <v>2036</v>
      </c>
      <c r="H46" s="1" t="s">
        <v>2</v>
      </c>
      <c r="I46" s="3">
        <v>0</v>
      </c>
      <c r="J46" s="3">
        <v>0</v>
      </c>
      <c r="K46" s="3">
        <v>0</v>
      </c>
      <c r="L46" s="3">
        <v>0</v>
      </c>
      <c r="M46" s="3">
        <v>0</v>
      </c>
      <c r="N46" s="3">
        <v>0</v>
      </c>
      <c r="O46" s="3">
        <v>0</v>
      </c>
      <c r="P46" s="3">
        <v>0</v>
      </c>
      <c r="Q46" s="3">
        <v>0</v>
      </c>
      <c r="R46" s="3">
        <v>0</v>
      </c>
      <c r="S46" s="3">
        <v>0</v>
      </c>
    </row>
    <row r="47" spans="1:19" x14ac:dyDescent="0.25">
      <c r="A47" s="1" t="s">
        <v>1</v>
      </c>
      <c r="B47" s="1" t="s">
        <v>574</v>
      </c>
      <c r="C47" s="1" t="s">
        <v>470</v>
      </c>
      <c r="D47" s="1" t="s">
        <v>572</v>
      </c>
      <c r="E47" s="1" t="s">
        <v>575</v>
      </c>
      <c r="F47" s="3">
        <v>1</v>
      </c>
      <c r="G47" s="1">
        <v>2037</v>
      </c>
      <c r="H47" s="1" t="s">
        <v>2</v>
      </c>
      <c r="I47" s="3">
        <v>0</v>
      </c>
      <c r="J47" s="3">
        <v>0</v>
      </c>
      <c r="K47" s="3">
        <v>0</v>
      </c>
      <c r="L47" s="3">
        <v>0</v>
      </c>
      <c r="M47" s="3">
        <v>0</v>
      </c>
      <c r="N47" s="3">
        <v>0</v>
      </c>
      <c r="O47" s="3">
        <v>0</v>
      </c>
      <c r="P47" s="3">
        <v>0</v>
      </c>
      <c r="Q47" s="3">
        <v>0</v>
      </c>
      <c r="R47" s="3">
        <v>0</v>
      </c>
      <c r="S47" s="3">
        <v>0</v>
      </c>
    </row>
    <row r="48" spans="1:19" x14ac:dyDescent="0.25">
      <c r="A48" s="1" t="s">
        <v>1</v>
      </c>
      <c r="B48" s="1" t="s">
        <v>574</v>
      </c>
      <c r="C48" s="1" t="s">
        <v>470</v>
      </c>
      <c r="D48" s="1" t="s">
        <v>572</v>
      </c>
      <c r="E48" s="1" t="s">
        <v>575</v>
      </c>
      <c r="F48" s="3">
        <v>1</v>
      </c>
      <c r="G48" s="1">
        <v>2038</v>
      </c>
      <c r="H48" s="1" t="s">
        <v>2</v>
      </c>
      <c r="I48" s="3">
        <v>0</v>
      </c>
      <c r="J48" s="3">
        <v>0</v>
      </c>
      <c r="K48" s="3">
        <v>0</v>
      </c>
      <c r="L48" s="3">
        <v>0</v>
      </c>
      <c r="M48" s="3">
        <v>0</v>
      </c>
      <c r="N48" s="3">
        <v>0</v>
      </c>
      <c r="O48" s="3">
        <v>0</v>
      </c>
      <c r="P48" s="3">
        <v>0</v>
      </c>
      <c r="Q48" s="3">
        <v>0</v>
      </c>
      <c r="R48" s="3">
        <v>0</v>
      </c>
      <c r="S48" s="3">
        <v>0</v>
      </c>
    </row>
    <row r="49" spans="1:19" x14ac:dyDescent="0.25">
      <c r="A49" s="1" t="s">
        <v>1</v>
      </c>
      <c r="B49" s="1" t="s">
        <v>574</v>
      </c>
      <c r="C49" s="1" t="s">
        <v>470</v>
      </c>
      <c r="D49" s="1" t="s">
        <v>572</v>
      </c>
      <c r="E49" s="1" t="s">
        <v>575</v>
      </c>
      <c r="F49" s="3">
        <v>1</v>
      </c>
      <c r="G49" s="1">
        <v>2039</v>
      </c>
      <c r="H49" s="1" t="s">
        <v>2</v>
      </c>
      <c r="I49" s="3">
        <v>0</v>
      </c>
      <c r="J49" s="3">
        <v>0</v>
      </c>
      <c r="K49" s="3">
        <v>0</v>
      </c>
      <c r="L49" s="3">
        <v>0</v>
      </c>
      <c r="M49" s="3">
        <v>0</v>
      </c>
      <c r="N49" s="3">
        <v>0</v>
      </c>
      <c r="O49" s="3">
        <v>0</v>
      </c>
      <c r="P49" s="3">
        <v>0</v>
      </c>
      <c r="Q49" s="3">
        <v>0</v>
      </c>
      <c r="R49" s="3">
        <v>0</v>
      </c>
      <c r="S49" s="3">
        <v>0</v>
      </c>
    </row>
    <row r="50" spans="1:19" x14ac:dyDescent="0.25">
      <c r="A50" s="1" t="s">
        <v>1</v>
      </c>
      <c r="B50" s="1" t="s">
        <v>574</v>
      </c>
      <c r="C50" s="1" t="s">
        <v>470</v>
      </c>
      <c r="D50" s="1" t="s">
        <v>572</v>
      </c>
      <c r="E50" s="1" t="s">
        <v>575</v>
      </c>
      <c r="F50" s="3">
        <v>1</v>
      </c>
      <c r="G50" s="1">
        <v>2040</v>
      </c>
      <c r="H50" s="1" t="s">
        <v>2</v>
      </c>
      <c r="I50" s="3">
        <v>0</v>
      </c>
      <c r="J50" s="3">
        <v>0</v>
      </c>
      <c r="K50" s="3">
        <v>0</v>
      </c>
      <c r="L50" s="3">
        <v>0</v>
      </c>
      <c r="M50" s="3">
        <v>0</v>
      </c>
      <c r="N50" s="3">
        <v>0</v>
      </c>
      <c r="O50" s="3">
        <v>0</v>
      </c>
      <c r="P50" s="3">
        <v>0</v>
      </c>
      <c r="Q50" s="3">
        <v>0</v>
      </c>
      <c r="R50" s="3">
        <v>0</v>
      </c>
      <c r="S50" s="3">
        <v>0</v>
      </c>
    </row>
    <row r="51" spans="1:19" x14ac:dyDescent="0.25">
      <c r="A51" s="1" t="s">
        <v>1</v>
      </c>
      <c r="B51" s="1" t="s">
        <v>574</v>
      </c>
      <c r="C51" s="1" t="s">
        <v>470</v>
      </c>
      <c r="D51" s="1" t="s">
        <v>572</v>
      </c>
      <c r="E51" s="1" t="s">
        <v>575</v>
      </c>
      <c r="F51" s="3">
        <v>1</v>
      </c>
      <c r="G51" s="1">
        <v>2041</v>
      </c>
      <c r="H51" s="1" t="s">
        <v>2</v>
      </c>
      <c r="I51" s="3">
        <v>0</v>
      </c>
      <c r="J51" s="3">
        <v>0</v>
      </c>
      <c r="K51" s="3">
        <v>0</v>
      </c>
      <c r="L51" s="3">
        <v>0</v>
      </c>
      <c r="M51" s="3">
        <v>0</v>
      </c>
      <c r="N51" s="3">
        <v>0</v>
      </c>
      <c r="O51" s="3">
        <v>0</v>
      </c>
      <c r="P51" s="3">
        <v>0</v>
      </c>
      <c r="Q51" s="3">
        <v>0</v>
      </c>
      <c r="R51" s="3">
        <v>0</v>
      </c>
      <c r="S51" s="3">
        <v>0</v>
      </c>
    </row>
    <row r="52" spans="1:19" x14ac:dyDescent="0.25">
      <c r="A52" s="1" t="s">
        <v>1</v>
      </c>
      <c r="B52" s="1" t="s">
        <v>574</v>
      </c>
      <c r="C52" s="1" t="s">
        <v>470</v>
      </c>
      <c r="D52" s="1" t="s">
        <v>572</v>
      </c>
      <c r="E52" s="1" t="s">
        <v>575</v>
      </c>
      <c r="F52" s="3">
        <v>1</v>
      </c>
      <c r="G52" s="1">
        <v>2042</v>
      </c>
      <c r="H52" s="1" t="s">
        <v>2</v>
      </c>
      <c r="I52" s="3">
        <v>0</v>
      </c>
      <c r="J52" s="3">
        <v>0</v>
      </c>
      <c r="K52" s="3">
        <v>0</v>
      </c>
      <c r="L52" s="3">
        <v>0</v>
      </c>
      <c r="M52" s="3">
        <v>0</v>
      </c>
      <c r="N52" s="3">
        <v>0</v>
      </c>
      <c r="O52" s="3">
        <v>0</v>
      </c>
      <c r="P52" s="3">
        <v>0</v>
      </c>
      <c r="Q52" s="3">
        <v>0</v>
      </c>
      <c r="R52" s="3">
        <v>0</v>
      </c>
      <c r="S52" s="3">
        <v>0</v>
      </c>
    </row>
    <row r="53" spans="1:19" x14ac:dyDescent="0.25">
      <c r="A53" s="1" t="s">
        <v>1</v>
      </c>
      <c r="B53" s="1" t="s">
        <v>574</v>
      </c>
      <c r="C53" s="1" t="s">
        <v>470</v>
      </c>
      <c r="D53" s="1" t="s">
        <v>572</v>
      </c>
      <c r="E53" s="1" t="s">
        <v>575</v>
      </c>
      <c r="F53" s="3">
        <v>1</v>
      </c>
      <c r="G53" s="1">
        <v>2043</v>
      </c>
      <c r="H53" s="1" t="s">
        <v>2</v>
      </c>
      <c r="I53" s="3">
        <v>0</v>
      </c>
      <c r="J53" s="3">
        <v>0</v>
      </c>
      <c r="K53" s="3">
        <v>0</v>
      </c>
      <c r="L53" s="3">
        <v>0</v>
      </c>
      <c r="M53" s="3">
        <v>0</v>
      </c>
      <c r="N53" s="3">
        <v>0</v>
      </c>
      <c r="O53" s="3">
        <v>0</v>
      </c>
      <c r="P53" s="3">
        <v>0</v>
      </c>
      <c r="Q53" s="3">
        <v>0</v>
      </c>
      <c r="R53" s="3">
        <v>0</v>
      </c>
      <c r="S53" s="3">
        <v>0</v>
      </c>
    </row>
    <row r="54" spans="1:19" x14ac:dyDescent="0.25">
      <c r="A54" s="1" t="s">
        <v>1</v>
      </c>
      <c r="B54" s="1" t="s">
        <v>574</v>
      </c>
      <c r="C54" s="1" t="s">
        <v>470</v>
      </c>
      <c r="D54" s="1" t="s">
        <v>572</v>
      </c>
      <c r="E54" s="1" t="s">
        <v>575</v>
      </c>
      <c r="F54" s="3">
        <v>1</v>
      </c>
      <c r="G54" s="1">
        <v>2044</v>
      </c>
      <c r="H54" s="1" t="s">
        <v>2</v>
      </c>
      <c r="I54" s="3">
        <v>0</v>
      </c>
      <c r="J54" s="3">
        <v>0</v>
      </c>
      <c r="K54" s="3">
        <v>0</v>
      </c>
      <c r="L54" s="3">
        <v>0</v>
      </c>
      <c r="M54" s="3">
        <v>0</v>
      </c>
      <c r="N54" s="3">
        <v>0</v>
      </c>
      <c r="O54" s="3">
        <v>0</v>
      </c>
      <c r="P54" s="3">
        <v>0</v>
      </c>
      <c r="Q54" s="3">
        <v>0</v>
      </c>
      <c r="R54" s="3">
        <v>0</v>
      </c>
      <c r="S54" s="3">
        <v>0</v>
      </c>
    </row>
    <row r="55" spans="1:19" x14ac:dyDescent="0.25">
      <c r="A55" s="1" t="s">
        <v>1</v>
      </c>
      <c r="B55" s="1" t="s">
        <v>574</v>
      </c>
      <c r="C55" s="1" t="s">
        <v>470</v>
      </c>
      <c r="D55" s="1" t="s">
        <v>572</v>
      </c>
      <c r="E55" s="1" t="s">
        <v>575</v>
      </c>
      <c r="F55" s="3">
        <v>1</v>
      </c>
      <c r="G55" s="1">
        <v>2045</v>
      </c>
      <c r="H55" s="1" t="s">
        <v>2</v>
      </c>
      <c r="I55" s="3">
        <v>0</v>
      </c>
      <c r="J55" s="3">
        <v>0</v>
      </c>
      <c r="K55" s="3">
        <v>0</v>
      </c>
      <c r="L55" s="3">
        <v>0</v>
      </c>
      <c r="M55" s="3">
        <v>0</v>
      </c>
      <c r="N55" s="3">
        <v>0</v>
      </c>
      <c r="O55" s="3">
        <v>0</v>
      </c>
      <c r="P55" s="3">
        <v>0</v>
      </c>
      <c r="Q55" s="3">
        <v>0</v>
      </c>
      <c r="R55" s="3">
        <v>0</v>
      </c>
      <c r="S55" s="3">
        <v>0</v>
      </c>
    </row>
    <row r="56" spans="1:19" x14ac:dyDescent="0.25">
      <c r="A56" s="1" t="s">
        <v>1</v>
      </c>
      <c r="B56" s="1" t="s">
        <v>574</v>
      </c>
      <c r="C56" s="1" t="s">
        <v>470</v>
      </c>
      <c r="D56" s="1" t="s">
        <v>572</v>
      </c>
      <c r="E56" s="1" t="s">
        <v>575</v>
      </c>
      <c r="F56" s="3">
        <v>1</v>
      </c>
      <c r="G56" s="1">
        <v>2046</v>
      </c>
      <c r="H56" s="1" t="s">
        <v>2</v>
      </c>
      <c r="I56" s="3">
        <v>0</v>
      </c>
      <c r="J56" s="3">
        <v>0</v>
      </c>
      <c r="K56" s="3">
        <v>0</v>
      </c>
      <c r="L56" s="3">
        <v>0</v>
      </c>
      <c r="M56" s="3">
        <v>0</v>
      </c>
      <c r="N56" s="3">
        <v>0</v>
      </c>
      <c r="O56" s="3">
        <v>0</v>
      </c>
      <c r="P56" s="3">
        <v>0</v>
      </c>
      <c r="Q56" s="3">
        <v>0</v>
      </c>
      <c r="R56" s="3">
        <v>0</v>
      </c>
      <c r="S56" s="3">
        <v>0</v>
      </c>
    </row>
    <row r="57" spans="1:19" x14ac:dyDescent="0.25">
      <c r="A57" s="1" t="s">
        <v>1</v>
      </c>
      <c r="B57" s="1" t="s">
        <v>574</v>
      </c>
      <c r="C57" s="1" t="s">
        <v>470</v>
      </c>
      <c r="D57" s="1" t="s">
        <v>572</v>
      </c>
      <c r="E57" s="1" t="s">
        <v>575</v>
      </c>
      <c r="F57" s="3">
        <v>1</v>
      </c>
      <c r="G57" s="1">
        <v>2047</v>
      </c>
      <c r="H57" s="1" t="s">
        <v>2</v>
      </c>
      <c r="I57" s="3">
        <v>0</v>
      </c>
      <c r="J57" s="3">
        <v>0</v>
      </c>
      <c r="K57" s="3">
        <v>0</v>
      </c>
      <c r="L57" s="3">
        <v>0</v>
      </c>
      <c r="M57" s="3">
        <v>0</v>
      </c>
      <c r="N57" s="3">
        <v>0</v>
      </c>
      <c r="O57" s="3">
        <v>0</v>
      </c>
      <c r="P57" s="3">
        <v>0</v>
      </c>
      <c r="Q57" s="3">
        <v>0</v>
      </c>
      <c r="R57" s="3">
        <v>0</v>
      </c>
      <c r="S57" s="3">
        <v>0</v>
      </c>
    </row>
    <row r="58" spans="1:19" x14ac:dyDescent="0.25">
      <c r="A58" s="1" t="s">
        <v>1</v>
      </c>
      <c r="B58" s="1" t="s">
        <v>574</v>
      </c>
      <c r="C58" s="1" t="s">
        <v>470</v>
      </c>
      <c r="D58" s="1" t="s">
        <v>572</v>
      </c>
      <c r="E58" s="1" t="s">
        <v>575</v>
      </c>
      <c r="F58" s="3">
        <v>1</v>
      </c>
      <c r="G58" s="1">
        <v>2048</v>
      </c>
      <c r="H58" s="1" t="s">
        <v>2</v>
      </c>
      <c r="I58" s="3">
        <v>0</v>
      </c>
      <c r="J58" s="3">
        <v>0</v>
      </c>
      <c r="K58" s="3">
        <v>0</v>
      </c>
      <c r="L58" s="3">
        <v>0</v>
      </c>
      <c r="M58" s="3">
        <v>0</v>
      </c>
      <c r="N58" s="3">
        <v>0</v>
      </c>
      <c r="O58" s="3">
        <v>0</v>
      </c>
      <c r="P58" s="3">
        <v>0</v>
      </c>
      <c r="Q58" s="3">
        <v>0</v>
      </c>
      <c r="R58" s="3">
        <v>0</v>
      </c>
      <c r="S58" s="3">
        <v>0</v>
      </c>
    </row>
    <row r="59" spans="1:19" x14ac:dyDescent="0.25">
      <c r="A59" s="1" t="s">
        <v>1</v>
      </c>
      <c r="B59" s="1" t="s">
        <v>574</v>
      </c>
      <c r="C59" s="1" t="s">
        <v>470</v>
      </c>
      <c r="D59" s="1" t="s">
        <v>572</v>
      </c>
      <c r="E59" s="1" t="s">
        <v>575</v>
      </c>
      <c r="F59" s="3">
        <v>1</v>
      </c>
      <c r="G59" s="1">
        <v>2049</v>
      </c>
      <c r="H59" s="1" t="s">
        <v>2</v>
      </c>
      <c r="I59" s="3">
        <v>0</v>
      </c>
      <c r="J59" s="3">
        <v>0</v>
      </c>
      <c r="K59" s="3">
        <v>0</v>
      </c>
      <c r="L59" s="3">
        <v>0</v>
      </c>
      <c r="M59" s="3">
        <v>0</v>
      </c>
      <c r="N59" s="3">
        <v>0</v>
      </c>
      <c r="O59" s="3">
        <v>0</v>
      </c>
      <c r="P59" s="3">
        <v>0</v>
      </c>
      <c r="Q59" s="3">
        <v>0</v>
      </c>
      <c r="R59" s="3">
        <v>0</v>
      </c>
      <c r="S59" s="3">
        <v>0</v>
      </c>
    </row>
    <row r="60" spans="1:19" x14ac:dyDescent="0.25">
      <c r="A60" s="1" t="s">
        <v>1</v>
      </c>
      <c r="B60" s="1" t="s">
        <v>574</v>
      </c>
      <c r="C60" s="1" t="s">
        <v>470</v>
      </c>
      <c r="D60" s="1" t="s">
        <v>572</v>
      </c>
      <c r="E60" s="1" t="s">
        <v>575</v>
      </c>
      <c r="F60" s="3">
        <v>1</v>
      </c>
      <c r="G60" s="1">
        <v>2050</v>
      </c>
      <c r="H60" s="1" t="s">
        <v>2</v>
      </c>
      <c r="I60" s="3">
        <v>0</v>
      </c>
      <c r="J60" s="3">
        <v>0</v>
      </c>
      <c r="K60" s="3">
        <v>0</v>
      </c>
      <c r="L60" s="3">
        <v>0</v>
      </c>
      <c r="M60" s="3">
        <v>0</v>
      </c>
      <c r="N60" s="3">
        <v>0</v>
      </c>
      <c r="O60" s="3">
        <v>0</v>
      </c>
      <c r="P60" s="3">
        <v>0</v>
      </c>
      <c r="Q60" s="3">
        <v>0</v>
      </c>
      <c r="R60" s="3">
        <v>0</v>
      </c>
      <c r="S60" s="3">
        <v>0</v>
      </c>
    </row>
    <row r="61" spans="1:19" x14ac:dyDescent="0.25">
      <c r="A61" s="1" t="s">
        <v>1</v>
      </c>
      <c r="B61" s="1" t="s">
        <v>574</v>
      </c>
      <c r="C61" s="1" t="s">
        <v>470</v>
      </c>
      <c r="D61" s="1" t="s">
        <v>572</v>
      </c>
      <c r="E61" s="1" t="s">
        <v>575</v>
      </c>
      <c r="F61" s="3">
        <v>1</v>
      </c>
      <c r="G61" s="1">
        <v>2051</v>
      </c>
      <c r="H61" s="1" t="s">
        <v>2</v>
      </c>
      <c r="I61" s="3">
        <v>0</v>
      </c>
      <c r="J61" s="3">
        <v>0</v>
      </c>
      <c r="K61" s="3">
        <v>0</v>
      </c>
      <c r="L61" s="3">
        <v>0</v>
      </c>
      <c r="M61" s="3">
        <v>0</v>
      </c>
      <c r="N61" s="3">
        <v>0</v>
      </c>
      <c r="O61" s="3">
        <v>0</v>
      </c>
      <c r="P61" s="3">
        <v>0</v>
      </c>
      <c r="Q61" s="3">
        <v>0</v>
      </c>
      <c r="R61" s="3">
        <v>0</v>
      </c>
      <c r="S61" s="3">
        <v>0</v>
      </c>
    </row>
    <row r="62" spans="1:19" x14ac:dyDescent="0.25">
      <c r="A62" s="1" t="s">
        <v>1</v>
      </c>
      <c r="B62" s="1" t="s">
        <v>574</v>
      </c>
      <c r="C62" s="1" t="s">
        <v>471</v>
      </c>
      <c r="D62" s="1" t="s">
        <v>572</v>
      </c>
      <c r="E62" s="1" t="s">
        <v>575</v>
      </c>
      <c r="F62" s="3">
        <v>1</v>
      </c>
      <c r="G62" s="1">
        <v>2022</v>
      </c>
      <c r="H62" s="1" t="s">
        <v>2</v>
      </c>
      <c r="I62" s="3">
        <v>0</v>
      </c>
      <c r="J62" s="3">
        <v>0</v>
      </c>
      <c r="K62" s="3">
        <v>0</v>
      </c>
      <c r="L62" s="3">
        <v>0</v>
      </c>
      <c r="M62" s="3">
        <v>0</v>
      </c>
      <c r="N62" s="3">
        <v>0</v>
      </c>
      <c r="O62" s="3">
        <v>0</v>
      </c>
      <c r="P62" s="3">
        <v>0</v>
      </c>
      <c r="Q62" s="3">
        <v>0</v>
      </c>
      <c r="R62" s="3">
        <v>0</v>
      </c>
      <c r="S62" s="3">
        <v>0</v>
      </c>
    </row>
    <row r="63" spans="1:19" x14ac:dyDescent="0.25">
      <c r="A63" s="1" t="s">
        <v>1</v>
      </c>
      <c r="B63" s="1" t="s">
        <v>574</v>
      </c>
      <c r="C63" s="1" t="s">
        <v>471</v>
      </c>
      <c r="D63" s="1" t="s">
        <v>572</v>
      </c>
      <c r="E63" s="1" t="s">
        <v>575</v>
      </c>
      <c r="F63" s="3">
        <v>1</v>
      </c>
      <c r="G63" s="1">
        <v>2023</v>
      </c>
      <c r="H63" s="1" t="s">
        <v>2</v>
      </c>
      <c r="I63" s="3">
        <v>0</v>
      </c>
      <c r="J63" s="3">
        <v>0</v>
      </c>
      <c r="K63" s="3">
        <v>0</v>
      </c>
      <c r="L63" s="3">
        <v>0</v>
      </c>
      <c r="M63" s="3">
        <v>0</v>
      </c>
      <c r="N63" s="3">
        <v>0</v>
      </c>
      <c r="O63" s="3">
        <v>0</v>
      </c>
      <c r="P63" s="3">
        <v>0</v>
      </c>
      <c r="Q63" s="3">
        <v>0</v>
      </c>
      <c r="R63" s="3">
        <v>0</v>
      </c>
      <c r="S63" s="3">
        <v>0</v>
      </c>
    </row>
    <row r="64" spans="1:19" x14ac:dyDescent="0.25">
      <c r="A64" s="1" t="s">
        <v>1</v>
      </c>
      <c r="B64" s="1" t="s">
        <v>574</v>
      </c>
      <c r="C64" s="1" t="s">
        <v>471</v>
      </c>
      <c r="D64" s="1" t="s">
        <v>572</v>
      </c>
      <c r="E64" s="1" t="s">
        <v>575</v>
      </c>
      <c r="F64" s="3">
        <v>1</v>
      </c>
      <c r="G64" s="1">
        <v>2024</v>
      </c>
      <c r="H64" s="1" t="s">
        <v>2</v>
      </c>
      <c r="I64" s="3">
        <v>0</v>
      </c>
      <c r="J64" s="3">
        <v>0</v>
      </c>
      <c r="K64" s="3">
        <v>0</v>
      </c>
      <c r="L64" s="3">
        <v>0</v>
      </c>
      <c r="M64" s="3">
        <v>0</v>
      </c>
      <c r="N64" s="3">
        <v>0</v>
      </c>
      <c r="O64" s="3">
        <v>0</v>
      </c>
      <c r="P64" s="3">
        <v>0</v>
      </c>
      <c r="Q64" s="3">
        <v>0</v>
      </c>
      <c r="R64" s="3">
        <v>0</v>
      </c>
      <c r="S64" s="3">
        <v>0</v>
      </c>
    </row>
    <row r="65" spans="1:19" x14ac:dyDescent="0.25">
      <c r="A65" s="1" t="s">
        <v>1</v>
      </c>
      <c r="B65" s="1" t="s">
        <v>574</v>
      </c>
      <c r="C65" s="1" t="s">
        <v>471</v>
      </c>
      <c r="D65" s="1" t="s">
        <v>572</v>
      </c>
      <c r="E65" s="1" t="s">
        <v>575</v>
      </c>
      <c r="F65" s="3">
        <v>1</v>
      </c>
      <c r="G65" s="1">
        <v>2025</v>
      </c>
      <c r="H65" s="1" t="s">
        <v>2</v>
      </c>
      <c r="I65" s="3">
        <v>0</v>
      </c>
      <c r="J65" s="3">
        <v>0</v>
      </c>
      <c r="K65" s="3">
        <v>0</v>
      </c>
      <c r="L65" s="3">
        <v>0</v>
      </c>
      <c r="M65" s="3">
        <v>0</v>
      </c>
      <c r="N65" s="3">
        <v>0</v>
      </c>
      <c r="O65" s="3">
        <v>0</v>
      </c>
      <c r="P65" s="3">
        <v>0</v>
      </c>
      <c r="Q65" s="3">
        <v>0</v>
      </c>
      <c r="R65" s="3">
        <v>0</v>
      </c>
      <c r="S65" s="3">
        <v>0</v>
      </c>
    </row>
    <row r="66" spans="1:19" x14ac:dyDescent="0.25">
      <c r="A66" s="1" t="s">
        <v>1</v>
      </c>
      <c r="B66" s="1" t="s">
        <v>574</v>
      </c>
      <c r="C66" s="1" t="s">
        <v>471</v>
      </c>
      <c r="D66" s="1" t="s">
        <v>572</v>
      </c>
      <c r="E66" s="1" t="s">
        <v>575</v>
      </c>
      <c r="F66" s="3">
        <v>1</v>
      </c>
      <c r="G66" s="1">
        <v>2026</v>
      </c>
      <c r="H66" s="1" t="s">
        <v>2</v>
      </c>
      <c r="I66" s="3">
        <v>0</v>
      </c>
      <c r="J66" s="3">
        <v>0</v>
      </c>
      <c r="K66" s="3">
        <v>0</v>
      </c>
      <c r="L66" s="3">
        <v>0</v>
      </c>
      <c r="M66" s="3">
        <v>0</v>
      </c>
      <c r="N66" s="3">
        <v>0</v>
      </c>
      <c r="O66" s="3">
        <v>0</v>
      </c>
      <c r="P66" s="3">
        <v>0</v>
      </c>
      <c r="Q66" s="3">
        <v>0</v>
      </c>
      <c r="R66" s="3">
        <v>0</v>
      </c>
      <c r="S66" s="3">
        <v>0</v>
      </c>
    </row>
    <row r="67" spans="1:19" x14ac:dyDescent="0.25">
      <c r="A67" s="1" t="s">
        <v>1</v>
      </c>
      <c r="B67" s="1" t="s">
        <v>574</v>
      </c>
      <c r="C67" s="1" t="s">
        <v>471</v>
      </c>
      <c r="D67" s="1" t="s">
        <v>572</v>
      </c>
      <c r="E67" s="1" t="s">
        <v>575</v>
      </c>
      <c r="F67" s="3">
        <v>1</v>
      </c>
      <c r="G67" s="1">
        <v>2027</v>
      </c>
      <c r="H67" s="1" t="s">
        <v>2</v>
      </c>
      <c r="I67" s="3">
        <v>0</v>
      </c>
      <c r="J67" s="3">
        <v>0</v>
      </c>
      <c r="K67" s="3">
        <v>0</v>
      </c>
      <c r="L67" s="3">
        <v>0</v>
      </c>
      <c r="M67" s="3">
        <v>0</v>
      </c>
      <c r="N67" s="3">
        <v>0</v>
      </c>
      <c r="O67" s="3">
        <v>0</v>
      </c>
      <c r="P67" s="3">
        <v>0</v>
      </c>
      <c r="Q67" s="3">
        <v>0</v>
      </c>
      <c r="R67" s="3">
        <v>0</v>
      </c>
      <c r="S67" s="3">
        <v>0</v>
      </c>
    </row>
    <row r="68" spans="1:19" x14ac:dyDescent="0.25">
      <c r="A68" s="1" t="s">
        <v>1</v>
      </c>
      <c r="B68" s="1" t="s">
        <v>574</v>
      </c>
      <c r="C68" s="1" t="s">
        <v>471</v>
      </c>
      <c r="D68" s="1" t="s">
        <v>572</v>
      </c>
      <c r="E68" s="1" t="s">
        <v>575</v>
      </c>
      <c r="F68" s="3">
        <v>1</v>
      </c>
      <c r="G68" s="1">
        <v>2028</v>
      </c>
      <c r="H68" s="1" t="s">
        <v>2</v>
      </c>
      <c r="I68" s="3">
        <v>0</v>
      </c>
      <c r="J68" s="3">
        <v>0</v>
      </c>
      <c r="K68" s="3">
        <v>0</v>
      </c>
      <c r="L68" s="3">
        <v>0</v>
      </c>
      <c r="M68" s="3">
        <v>0</v>
      </c>
      <c r="N68" s="3">
        <v>0</v>
      </c>
      <c r="O68" s="3">
        <v>0</v>
      </c>
      <c r="P68" s="3">
        <v>0</v>
      </c>
      <c r="Q68" s="3">
        <v>0</v>
      </c>
      <c r="R68" s="3">
        <v>0</v>
      </c>
      <c r="S68" s="3">
        <v>0</v>
      </c>
    </row>
    <row r="69" spans="1:19" x14ac:dyDescent="0.25">
      <c r="A69" s="1" t="s">
        <v>1</v>
      </c>
      <c r="B69" s="1" t="s">
        <v>574</v>
      </c>
      <c r="C69" s="1" t="s">
        <v>471</v>
      </c>
      <c r="D69" s="1" t="s">
        <v>572</v>
      </c>
      <c r="E69" s="1" t="s">
        <v>575</v>
      </c>
      <c r="F69" s="3">
        <v>1</v>
      </c>
      <c r="G69" s="1">
        <v>2029</v>
      </c>
      <c r="H69" s="1" t="s">
        <v>2</v>
      </c>
      <c r="I69" s="3">
        <v>0</v>
      </c>
      <c r="J69" s="3">
        <v>0</v>
      </c>
      <c r="K69" s="3">
        <v>0</v>
      </c>
      <c r="L69" s="3">
        <v>0</v>
      </c>
      <c r="M69" s="3">
        <v>0</v>
      </c>
      <c r="N69" s="3">
        <v>0</v>
      </c>
      <c r="O69" s="3">
        <v>0</v>
      </c>
      <c r="P69" s="3">
        <v>0</v>
      </c>
      <c r="Q69" s="3">
        <v>0</v>
      </c>
      <c r="R69" s="3">
        <v>0</v>
      </c>
      <c r="S69" s="3">
        <v>0</v>
      </c>
    </row>
    <row r="70" spans="1:19" x14ac:dyDescent="0.25">
      <c r="A70" s="1" t="s">
        <v>1</v>
      </c>
      <c r="B70" s="1" t="s">
        <v>574</v>
      </c>
      <c r="C70" s="1" t="s">
        <v>471</v>
      </c>
      <c r="D70" s="1" t="s">
        <v>572</v>
      </c>
      <c r="E70" s="1" t="s">
        <v>575</v>
      </c>
      <c r="F70" s="3">
        <v>1</v>
      </c>
      <c r="G70" s="1">
        <v>2030</v>
      </c>
      <c r="H70" s="1" t="s">
        <v>2</v>
      </c>
      <c r="I70" s="3">
        <v>0</v>
      </c>
      <c r="J70" s="3">
        <v>0</v>
      </c>
      <c r="K70" s="3">
        <v>0</v>
      </c>
      <c r="L70" s="3">
        <v>0</v>
      </c>
      <c r="M70" s="3">
        <v>0</v>
      </c>
      <c r="N70" s="3">
        <v>0</v>
      </c>
      <c r="O70" s="3">
        <v>0</v>
      </c>
      <c r="P70" s="3">
        <v>0</v>
      </c>
      <c r="Q70" s="3">
        <v>0</v>
      </c>
      <c r="R70" s="3">
        <v>0</v>
      </c>
      <c r="S70" s="3">
        <v>0</v>
      </c>
    </row>
    <row r="71" spans="1:19" x14ac:dyDescent="0.25">
      <c r="A71" s="1" t="s">
        <v>1</v>
      </c>
      <c r="B71" s="1" t="s">
        <v>574</v>
      </c>
      <c r="C71" s="1" t="s">
        <v>471</v>
      </c>
      <c r="D71" s="1" t="s">
        <v>572</v>
      </c>
      <c r="E71" s="1" t="s">
        <v>575</v>
      </c>
      <c r="F71" s="3">
        <v>1</v>
      </c>
      <c r="G71" s="1">
        <v>2031</v>
      </c>
      <c r="H71" s="1" t="s">
        <v>2</v>
      </c>
      <c r="I71" s="3">
        <v>0</v>
      </c>
      <c r="J71" s="3">
        <v>0</v>
      </c>
      <c r="K71" s="3">
        <v>0</v>
      </c>
      <c r="L71" s="3">
        <v>0</v>
      </c>
      <c r="M71" s="3">
        <v>0</v>
      </c>
      <c r="N71" s="3">
        <v>0</v>
      </c>
      <c r="O71" s="3">
        <v>0</v>
      </c>
      <c r="P71" s="3">
        <v>0</v>
      </c>
      <c r="Q71" s="3">
        <v>0</v>
      </c>
      <c r="R71" s="3">
        <v>0</v>
      </c>
      <c r="S71" s="3">
        <v>0</v>
      </c>
    </row>
    <row r="72" spans="1:19" x14ac:dyDescent="0.25">
      <c r="A72" s="1" t="s">
        <v>1</v>
      </c>
      <c r="B72" s="1" t="s">
        <v>574</v>
      </c>
      <c r="C72" s="1" t="s">
        <v>471</v>
      </c>
      <c r="D72" s="1" t="s">
        <v>572</v>
      </c>
      <c r="E72" s="1" t="s">
        <v>575</v>
      </c>
      <c r="F72" s="3">
        <v>1</v>
      </c>
      <c r="G72" s="1">
        <v>2032</v>
      </c>
      <c r="H72" s="1" t="s">
        <v>2</v>
      </c>
      <c r="I72" s="3">
        <v>0</v>
      </c>
      <c r="J72" s="3">
        <v>0</v>
      </c>
      <c r="K72" s="3">
        <v>0</v>
      </c>
      <c r="L72" s="3">
        <v>0</v>
      </c>
      <c r="M72" s="3">
        <v>0</v>
      </c>
      <c r="N72" s="3">
        <v>0</v>
      </c>
      <c r="O72" s="3">
        <v>0</v>
      </c>
      <c r="P72" s="3">
        <v>0</v>
      </c>
      <c r="Q72" s="3">
        <v>0</v>
      </c>
      <c r="R72" s="3">
        <v>0</v>
      </c>
      <c r="S72" s="3">
        <v>0</v>
      </c>
    </row>
    <row r="73" spans="1:19" x14ac:dyDescent="0.25">
      <c r="A73" s="1" t="s">
        <v>1</v>
      </c>
      <c r="B73" s="1" t="s">
        <v>574</v>
      </c>
      <c r="C73" s="1" t="s">
        <v>471</v>
      </c>
      <c r="D73" s="1" t="s">
        <v>572</v>
      </c>
      <c r="E73" s="1" t="s">
        <v>575</v>
      </c>
      <c r="F73" s="3">
        <v>1</v>
      </c>
      <c r="G73" s="1">
        <v>2033</v>
      </c>
      <c r="H73" s="1" t="s">
        <v>2</v>
      </c>
      <c r="I73" s="3">
        <v>0</v>
      </c>
      <c r="J73" s="3">
        <v>0</v>
      </c>
      <c r="K73" s="3">
        <v>0</v>
      </c>
      <c r="L73" s="3">
        <v>0</v>
      </c>
      <c r="M73" s="3">
        <v>0</v>
      </c>
      <c r="N73" s="3">
        <v>0</v>
      </c>
      <c r="O73" s="3">
        <v>0</v>
      </c>
      <c r="P73" s="3">
        <v>0</v>
      </c>
      <c r="Q73" s="3">
        <v>0</v>
      </c>
      <c r="R73" s="3">
        <v>0</v>
      </c>
      <c r="S73" s="3">
        <v>0</v>
      </c>
    </row>
    <row r="74" spans="1:19" x14ac:dyDescent="0.25">
      <c r="A74" s="1" t="s">
        <v>1</v>
      </c>
      <c r="B74" s="1" t="s">
        <v>574</v>
      </c>
      <c r="C74" s="1" t="s">
        <v>471</v>
      </c>
      <c r="D74" s="1" t="s">
        <v>572</v>
      </c>
      <c r="E74" s="1" t="s">
        <v>575</v>
      </c>
      <c r="F74" s="3">
        <v>1</v>
      </c>
      <c r="G74" s="1">
        <v>2034</v>
      </c>
      <c r="H74" s="1" t="s">
        <v>2</v>
      </c>
      <c r="I74" s="3">
        <v>0</v>
      </c>
      <c r="J74" s="3">
        <v>0</v>
      </c>
      <c r="K74" s="3">
        <v>0</v>
      </c>
      <c r="L74" s="3">
        <v>0</v>
      </c>
      <c r="M74" s="3">
        <v>0</v>
      </c>
      <c r="N74" s="3">
        <v>0</v>
      </c>
      <c r="O74" s="3">
        <v>0</v>
      </c>
      <c r="P74" s="3">
        <v>0</v>
      </c>
      <c r="Q74" s="3">
        <v>0</v>
      </c>
      <c r="R74" s="3">
        <v>0</v>
      </c>
      <c r="S74" s="3">
        <v>0</v>
      </c>
    </row>
    <row r="75" spans="1:19" x14ac:dyDescent="0.25">
      <c r="A75" s="1" t="s">
        <v>1</v>
      </c>
      <c r="B75" s="1" t="s">
        <v>574</v>
      </c>
      <c r="C75" s="1" t="s">
        <v>471</v>
      </c>
      <c r="D75" s="1" t="s">
        <v>572</v>
      </c>
      <c r="E75" s="1" t="s">
        <v>575</v>
      </c>
      <c r="F75" s="3">
        <v>1</v>
      </c>
      <c r="G75" s="1">
        <v>2035</v>
      </c>
      <c r="H75" s="1" t="s">
        <v>2</v>
      </c>
      <c r="I75" s="3">
        <v>0</v>
      </c>
      <c r="J75" s="3">
        <v>0</v>
      </c>
      <c r="K75" s="3">
        <v>0</v>
      </c>
      <c r="L75" s="3">
        <v>0</v>
      </c>
      <c r="M75" s="3">
        <v>0</v>
      </c>
      <c r="N75" s="3">
        <v>0</v>
      </c>
      <c r="O75" s="3">
        <v>0</v>
      </c>
      <c r="P75" s="3">
        <v>0</v>
      </c>
      <c r="Q75" s="3">
        <v>0</v>
      </c>
      <c r="R75" s="3">
        <v>0</v>
      </c>
      <c r="S75" s="3">
        <v>0</v>
      </c>
    </row>
    <row r="76" spans="1:19" x14ac:dyDescent="0.25">
      <c r="A76" s="1" t="s">
        <v>1</v>
      </c>
      <c r="B76" s="1" t="s">
        <v>574</v>
      </c>
      <c r="C76" s="1" t="s">
        <v>471</v>
      </c>
      <c r="D76" s="1" t="s">
        <v>572</v>
      </c>
      <c r="E76" s="1" t="s">
        <v>575</v>
      </c>
      <c r="F76" s="3">
        <v>1</v>
      </c>
      <c r="G76" s="1">
        <v>2036</v>
      </c>
      <c r="H76" s="1" t="s">
        <v>2</v>
      </c>
      <c r="I76" s="3">
        <v>0</v>
      </c>
      <c r="J76" s="3">
        <v>0</v>
      </c>
      <c r="K76" s="3">
        <v>0</v>
      </c>
      <c r="L76" s="3">
        <v>0</v>
      </c>
      <c r="M76" s="3">
        <v>0</v>
      </c>
      <c r="N76" s="3">
        <v>0</v>
      </c>
      <c r="O76" s="3">
        <v>0</v>
      </c>
      <c r="P76" s="3">
        <v>0</v>
      </c>
      <c r="Q76" s="3">
        <v>0</v>
      </c>
      <c r="R76" s="3">
        <v>0</v>
      </c>
      <c r="S76" s="3">
        <v>0</v>
      </c>
    </row>
    <row r="77" spans="1:19" x14ac:dyDescent="0.25">
      <c r="A77" s="1" t="s">
        <v>1</v>
      </c>
      <c r="B77" s="1" t="s">
        <v>574</v>
      </c>
      <c r="C77" s="1" t="s">
        <v>471</v>
      </c>
      <c r="D77" s="1" t="s">
        <v>572</v>
      </c>
      <c r="E77" s="1" t="s">
        <v>575</v>
      </c>
      <c r="F77" s="3">
        <v>1</v>
      </c>
      <c r="G77" s="1">
        <v>2037</v>
      </c>
      <c r="H77" s="1" t="s">
        <v>2</v>
      </c>
      <c r="I77" s="3">
        <v>0</v>
      </c>
      <c r="J77" s="3">
        <v>0</v>
      </c>
      <c r="K77" s="3">
        <v>0</v>
      </c>
      <c r="L77" s="3">
        <v>0</v>
      </c>
      <c r="M77" s="3">
        <v>0</v>
      </c>
      <c r="N77" s="3">
        <v>0</v>
      </c>
      <c r="O77" s="3">
        <v>0</v>
      </c>
      <c r="P77" s="3">
        <v>0</v>
      </c>
      <c r="Q77" s="3">
        <v>0</v>
      </c>
      <c r="R77" s="3">
        <v>0</v>
      </c>
      <c r="S77" s="3">
        <v>0</v>
      </c>
    </row>
    <row r="78" spans="1:19" x14ac:dyDescent="0.25">
      <c r="A78" s="1" t="s">
        <v>1</v>
      </c>
      <c r="B78" s="1" t="s">
        <v>574</v>
      </c>
      <c r="C78" s="1" t="s">
        <v>471</v>
      </c>
      <c r="D78" s="1" t="s">
        <v>572</v>
      </c>
      <c r="E78" s="1" t="s">
        <v>575</v>
      </c>
      <c r="F78" s="3">
        <v>1</v>
      </c>
      <c r="G78" s="1">
        <v>2038</v>
      </c>
      <c r="H78" s="1" t="s">
        <v>2</v>
      </c>
      <c r="I78" s="3">
        <v>0</v>
      </c>
      <c r="J78" s="3">
        <v>0</v>
      </c>
      <c r="K78" s="3">
        <v>0</v>
      </c>
      <c r="L78" s="3">
        <v>0</v>
      </c>
      <c r="M78" s="3">
        <v>0</v>
      </c>
      <c r="N78" s="3">
        <v>0</v>
      </c>
      <c r="O78" s="3">
        <v>0</v>
      </c>
      <c r="P78" s="3">
        <v>0</v>
      </c>
      <c r="Q78" s="3">
        <v>0</v>
      </c>
      <c r="R78" s="3">
        <v>0</v>
      </c>
      <c r="S78" s="3">
        <v>0</v>
      </c>
    </row>
    <row r="79" spans="1:19" x14ac:dyDescent="0.25">
      <c r="A79" s="1" t="s">
        <v>1</v>
      </c>
      <c r="B79" s="1" t="s">
        <v>574</v>
      </c>
      <c r="C79" s="1" t="s">
        <v>471</v>
      </c>
      <c r="D79" s="1" t="s">
        <v>572</v>
      </c>
      <c r="E79" s="1" t="s">
        <v>575</v>
      </c>
      <c r="F79" s="3">
        <v>1</v>
      </c>
      <c r="G79" s="1">
        <v>2039</v>
      </c>
      <c r="H79" s="1" t="s">
        <v>2</v>
      </c>
      <c r="I79" s="3">
        <v>0</v>
      </c>
      <c r="J79" s="3">
        <v>0</v>
      </c>
      <c r="K79" s="3">
        <v>0</v>
      </c>
      <c r="L79" s="3">
        <v>0</v>
      </c>
      <c r="M79" s="3">
        <v>0</v>
      </c>
      <c r="N79" s="3">
        <v>0</v>
      </c>
      <c r="O79" s="3">
        <v>0</v>
      </c>
      <c r="P79" s="3">
        <v>0</v>
      </c>
      <c r="Q79" s="3">
        <v>0</v>
      </c>
      <c r="R79" s="3">
        <v>0</v>
      </c>
      <c r="S79" s="3">
        <v>0</v>
      </c>
    </row>
    <row r="80" spans="1:19" x14ac:dyDescent="0.25">
      <c r="A80" s="1" t="s">
        <v>1</v>
      </c>
      <c r="B80" s="1" t="s">
        <v>574</v>
      </c>
      <c r="C80" s="1" t="s">
        <v>471</v>
      </c>
      <c r="D80" s="1" t="s">
        <v>572</v>
      </c>
      <c r="E80" s="1" t="s">
        <v>575</v>
      </c>
      <c r="F80" s="3">
        <v>1</v>
      </c>
      <c r="G80" s="1">
        <v>2040</v>
      </c>
      <c r="H80" s="1" t="s">
        <v>2</v>
      </c>
      <c r="I80" s="3">
        <v>0</v>
      </c>
      <c r="J80" s="3">
        <v>0</v>
      </c>
      <c r="K80" s="3">
        <v>0</v>
      </c>
      <c r="L80" s="3">
        <v>0</v>
      </c>
      <c r="M80" s="3">
        <v>0</v>
      </c>
      <c r="N80" s="3">
        <v>0</v>
      </c>
      <c r="O80" s="3">
        <v>0</v>
      </c>
      <c r="P80" s="3">
        <v>0</v>
      </c>
      <c r="Q80" s="3">
        <v>0</v>
      </c>
      <c r="R80" s="3">
        <v>0</v>
      </c>
      <c r="S80" s="3">
        <v>0</v>
      </c>
    </row>
    <row r="81" spans="1:19" x14ac:dyDescent="0.25">
      <c r="A81" s="1" t="s">
        <v>1</v>
      </c>
      <c r="B81" s="1" t="s">
        <v>574</v>
      </c>
      <c r="C81" s="1" t="s">
        <v>471</v>
      </c>
      <c r="D81" s="1" t="s">
        <v>572</v>
      </c>
      <c r="E81" s="1" t="s">
        <v>575</v>
      </c>
      <c r="F81" s="3">
        <v>1</v>
      </c>
      <c r="G81" s="1">
        <v>2041</v>
      </c>
      <c r="H81" s="1" t="s">
        <v>2</v>
      </c>
      <c r="I81" s="3">
        <v>0</v>
      </c>
      <c r="J81" s="3">
        <v>0</v>
      </c>
      <c r="K81" s="3">
        <v>0</v>
      </c>
      <c r="L81" s="3">
        <v>0</v>
      </c>
      <c r="M81" s="3">
        <v>0</v>
      </c>
      <c r="N81" s="3">
        <v>0</v>
      </c>
      <c r="O81" s="3">
        <v>0</v>
      </c>
      <c r="P81" s="3">
        <v>0</v>
      </c>
      <c r="Q81" s="3">
        <v>0</v>
      </c>
      <c r="R81" s="3">
        <v>0</v>
      </c>
      <c r="S81" s="3">
        <v>0</v>
      </c>
    </row>
    <row r="82" spans="1:19" x14ac:dyDescent="0.25">
      <c r="A82" s="1" t="s">
        <v>1</v>
      </c>
      <c r="B82" s="1" t="s">
        <v>574</v>
      </c>
      <c r="C82" s="1" t="s">
        <v>471</v>
      </c>
      <c r="D82" s="1" t="s">
        <v>572</v>
      </c>
      <c r="E82" s="1" t="s">
        <v>575</v>
      </c>
      <c r="F82" s="3">
        <v>1</v>
      </c>
      <c r="G82" s="1">
        <v>2042</v>
      </c>
      <c r="H82" s="1" t="s">
        <v>2</v>
      </c>
      <c r="I82" s="3">
        <v>0</v>
      </c>
      <c r="J82" s="3">
        <v>0</v>
      </c>
      <c r="K82" s="3">
        <v>0</v>
      </c>
      <c r="L82" s="3">
        <v>0</v>
      </c>
      <c r="M82" s="3">
        <v>0</v>
      </c>
      <c r="N82" s="3">
        <v>0</v>
      </c>
      <c r="O82" s="3">
        <v>0</v>
      </c>
      <c r="P82" s="3">
        <v>0</v>
      </c>
      <c r="Q82" s="3">
        <v>0</v>
      </c>
      <c r="R82" s="3">
        <v>0</v>
      </c>
      <c r="S82" s="3">
        <v>0</v>
      </c>
    </row>
    <row r="83" spans="1:19" x14ac:dyDescent="0.25">
      <c r="A83" s="1" t="s">
        <v>1</v>
      </c>
      <c r="B83" s="1" t="s">
        <v>574</v>
      </c>
      <c r="C83" s="1" t="s">
        <v>471</v>
      </c>
      <c r="D83" s="1" t="s">
        <v>572</v>
      </c>
      <c r="E83" s="1" t="s">
        <v>575</v>
      </c>
      <c r="F83" s="3">
        <v>1</v>
      </c>
      <c r="G83" s="1">
        <v>2043</v>
      </c>
      <c r="H83" s="1" t="s">
        <v>2</v>
      </c>
      <c r="I83" s="3">
        <v>0</v>
      </c>
      <c r="J83" s="3">
        <v>0</v>
      </c>
      <c r="K83" s="3">
        <v>0</v>
      </c>
      <c r="L83" s="3">
        <v>0</v>
      </c>
      <c r="M83" s="3">
        <v>0</v>
      </c>
      <c r="N83" s="3">
        <v>0</v>
      </c>
      <c r="O83" s="3">
        <v>0</v>
      </c>
      <c r="P83" s="3">
        <v>0</v>
      </c>
      <c r="Q83" s="3">
        <v>0</v>
      </c>
      <c r="R83" s="3">
        <v>0</v>
      </c>
      <c r="S83" s="3">
        <v>0</v>
      </c>
    </row>
    <row r="84" spans="1:19" x14ac:dyDescent="0.25">
      <c r="A84" s="1" t="s">
        <v>1</v>
      </c>
      <c r="B84" s="1" t="s">
        <v>574</v>
      </c>
      <c r="C84" s="1" t="s">
        <v>471</v>
      </c>
      <c r="D84" s="1" t="s">
        <v>572</v>
      </c>
      <c r="E84" s="1" t="s">
        <v>575</v>
      </c>
      <c r="F84" s="3">
        <v>1</v>
      </c>
      <c r="G84" s="1">
        <v>2044</v>
      </c>
      <c r="H84" s="1" t="s">
        <v>2</v>
      </c>
      <c r="I84" s="3">
        <v>0</v>
      </c>
      <c r="J84" s="3">
        <v>0</v>
      </c>
      <c r="K84" s="3">
        <v>0</v>
      </c>
      <c r="L84" s="3">
        <v>0</v>
      </c>
      <c r="M84" s="3">
        <v>0</v>
      </c>
      <c r="N84" s="3">
        <v>0</v>
      </c>
      <c r="O84" s="3">
        <v>0</v>
      </c>
      <c r="P84" s="3">
        <v>0</v>
      </c>
      <c r="Q84" s="3">
        <v>0</v>
      </c>
      <c r="R84" s="3">
        <v>0</v>
      </c>
      <c r="S84" s="3">
        <v>0</v>
      </c>
    </row>
    <row r="85" spans="1:19" x14ac:dyDescent="0.25">
      <c r="A85" s="1" t="s">
        <v>1</v>
      </c>
      <c r="B85" s="1" t="s">
        <v>574</v>
      </c>
      <c r="C85" s="1" t="s">
        <v>471</v>
      </c>
      <c r="D85" s="1" t="s">
        <v>572</v>
      </c>
      <c r="E85" s="1" t="s">
        <v>575</v>
      </c>
      <c r="F85" s="3">
        <v>1</v>
      </c>
      <c r="G85" s="1">
        <v>2045</v>
      </c>
      <c r="H85" s="1" t="s">
        <v>2</v>
      </c>
      <c r="I85" s="3">
        <v>0</v>
      </c>
      <c r="J85" s="3">
        <v>0</v>
      </c>
      <c r="K85" s="3">
        <v>0</v>
      </c>
      <c r="L85" s="3">
        <v>0</v>
      </c>
      <c r="M85" s="3">
        <v>0</v>
      </c>
      <c r="N85" s="3">
        <v>0</v>
      </c>
      <c r="O85" s="3">
        <v>0</v>
      </c>
      <c r="P85" s="3">
        <v>0</v>
      </c>
      <c r="Q85" s="3">
        <v>0</v>
      </c>
      <c r="R85" s="3">
        <v>0</v>
      </c>
      <c r="S85" s="3">
        <v>0</v>
      </c>
    </row>
    <row r="86" spans="1:19" x14ac:dyDescent="0.25">
      <c r="A86" s="1" t="s">
        <v>1</v>
      </c>
      <c r="B86" s="1" t="s">
        <v>574</v>
      </c>
      <c r="C86" s="1" t="s">
        <v>471</v>
      </c>
      <c r="D86" s="1" t="s">
        <v>572</v>
      </c>
      <c r="E86" s="1" t="s">
        <v>575</v>
      </c>
      <c r="F86" s="3">
        <v>1</v>
      </c>
      <c r="G86" s="1">
        <v>2046</v>
      </c>
      <c r="H86" s="1" t="s">
        <v>2</v>
      </c>
      <c r="I86" s="3">
        <v>0</v>
      </c>
      <c r="J86" s="3">
        <v>0</v>
      </c>
      <c r="K86" s="3">
        <v>0</v>
      </c>
      <c r="L86" s="3">
        <v>0</v>
      </c>
      <c r="M86" s="3">
        <v>0</v>
      </c>
      <c r="N86" s="3">
        <v>0</v>
      </c>
      <c r="O86" s="3">
        <v>0</v>
      </c>
      <c r="P86" s="3">
        <v>0</v>
      </c>
      <c r="Q86" s="3">
        <v>0</v>
      </c>
      <c r="R86" s="3">
        <v>0</v>
      </c>
      <c r="S86" s="3">
        <v>0</v>
      </c>
    </row>
    <row r="87" spans="1:19" x14ac:dyDescent="0.25">
      <c r="A87" s="1" t="s">
        <v>1</v>
      </c>
      <c r="B87" s="1" t="s">
        <v>574</v>
      </c>
      <c r="C87" s="1" t="s">
        <v>471</v>
      </c>
      <c r="D87" s="1" t="s">
        <v>572</v>
      </c>
      <c r="E87" s="1" t="s">
        <v>575</v>
      </c>
      <c r="F87" s="3">
        <v>1</v>
      </c>
      <c r="G87" s="1">
        <v>2047</v>
      </c>
      <c r="H87" s="1" t="s">
        <v>2</v>
      </c>
      <c r="I87" s="3">
        <v>0</v>
      </c>
      <c r="J87" s="3">
        <v>0</v>
      </c>
      <c r="K87" s="3">
        <v>0</v>
      </c>
      <c r="L87" s="3">
        <v>0</v>
      </c>
      <c r="M87" s="3">
        <v>0</v>
      </c>
      <c r="N87" s="3">
        <v>0</v>
      </c>
      <c r="O87" s="3">
        <v>0</v>
      </c>
      <c r="P87" s="3">
        <v>0</v>
      </c>
      <c r="Q87" s="3">
        <v>0</v>
      </c>
      <c r="R87" s="3">
        <v>0</v>
      </c>
      <c r="S87" s="3">
        <v>0</v>
      </c>
    </row>
    <row r="88" spans="1:19" x14ac:dyDescent="0.25">
      <c r="A88" s="1" t="s">
        <v>1</v>
      </c>
      <c r="B88" s="1" t="s">
        <v>574</v>
      </c>
      <c r="C88" s="1" t="s">
        <v>471</v>
      </c>
      <c r="D88" s="1" t="s">
        <v>572</v>
      </c>
      <c r="E88" s="1" t="s">
        <v>575</v>
      </c>
      <c r="F88" s="3">
        <v>1</v>
      </c>
      <c r="G88" s="1">
        <v>2048</v>
      </c>
      <c r="H88" s="1" t="s">
        <v>2</v>
      </c>
      <c r="I88" s="3">
        <v>0</v>
      </c>
      <c r="J88" s="3">
        <v>0</v>
      </c>
      <c r="K88" s="3">
        <v>0</v>
      </c>
      <c r="L88" s="3">
        <v>0</v>
      </c>
      <c r="M88" s="3">
        <v>0</v>
      </c>
      <c r="N88" s="3">
        <v>0</v>
      </c>
      <c r="O88" s="3">
        <v>0</v>
      </c>
      <c r="P88" s="3">
        <v>0</v>
      </c>
      <c r="Q88" s="3">
        <v>0</v>
      </c>
      <c r="R88" s="3">
        <v>0</v>
      </c>
      <c r="S88" s="3">
        <v>0</v>
      </c>
    </row>
    <row r="89" spans="1:19" x14ac:dyDescent="0.25">
      <c r="A89" s="1" t="s">
        <v>1</v>
      </c>
      <c r="B89" s="1" t="s">
        <v>574</v>
      </c>
      <c r="C89" s="1" t="s">
        <v>471</v>
      </c>
      <c r="D89" s="1" t="s">
        <v>572</v>
      </c>
      <c r="E89" s="1" t="s">
        <v>575</v>
      </c>
      <c r="F89" s="3">
        <v>1</v>
      </c>
      <c r="G89" s="1">
        <v>2049</v>
      </c>
      <c r="H89" s="1" t="s">
        <v>2</v>
      </c>
      <c r="I89" s="3">
        <v>0</v>
      </c>
      <c r="J89" s="3">
        <v>0</v>
      </c>
      <c r="K89" s="3">
        <v>0</v>
      </c>
      <c r="L89" s="3">
        <v>0</v>
      </c>
      <c r="M89" s="3">
        <v>0</v>
      </c>
      <c r="N89" s="3">
        <v>0</v>
      </c>
      <c r="O89" s="3">
        <v>0</v>
      </c>
      <c r="P89" s="3">
        <v>0</v>
      </c>
      <c r="Q89" s="3">
        <v>0</v>
      </c>
      <c r="R89" s="3">
        <v>0</v>
      </c>
      <c r="S89" s="3">
        <v>0</v>
      </c>
    </row>
    <row r="90" spans="1:19" x14ac:dyDescent="0.25">
      <c r="A90" s="1" t="s">
        <v>1</v>
      </c>
      <c r="B90" s="1" t="s">
        <v>574</v>
      </c>
      <c r="C90" s="1" t="s">
        <v>471</v>
      </c>
      <c r="D90" s="1" t="s">
        <v>572</v>
      </c>
      <c r="E90" s="1" t="s">
        <v>575</v>
      </c>
      <c r="F90" s="3">
        <v>1</v>
      </c>
      <c r="G90" s="1">
        <v>2050</v>
      </c>
      <c r="H90" s="1" t="s">
        <v>2</v>
      </c>
      <c r="I90" s="3">
        <v>0</v>
      </c>
      <c r="J90" s="3">
        <v>0</v>
      </c>
      <c r="K90" s="3">
        <v>0</v>
      </c>
      <c r="L90" s="3">
        <v>0</v>
      </c>
      <c r="M90" s="3">
        <v>0</v>
      </c>
      <c r="N90" s="3">
        <v>0</v>
      </c>
      <c r="O90" s="3">
        <v>0</v>
      </c>
      <c r="P90" s="3">
        <v>0</v>
      </c>
      <c r="Q90" s="3">
        <v>0</v>
      </c>
      <c r="R90" s="3">
        <v>0</v>
      </c>
      <c r="S90" s="3">
        <v>0</v>
      </c>
    </row>
    <row r="91" spans="1:19" x14ac:dyDescent="0.25">
      <c r="A91" s="1" t="s">
        <v>1</v>
      </c>
      <c r="B91" s="1" t="s">
        <v>574</v>
      </c>
      <c r="C91" s="1" t="s">
        <v>471</v>
      </c>
      <c r="D91" s="1" t="s">
        <v>572</v>
      </c>
      <c r="E91" s="1" t="s">
        <v>575</v>
      </c>
      <c r="F91" s="3">
        <v>1</v>
      </c>
      <c r="G91" s="1">
        <v>2051</v>
      </c>
      <c r="H91" s="1" t="s">
        <v>2</v>
      </c>
      <c r="I91" s="3">
        <v>0</v>
      </c>
      <c r="J91" s="3">
        <v>0</v>
      </c>
      <c r="K91" s="3">
        <v>0</v>
      </c>
      <c r="L91" s="3">
        <v>0</v>
      </c>
      <c r="M91" s="3">
        <v>0</v>
      </c>
      <c r="N91" s="3">
        <v>0</v>
      </c>
      <c r="O91" s="3">
        <v>0</v>
      </c>
      <c r="P91" s="3">
        <v>0</v>
      </c>
      <c r="Q91" s="3">
        <v>0</v>
      </c>
      <c r="R91" s="3">
        <v>0</v>
      </c>
      <c r="S91" s="3">
        <v>0</v>
      </c>
    </row>
    <row r="92" spans="1:19" x14ac:dyDescent="0.25">
      <c r="A92" s="1" t="s">
        <v>1</v>
      </c>
      <c r="B92" s="1" t="s">
        <v>574</v>
      </c>
      <c r="C92" s="1" t="s">
        <v>468</v>
      </c>
      <c r="D92" s="1" t="s">
        <v>572</v>
      </c>
      <c r="E92" s="1" t="s">
        <v>575</v>
      </c>
      <c r="F92" s="3">
        <v>1</v>
      </c>
      <c r="G92" s="1">
        <v>2022</v>
      </c>
      <c r="H92" s="1" t="s">
        <v>2</v>
      </c>
      <c r="I92" s="3">
        <v>0</v>
      </c>
      <c r="J92" s="3">
        <v>0</v>
      </c>
      <c r="K92" s="3">
        <v>0</v>
      </c>
      <c r="L92" s="3">
        <v>0</v>
      </c>
      <c r="M92" s="3">
        <v>0</v>
      </c>
      <c r="N92" s="3">
        <v>0</v>
      </c>
      <c r="O92" s="3">
        <v>0</v>
      </c>
      <c r="P92" s="3">
        <v>0</v>
      </c>
      <c r="Q92" s="3">
        <v>0</v>
      </c>
      <c r="R92" s="3">
        <v>0</v>
      </c>
      <c r="S92" s="3">
        <v>0</v>
      </c>
    </row>
    <row r="93" spans="1:19" x14ac:dyDescent="0.25">
      <c r="A93" s="1" t="s">
        <v>1</v>
      </c>
      <c r="B93" s="1" t="s">
        <v>574</v>
      </c>
      <c r="C93" s="1" t="s">
        <v>468</v>
      </c>
      <c r="D93" s="1" t="s">
        <v>572</v>
      </c>
      <c r="E93" s="1" t="s">
        <v>575</v>
      </c>
      <c r="F93" s="3">
        <v>1</v>
      </c>
      <c r="G93" s="1">
        <v>2023</v>
      </c>
      <c r="H93" s="1" t="s">
        <v>2</v>
      </c>
      <c r="I93" s="3">
        <v>48.808283289999999</v>
      </c>
      <c r="J93" s="3">
        <v>69.964532719999994</v>
      </c>
      <c r="K93" s="3">
        <v>50.78756276</v>
      </c>
      <c r="L93" s="3">
        <v>44.43716474</v>
      </c>
      <c r="M93" s="3">
        <v>50.78756276</v>
      </c>
      <c r="N93" s="3">
        <v>50.78756276</v>
      </c>
      <c r="O93" s="3">
        <v>68.971160019999999</v>
      </c>
      <c r="P93" s="3">
        <v>0</v>
      </c>
      <c r="Q93" s="3">
        <v>50.78756276</v>
      </c>
      <c r="R93" s="3">
        <v>50.78756276</v>
      </c>
      <c r="S93" s="3">
        <v>50.77216164</v>
      </c>
    </row>
    <row r="94" spans="1:19" x14ac:dyDescent="0.25">
      <c r="A94" s="1" t="s">
        <v>1</v>
      </c>
      <c r="B94" s="1" t="s">
        <v>574</v>
      </c>
      <c r="C94" s="1" t="s">
        <v>468</v>
      </c>
      <c r="D94" s="1" t="s">
        <v>572</v>
      </c>
      <c r="E94" s="1" t="s">
        <v>575</v>
      </c>
      <c r="F94" s="3">
        <v>1</v>
      </c>
      <c r="G94" s="1">
        <v>2024</v>
      </c>
      <c r="H94" s="1" t="s">
        <v>2</v>
      </c>
      <c r="I94" s="3">
        <v>3.9145092099999999</v>
      </c>
      <c r="J94" s="3">
        <v>24.761344260000001</v>
      </c>
      <c r="K94" s="3">
        <v>2.18610441</v>
      </c>
      <c r="L94" s="3">
        <v>0</v>
      </c>
      <c r="M94" s="3">
        <v>3.9216767699999999</v>
      </c>
      <c r="N94" s="3">
        <v>0</v>
      </c>
      <c r="O94" s="3">
        <v>0</v>
      </c>
      <c r="P94" s="3">
        <v>0</v>
      </c>
      <c r="Q94" s="3">
        <v>2.18610441</v>
      </c>
      <c r="R94" s="3">
        <v>2.18610441</v>
      </c>
      <c r="S94" s="3">
        <v>3.9037578800000001</v>
      </c>
    </row>
    <row r="95" spans="1:19" x14ac:dyDescent="0.25">
      <c r="A95" s="1" t="s">
        <v>1</v>
      </c>
      <c r="B95" s="1" t="s">
        <v>574</v>
      </c>
      <c r="C95" s="1" t="s">
        <v>468</v>
      </c>
      <c r="D95" s="1" t="s">
        <v>572</v>
      </c>
      <c r="E95" s="1" t="s">
        <v>575</v>
      </c>
      <c r="F95" s="3">
        <v>1</v>
      </c>
      <c r="G95" s="1">
        <v>2025</v>
      </c>
      <c r="H95" s="1" t="s">
        <v>2</v>
      </c>
      <c r="I95" s="3">
        <v>83.412538080000004</v>
      </c>
      <c r="J95" s="3">
        <v>193.98304503</v>
      </c>
      <c r="K95" s="3">
        <v>84.240083060000003</v>
      </c>
      <c r="L95" s="3">
        <v>58.08873766</v>
      </c>
      <c r="M95" s="3">
        <v>28.777749050000001</v>
      </c>
      <c r="N95" s="3">
        <v>27.141938029999999</v>
      </c>
      <c r="O95" s="3">
        <v>0</v>
      </c>
      <c r="P95" s="3">
        <v>47.204252459999999</v>
      </c>
      <c r="Q95" s="3">
        <v>133.69272935999999</v>
      </c>
      <c r="R95" s="3">
        <v>133.69272935999999</v>
      </c>
      <c r="S95" s="3">
        <v>127.30411681</v>
      </c>
    </row>
    <row r="96" spans="1:19" x14ac:dyDescent="0.25">
      <c r="A96" s="1" t="s">
        <v>1</v>
      </c>
      <c r="B96" s="1" t="s">
        <v>574</v>
      </c>
      <c r="C96" s="1" t="s">
        <v>468</v>
      </c>
      <c r="D96" s="1" t="s">
        <v>572</v>
      </c>
      <c r="E96" s="1" t="s">
        <v>575</v>
      </c>
      <c r="F96" s="3">
        <v>1</v>
      </c>
      <c r="G96" s="1">
        <v>2026</v>
      </c>
      <c r="H96" s="1" t="s">
        <v>2</v>
      </c>
      <c r="I96" s="3">
        <v>0</v>
      </c>
      <c r="J96" s="3">
        <v>0</v>
      </c>
      <c r="K96" s="3">
        <v>0</v>
      </c>
      <c r="L96" s="3">
        <v>0</v>
      </c>
      <c r="M96" s="3">
        <v>0</v>
      </c>
      <c r="N96" s="3">
        <v>0</v>
      </c>
      <c r="O96" s="3">
        <v>0</v>
      </c>
      <c r="P96" s="3">
        <v>0</v>
      </c>
      <c r="Q96" s="3">
        <v>0</v>
      </c>
      <c r="R96" s="3">
        <v>0</v>
      </c>
      <c r="S96" s="3">
        <v>0</v>
      </c>
    </row>
    <row r="97" spans="1:19" x14ac:dyDescent="0.25">
      <c r="A97" s="1" t="s">
        <v>1</v>
      </c>
      <c r="B97" s="1" t="s">
        <v>574</v>
      </c>
      <c r="C97" s="1" t="s">
        <v>468</v>
      </c>
      <c r="D97" s="1" t="s">
        <v>572</v>
      </c>
      <c r="E97" s="1" t="s">
        <v>575</v>
      </c>
      <c r="F97" s="3">
        <v>1</v>
      </c>
      <c r="G97" s="1">
        <v>2027</v>
      </c>
      <c r="H97" s="1" t="s">
        <v>2</v>
      </c>
      <c r="I97" s="3">
        <v>10.53115257</v>
      </c>
      <c r="J97" s="3">
        <v>0</v>
      </c>
      <c r="K97" s="3">
        <v>6.5589544699999998</v>
      </c>
      <c r="L97" s="3">
        <v>19.476096930000001</v>
      </c>
      <c r="M97" s="3">
        <v>79.276474289999996</v>
      </c>
      <c r="N97" s="3">
        <v>0</v>
      </c>
      <c r="O97" s="3">
        <v>0</v>
      </c>
      <c r="P97" s="3">
        <v>0</v>
      </c>
      <c r="Q97" s="3">
        <v>0</v>
      </c>
      <c r="R97" s="3">
        <v>0</v>
      </c>
      <c r="S97" s="3">
        <v>0</v>
      </c>
    </row>
    <row r="98" spans="1:19" x14ac:dyDescent="0.25">
      <c r="A98" s="1" t="s">
        <v>1</v>
      </c>
      <c r="B98" s="1" t="s">
        <v>574</v>
      </c>
      <c r="C98" s="1" t="s">
        <v>468</v>
      </c>
      <c r="D98" s="1" t="s">
        <v>572</v>
      </c>
      <c r="E98" s="1" t="s">
        <v>575</v>
      </c>
      <c r="F98" s="3">
        <v>1</v>
      </c>
      <c r="G98" s="1">
        <v>2028</v>
      </c>
      <c r="H98" s="1" t="s">
        <v>2</v>
      </c>
      <c r="I98" s="3">
        <v>2.6726807099999998</v>
      </c>
      <c r="J98" s="3">
        <v>19.193194330000001</v>
      </c>
      <c r="K98" s="3">
        <v>0</v>
      </c>
      <c r="L98" s="3">
        <v>0</v>
      </c>
      <c r="M98" s="3">
        <v>7.5336127499999996</v>
      </c>
      <c r="N98" s="3">
        <v>0</v>
      </c>
      <c r="O98" s="3">
        <v>0</v>
      </c>
      <c r="P98" s="3">
        <v>0</v>
      </c>
      <c r="Q98" s="3">
        <v>0</v>
      </c>
      <c r="R98" s="3">
        <v>0</v>
      </c>
      <c r="S98" s="3">
        <v>0</v>
      </c>
    </row>
    <row r="99" spans="1:19" x14ac:dyDescent="0.25">
      <c r="A99" s="1" t="s">
        <v>1</v>
      </c>
      <c r="B99" s="1" t="s">
        <v>574</v>
      </c>
      <c r="C99" s="1" t="s">
        <v>468</v>
      </c>
      <c r="D99" s="1" t="s">
        <v>572</v>
      </c>
      <c r="E99" s="1" t="s">
        <v>575</v>
      </c>
      <c r="F99" s="3">
        <v>1</v>
      </c>
      <c r="G99" s="1">
        <v>2029</v>
      </c>
      <c r="H99" s="1" t="s">
        <v>2</v>
      </c>
      <c r="I99" s="3">
        <v>3.0545570000000001E-2</v>
      </c>
      <c r="J99" s="3">
        <v>0</v>
      </c>
      <c r="K99" s="3">
        <v>0</v>
      </c>
      <c r="L99" s="3">
        <v>0</v>
      </c>
      <c r="M99" s="3">
        <v>0.30545569</v>
      </c>
      <c r="N99" s="3">
        <v>0</v>
      </c>
      <c r="O99" s="3">
        <v>0</v>
      </c>
      <c r="P99" s="3">
        <v>0</v>
      </c>
      <c r="Q99" s="3">
        <v>0</v>
      </c>
      <c r="R99" s="3">
        <v>0</v>
      </c>
      <c r="S99" s="3">
        <v>0</v>
      </c>
    </row>
    <row r="100" spans="1:19" x14ac:dyDescent="0.25">
      <c r="A100" s="1" t="s">
        <v>1</v>
      </c>
      <c r="B100" s="1" t="s">
        <v>574</v>
      </c>
      <c r="C100" s="1" t="s">
        <v>468</v>
      </c>
      <c r="D100" s="1" t="s">
        <v>572</v>
      </c>
      <c r="E100" s="1" t="s">
        <v>575</v>
      </c>
      <c r="F100" s="3">
        <v>1</v>
      </c>
      <c r="G100" s="1">
        <v>2030</v>
      </c>
      <c r="H100" s="1" t="s">
        <v>2</v>
      </c>
      <c r="I100" s="3">
        <v>0.36654682</v>
      </c>
      <c r="J100" s="3">
        <v>0</v>
      </c>
      <c r="K100" s="3">
        <v>0</v>
      </c>
      <c r="L100" s="3">
        <v>0</v>
      </c>
      <c r="M100" s="3">
        <v>3.6654682200000002</v>
      </c>
      <c r="N100" s="3">
        <v>0</v>
      </c>
      <c r="O100" s="3">
        <v>0</v>
      </c>
      <c r="P100" s="3">
        <v>0</v>
      </c>
      <c r="Q100" s="3">
        <v>0</v>
      </c>
      <c r="R100" s="3">
        <v>0</v>
      </c>
      <c r="S100" s="3">
        <v>0</v>
      </c>
    </row>
    <row r="101" spans="1:19" x14ac:dyDescent="0.25">
      <c r="A101" s="1" t="s">
        <v>1</v>
      </c>
      <c r="B101" s="1" t="s">
        <v>574</v>
      </c>
      <c r="C101" s="1" t="s">
        <v>468</v>
      </c>
      <c r="D101" s="1" t="s">
        <v>572</v>
      </c>
      <c r="E101" s="1" t="s">
        <v>575</v>
      </c>
      <c r="F101" s="3">
        <v>1</v>
      </c>
      <c r="G101" s="1">
        <v>2031</v>
      </c>
      <c r="H101" s="1" t="s">
        <v>2</v>
      </c>
      <c r="I101" s="3">
        <v>0.32958411999999998</v>
      </c>
      <c r="J101" s="3">
        <v>0</v>
      </c>
      <c r="K101" s="3">
        <v>0</v>
      </c>
      <c r="L101" s="3">
        <v>0</v>
      </c>
      <c r="M101" s="3">
        <v>3.29584118</v>
      </c>
      <c r="N101" s="3">
        <v>0</v>
      </c>
      <c r="O101" s="3">
        <v>0</v>
      </c>
      <c r="P101" s="3">
        <v>0</v>
      </c>
      <c r="Q101" s="3">
        <v>0</v>
      </c>
      <c r="R101" s="3">
        <v>0</v>
      </c>
      <c r="S101" s="3">
        <v>0</v>
      </c>
    </row>
    <row r="102" spans="1:19" x14ac:dyDescent="0.25">
      <c r="A102" s="1" t="s">
        <v>1</v>
      </c>
      <c r="B102" s="1" t="s">
        <v>574</v>
      </c>
      <c r="C102" s="1" t="s">
        <v>468</v>
      </c>
      <c r="D102" s="1" t="s">
        <v>572</v>
      </c>
      <c r="E102" s="1" t="s">
        <v>575</v>
      </c>
      <c r="F102" s="3">
        <v>1</v>
      </c>
      <c r="G102" s="1">
        <v>2032</v>
      </c>
      <c r="H102" s="1" t="s">
        <v>2</v>
      </c>
      <c r="I102" s="3">
        <v>3.2765969999999998E-2</v>
      </c>
      <c r="J102" s="3">
        <v>0</v>
      </c>
      <c r="K102" s="3">
        <v>0</v>
      </c>
      <c r="L102" s="3">
        <v>0</v>
      </c>
      <c r="M102" s="3">
        <v>0.32765968000000001</v>
      </c>
      <c r="N102" s="3">
        <v>0</v>
      </c>
      <c r="O102" s="3">
        <v>0</v>
      </c>
      <c r="P102" s="3">
        <v>0</v>
      </c>
      <c r="Q102" s="3">
        <v>0</v>
      </c>
      <c r="R102" s="3">
        <v>0</v>
      </c>
      <c r="S102" s="3">
        <v>0</v>
      </c>
    </row>
    <row r="103" spans="1:19" x14ac:dyDescent="0.25">
      <c r="A103" s="1" t="s">
        <v>1</v>
      </c>
      <c r="B103" s="1" t="s">
        <v>574</v>
      </c>
      <c r="C103" s="1" t="s">
        <v>468</v>
      </c>
      <c r="D103" s="1" t="s">
        <v>572</v>
      </c>
      <c r="E103" s="1" t="s">
        <v>575</v>
      </c>
      <c r="F103" s="3">
        <v>1</v>
      </c>
      <c r="G103" s="1">
        <v>2033</v>
      </c>
      <c r="H103" s="1" t="s">
        <v>2</v>
      </c>
      <c r="I103" s="3">
        <v>4.0299620000000001E-2</v>
      </c>
      <c r="J103" s="3">
        <v>0</v>
      </c>
      <c r="K103" s="3">
        <v>0</v>
      </c>
      <c r="L103" s="3">
        <v>0</v>
      </c>
      <c r="M103" s="3">
        <v>0.40299615999999999</v>
      </c>
      <c r="N103" s="3">
        <v>0</v>
      </c>
      <c r="O103" s="3">
        <v>0</v>
      </c>
      <c r="P103" s="3">
        <v>0</v>
      </c>
      <c r="Q103" s="3">
        <v>0</v>
      </c>
      <c r="R103" s="3">
        <v>0</v>
      </c>
      <c r="S103" s="3">
        <v>0</v>
      </c>
    </row>
    <row r="104" spans="1:19" x14ac:dyDescent="0.25">
      <c r="A104" s="1" t="s">
        <v>1</v>
      </c>
      <c r="B104" s="1" t="s">
        <v>574</v>
      </c>
      <c r="C104" s="1" t="s">
        <v>468</v>
      </c>
      <c r="D104" s="1" t="s">
        <v>572</v>
      </c>
      <c r="E104" s="1" t="s">
        <v>575</v>
      </c>
      <c r="F104" s="3">
        <v>1</v>
      </c>
      <c r="G104" s="1">
        <v>2034</v>
      </c>
      <c r="H104" s="1" t="s">
        <v>2</v>
      </c>
      <c r="I104" s="3">
        <v>0</v>
      </c>
      <c r="J104" s="3">
        <v>0</v>
      </c>
      <c r="K104" s="3">
        <v>0</v>
      </c>
      <c r="L104" s="3">
        <v>0</v>
      </c>
      <c r="M104" s="3">
        <v>0</v>
      </c>
      <c r="N104" s="3">
        <v>0</v>
      </c>
      <c r="O104" s="3">
        <v>0</v>
      </c>
      <c r="P104" s="3">
        <v>0</v>
      </c>
      <c r="Q104" s="3">
        <v>0</v>
      </c>
      <c r="R104" s="3">
        <v>0</v>
      </c>
      <c r="S104" s="3">
        <v>0</v>
      </c>
    </row>
    <row r="105" spans="1:19" x14ac:dyDescent="0.25">
      <c r="A105" s="1" t="s">
        <v>1</v>
      </c>
      <c r="B105" s="1" t="s">
        <v>574</v>
      </c>
      <c r="C105" s="1" t="s">
        <v>468</v>
      </c>
      <c r="D105" s="1" t="s">
        <v>572</v>
      </c>
      <c r="E105" s="1" t="s">
        <v>575</v>
      </c>
      <c r="F105" s="3">
        <v>1</v>
      </c>
      <c r="G105" s="1">
        <v>2035</v>
      </c>
      <c r="H105" s="1" t="s">
        <v>2</v>
      </c>
      <c r="I105" s="3">
        <v>4.5176639999999997E-2</v>
      </c>
      <c r="J105" s="3">
        <v>0</v>
      </c>
      <c r="K105" s="3">
        <v>0</v>
      </c>
      <c r="L105" s="3">
        <v>0</v>
      </c>
      <c r="M105" s="3">
        <v>0.45176639000000002</v>
      </c>
      <c r="N105" s="3">
        <v>0</v>
      </c>
      <c r="O105" s="3">
        <v>0</v>
      </c>
      <c r="P105" s="3">
        <v>0</v>
      </c>
      <c r="Q105" s="3">
        <v>0</v>
      </c>
      <c r="R105" s="3">
        <v>0</v>
      </c>
      <c r="S105" s="3">
        <v>0</v>
      </c>
    </row>
    <row r="106" spans="1:19" x14ac:dyDescent="0.25">
      <c r="A106" s="1" t="s">
        <v>1</v>
      </c>
      <c r="B106" s="1" t="s">
        <v>574</v>
      </c>
      <c r="C106" s="1" t="s">
        <v>468</v>
      </c>
      <c r="D106" s="1" t="s">
        <v>572</v>
      </c>
      <c r="E106" s="1" t="s">
        <v>575</v>
      </c>
      <c r="F106" s="3">
        <v>1</v>
      </c>
      <c r="G106" s="1">
        <v>2036</v>
      </c>
      <c r="H106" s="1" t="s">
        <v>2</v>
      </c>
      <c r="I106" s="3">
        <v>0</v>
      </c>
      <c r="J106" s="3">
        <v>0</v>
      </c>
      <c r="K106" s="3">
        <v>0</v>
      </c>
      <c r="L106" s="3">
        <v>0</v>
      </c>
      <c r="M106" s="3">
        <v>0</v>
      </c>
      <c r="N106" s="3">
        <v>0</v>
      </c>
      <c r="O106" s="3">
        <v>0</v>
      </c>
      <c r="P106" s="3">
        <v>0</v>
      </c>
      <c r="Q106" s="3">
        <v>0</v>
      </c>
      <c r="R106" s="3">
        <v>0</v>
      </c>
      <c r="S106" s="3">
        <v>0</v>
      </c>
    </row>
    <row r="107" spans="1:19" x14ac:dyDescent="0.25">
      <c r="A107" s="1" t="s">
        <v>1</v>
      </c>
      <c r="B107" s="1" t="s">
        <v>574</v>
      </c>
      <c r="C107" s="1" t="s">
        <v>468</v>
      </c>
      <c r="D107" s="1" t="s">
        <v>572</v>
      </c>
      <c r="E107" s="1" t="s">
        <v>575</v>
      </c>
      <c r="F107" s="3">
        <v>1</v>
      </c>
      <c r="G107" s="1">
        <v>2037</v>
      </c>
      <c r="H107" s="1" t="s">
        <v>2</v>
      </c>
      <c r="I107" s="3">
        <v>0</v>
      </c>
      <c r="J107" s="3">
        <v>0</v>
      </c>
      <c r="K107" s="3">
        <v>0</v>
      </c>
      <c r="L107" s="3">
        <v>0</v>
      </c>
      <c r="M107" s="3">
        <v>0</v>
      </c>
      <c r="N107" s="3">
        <v>0</v>
      </c>
      <c r="O107" s="3">
        <v>0</v>
      </c>
      <c r="P107" s="3">
        <v>0</v>
      </c>
      <c r="Q107" s="3">
        <v>0</v>
      </c>
      <c r="R107" s="3">
        <v>0</v>
      </c>
      <c r="S107" s="3">
        <v>0</v>
      </c>
    </row>
    <row r="108" spans="1:19" x14ac:dyDescent="0.25">
      <c r="A108" s="1" t="s">
        <v>1</v>
      </c>
      <c r="B108" s="1" t="s">
        <v>574</v>
      </c>
      <c r="C108" s="1" t="s">
        <v>468</v>
      </c>
      <c r="D108" s="1" t="s">
        <v>572</v>
      </c>
      <c r="E108" s="1" t="s">
        <v>575</v>
      </c>
      <c r="F108" s="3">
        <v>1</v>
      </c>
      <c r="G108" s="1">
        <v>2038</v>
      </c>
      <c r="H108" s="1" t="s">
        <v>2</v>
      </c>
      <c r="I108" s="3">
        <v>0</v>
      </c>
      <c r="J108" s="3">
        <v>0</v>
      </c>
      <c r="K108" s="3">
        <v>0</v>
      </c>
      <c r="L108" s="3">
        <v>0</v>
      </c>
      <c r="M108" s="3">
        <v>0</v>
      </c>
      <c r="N108" s="3">
        <v>0</v>
      </c>
      <c r="O108" s="3">
        <v>0</v>
      </c>
      <c r="P108" s="3">
        <v>0</v>
      </c>
      <c r="Q108" s="3">
        <v>0</v>
      </c>
      <c r="R108" s="3">
        <v>0</v>
      </c>
      <c r="S108" s="3">
        <v>0</v>
      </c>
    </row>
    <row r="109" spans="1:19" x14ac:dyDescent="0.25">
      <c r="A109" s="1" t="s">
        <v>1</v>
      </c>
      <c r="B109" s="1" t="s">
        <v>574</v>
      </c>
      <c r="C109" s="1" t="s">
        <v>468</v>
      </c>
      <c r="D109" s="1" t="s">
        <v>572</v>
      </c>
      <c r="E109" s="1" t="s">
        <v>575</v>
      </c>
      <c r="F109" s="3">
        <v>1</v>
      </c>
      <c r="G109" s="1">
        <v>2039</v>
      </c>
      <c r="H109" s="1" t="s">
        <v>2</v>
      </c>
      <c r="I109" s="3">
        <v>0</v>
      </c>
      <c r="J109" s="3">
        <v>0</v>
      </c>
      <c r="K109" s="3">
        <v>0</v>
      </c>
      <c r="L109" s="3">
        <v>0</v>
      </c>
      <c r="M109" s="3">
        <v>0</v>
      </c>
      <c r="N109" s="3">
        <v>0</v>
      </c>
      <c r="O109" s="3">
        <v>0</v>
      </c>
      <c r="P109" s="3">
        <v>0</v>
      </c>
      <c r="Q109" s="3">
        <v>0</v>
      </c>
      <c r="R109" s="3">
        <v>0</v>
      </c>
      <c r="S109" s="3">
        <v>0</v>
      </c>
    </row>
    <row r="110" spans="1:19" x14ac:dyDescent="0.25">
      <c r="A110" s="1" t="s">
        <v>1</v>
      </c>
      <c r="B110" s="1" t="s">
        <v>574</v>
      </c>
      <c r="C110" s="1" t="s">
        <v>468</v>
      </c>
      <c r="D110" s="1" t="s">
        <v>572</v>
      </c>
      <c r="E110" s="1" t="s">
        <v>575</v>
      </c>
      <c r="F110" s="3">
        <v>1</v>
      </c>
      <c r="G110" s="1">
        <v>2040</v>
      </c>
      <c r="H110" s="1" t="s">
        <v>2</v>
      </c>
      <c r="I110" s="3">
        <v>0</v>
      </c>
      <c r="J110" s="3">
        <v>0</v>
      </c>
      <c r="K110" s="3">
        <v>0</v>
      </c>
      <c r="L110" s="3">
        <v>0</v>
      </c>
      <c r="M110" s="3">
        <v>0</v>
      </c>
      <c r="N110" s="3">
        <v>0</v>
      </c>
      <c r="O110" s="3">
        <v>0</v>
      </c>
      <c r="P110" s="3">
        <v>0</v>
      </c>
      <c r="Q110" s="3">
        <v>0</v>
      </c>
      <c r="R110" s="3">
        <v>0</v>
      </c>
      <c r="S110" s="3">
        <v>0</v>
      </c>
    </row>
    <row r="111" spans="1:19" x14ac:dyDescent="0.25">
      <c r="A111" s="1" t="s">
        <v>1</v>
      </c>
      <c r="B111" s="1" t="s">
        <v>574</v>
      </c>
      <c r="C111" s="1" t="s">
        <v>468</v>
      </c>
      <c r="D111" s="1" t="s">
        <v>572</v>
      </c>
      <c r="E111" s="1" t="s">
        <v>575</v>
      </c>
      <c r="F111" s="3">
        <v>1</v>
      </c>
      <c r="G111" s="1">
        <v>2041</v>
      </c>
      <c r="H111" s="1" t="s">
        <v>2</v>
      </c>
      <c r="I111" s="3">
        <v>0</v>
      </c>
      <c r="J111" s="3">
        <v>0</v>
      </c>
      <c r="K111" s="3">
        <v>0</v>
      </c>
      <c r="L111" s="3">
        <v>0</v>
      </c>
      <c r="M111" s="3">
        <v>0</v>
      </c>
      <c r="N111" s="3">
        <v>0</v>
      </c>
      <c r="O111" s="3">
        <v>0</v>
      </c>
      <c r="P111" s="3">
        <v>0</v>
      </c>
      <c r="Q111" s="3">
        <v>0</v>
      </c>
      <c r="R111" s="3">
        <v>0</v>
      </c>
      <c r="S111" s="3">
        <v>0</v>
      </c>
    </row>
    <row r="112" spans="1:19" x14ac:dyDescent="0.25">
      <c r="A112" s="1" t="s">
        <v>1</v>
      </c>
      <c r="B112" s="1" t="s">
        <v>574</v>
      </c>
      <c r="C112" s="1" t="s">
        <v>468</v>
      </c>
      <c r="D112" s="1" t="s">
        <v>572</v>
      </c>
      <c r="E112" s="1" t="s">
        <v>575</v>
      </c>
      <c r="F112" s="3">
        <v>1</v>
      </c>
      <c r="G112" s="1">
        <v>2042</v>
      </c>
      <c r="H112" s="1" t="s">
        <v>2</v>
      </c>
      <c r="I112" s="3">
        <v>0</v>
      </c>
      <c r="J112" s="3">
        <v>0</v>
      </c>
      <c r="K112" s="3">
        <v>0</v>
      </c>
      <c r="L112" s="3">
        <v>0</v>
      </c>
      <c r="M112" s="3">
        <v>0</v>
      </c>
      <c r="N112" s="3">
        <v>0</v>
      </c>
      <c r="O112" s="3">
        <v>0</v>
      </c>
      <c r="P112" s="3">
        <v>0</v>
      </c>
      <c r="Q112" s="3">
        <v>0</v>
      </c>
      <c r="R112" s="3">
        <v>0</v>
      </c>
      <c r="S112" s="3">
        <v>0</v>
      </c>
    </row>
    <row r="113" spans="1:19" x14ac:dyDescent="0.25">
      <c r="A113" s="1" t="s">
        <v>1</v>
      </c>
      <c r="B113" s="1" t="s">
        <v>574</v>
      </c>
      <c r="C113" s="1" t="s">
        <v>468</v>
      </c>
      <c r="D113" s="1" t="s">
        <v>572</v>
      </c>
      <c r="E113" s="1" t="s">
        <v>575</v>
      </c>
      <c r="F113" s="3">
        <v>1</v>
      </c>
      <c r="G113" s="1">
        <v>2043</v>
      </c>
      <c r="H113" s="1" t="s">
        <v>2</v>
      </c>
      <c r="I113" s="3">
        <v>0</v>
      </c>
      <c r="J113" s="3">
        <v>0</v>
      </c>
      <c r="K113" s="3">
        <v>0</v>
      </c>
      <c r="L113" s="3">
        <v>0</v>
      </c>
      <c r="M113" s="3">
        <v>0</v>
      </c>
      <c r="N113" s="3">
        <v>0</v>
      </c>
      <c r="O113" s="3">
        <v>0</v>
      </c>
      <c r="P113" s="3">
        <v>0</v>
      </c>
      <c r="Q113" s="3">
        <v>0</v>
      </c>
      <c r="R113" s="3">
        <v>0</v>
      </c>
      <c r="S113" s="3">
        <v>0</v>
      </c>
    </row>
    <row r="114" spans="1:19" x14ac:dyDescent="0.25">
      <c r="A114" s="1" t="s">
        <v>1</v>
      </c>
      <c r="B114" s="1" t="s">
        <v>574</v>
      </c>
      <c r="C114" s="1" t="s">
        <v>468</v>
      </c>
      <c r="D114" s="1" t="s">
        <v>572</v>
      </c>
      <c r="E114" s="1" t="s">
        <v>575</v>
      </c>
      <c r="F114" s="3">
        <v>1</v>
      </c>
      <c r="G114" s="1">
        <v>2044</v>
      </c>
      <c r="H114" s="1" t="s">
        <v>2</v>
      </c>
      <c r="I114" s="3">
        <v>0</v>
      </c>
      <c r="J114" s="3">
        <v>0</v>
      </c>
      <c r="K114" s="3">
        <v>0</v>
      </c>
      <c r="L114" s="3">
        <v>0</v>
      </c>
      <c r="M114" s="3">
        <v>0</v>
      </c>
      <c r="N114" s="3">
        <v>0</v>
      </c>
      <c r="O114" s="3">
        <v>0</v>
      </c>
      <c r="P114" s="3">
        <v>0</v>
      </c>
      <c r="Q114" s="3">
        <v>0</v>
      </c>
      <c r="R114" s="3">
        <v>0</v>
      </c>
      <c r="S114" s="3">
        <v>0</v>
      </c>
    </row>
    <row r="115" spans="1:19" x14ac:dyDescent="0.25">
      <c r="A115" s="1" t="s">
        <v>1</v>
      </c>
      <c r="B115" s="1" t="s">
        <v>574</v>
      </c>
      <c r="C115" s="1" t="s">
        <v>468</v>
      </c>
      <c r="D115" s="1" t="s">
        <v>572</v>
      </c>
      <c r="E115" s="1" t="s">
        <v>575</v>
      </c>
      <c r="F115" s="3">
        <v>1</v>
      </c>
      <c r="G115" s="1">
        <v>2045</v>
      </c>
      <c r="H115" s="1" t="s">
        <v>2</v>
      </c>
      <c r="I115" s="3">
        <v>0</v>
      </c>
      <c r="J115" s="3">
        <v>0</v>
      </c>
      <c r="K115" s="3">
        <v>0</v>
      </c>
      <c r="L115" s="3">
        <v>0</v>
      </c>
      <c r="M115" s="3">
        <v>0</v>
      </c>
      <c r="N115" s="3">
        <v>0</v>
      </c>
      <c r="O115" s="3">
        <v>0</v>
      </c>
      <c r="P115" s="3">
        <v>0</v>
      </c>
      <c r="Q115" s="3">
        <v>0</v>
      </c>
      <c r="R115" s="3">
        <v>0</v>
      </c>
      <c r="S115" s="3">
        <v>0</v>
      </c>
    </row>
    <row r="116" spans="1:19" x14ac:dyDescent="0.25">
      <c r="A116" s="1" t="s">
        <v>1</v>
      </c>
      <c r="B116" s="1" t="s">
        <v>574</v>
      </c>
      <c r="C116" s="1" t="s">
        <v>468</v>
      </c>
      <c r="D116" s="1" t="s">
        <v>572</v>
      </c>
      <c r="E116" s="1" t="s">
        <v>575</v>
      </c>
      <c r="F116" s="3">
        <v>1</v>
      </c>
      <c r="G116" s="1">
        <v>2046</v>
      </c>
      <c r="H116" s="1" t="s">
        <v>2</v>
      </c>
      <c r="I116" s="3">
        <v>0</v>
      </c>
      <c r="J116" s="3">
        <v>0</v>
      </c>
      <c r="K116" s="3">
        <v>0</v>
      </c>
      <c r="L116" s="3">
        <v>0</v>
      </c>
      <c r="M116" s="3">
        <v>0</v>
      </c>
      <c r="N116" s="3">
        <v>0</v>
      </c>
      <c r="O116" s="3">
        <v>0</v>
      </c>
      <c r="P116" s="3">
        <v>0</v>
      </c>
      <c r="Q116" s="3">
        <v>0</v>
      </c>
      <c r="R116" s="3">
        <v>0</v>
      </c>
      <c r="S116" s="3">
        <v>0</v>
      </c>
    </row>
    <row r="117" spans="1:19" x14ac:dyDescent="0.25">
      <c r="A117" s="1" t="s">
        <v>1</v>
      </c>
      <c r="B117" s="1" t="s">
        <v>574</v>
      </c>
      <c r="C117" s="1" t="s">
        <v>468</v>
      </c>
      <c r="D117" s="1" t="s">
        <v>572</v>
      </c>
      <c r="E117" s="1" t="s">
        <v>575</v>
      </c>
      <c r="F117" s="3">
        <v>1</v>
      </c>
      <c r="G117" s="1">
        <v>2047</v>
      </c>
      <c r="H117" s="1" t="s">
        <v>2</v>
      </c>
      <c r="I117" s="3">
        <v>0</v>
      </c>
      <c r="J117" s="3">
        <v>0</v>
      </c>
      <c r="K117" s="3">
        <v>0</v>
      </c>
      <c r="L117" s="3">
        <v>0</v>
      </c>
      <c r="M117" s="3">
        <v>0</v>
      </c>
      <c r="N117" s="3">
        <v>0</v>
      </c>
      <c r="O117" s="3">
        <v>0</v>
      </c>
      <c r="P117" s="3">
        <v>0</v>
      </c>
      <c r="Q117" s="3">
        <v>0</v>
      </c>
      <c r="R117" s="3">
        <v>0</v>
      </c>
      <c r="S117" s="3">
        <v>0</v>
      </c>
    </row>
    <row r="118" spans="1:19" x14ac:dyDescent="0.25">
      <c r="A118" s="1" t="s">
        <v>1</v>
      </c>
      <c r="B118" s="1" t="s">
        <v>574</v>
      </c>
      <c r="C118" s="1" t="s">
        <v>468</v>
      </c>
      <c r="D118" s="1" t="s">
        <v>572</v>
      </c>
      <c r="E118" s="1" t="s">
        <v>575</v>
      </c>
      <c r="F118" s="3">
        <v>1</v>
      </c>
      <c r="G118" s="1">
        <v>2048</v>
      </c>
      <c r="H118" s="1" t="s">
        <v>2</v>
      </c>
      <c r="I118" s="3">
        <v>0</v>
      </c>
      <c r="J118" s="3">
        <v>0</v>
      </c>
      <c r="K118" s="3">
        <v>0</v>
      </c>
      <c r="L118" s="3">
        <v>0</v>
      </c>
      <c r="M118" s="3">
        <v>0</v>
      </c>
      <c r="N118" s="3">
        <v>0</v>
      </c>
      <c r="O118" s="3">
        <v>0</v>
      </c>
      <c r="P118" s="3">
        <v>0</v>
      </c>
      <c r="Q118" s="3">
        <v>0</v>
      </c>
      <c r="R118" s="3">
        <v>0</v>
      </c>
      <c r="S118" s="3">
        <v>0</v>
      </c>
    </row>
    <row r="119" spans="1:19" x14ac:dyDescent="0.25">
      <c r="A119" s="1" t="s">
        <v>1</v>
      </c>
      <c r="B119" s="1" t="s">
        <v>574</v>
      </c>
      <c r="C119" s="1" t="s">
        <v>468</v>
      </c>
      <c r="D119" s="1" t="s">
        <v>572</v>
      </c>
      <c r="E119" s="1" t="s">
        <v>575</v>
      </c>
      <c r="F119" s="3">
        <v>1</v>
      </c>
      <c r="G119" s="1">
        <v>2049</v>
      </c>
      <c r="H119" s="1" t="s">
        <v>2</v>
      </c>
      <c r="I119" s="3">
        <v>0</v>
      </c>
      <c r="J119" s="3">
        <v>0</v>
      </c>
      <c r="K119" s="3">
        <v>0</v>
      </c>
      <c r="L119" s="3">
        <v>0</v>
      </c>
      <c r="M119" s="3">
        <v>0</v>
      </c>
      <c r="N119" s="3">
        <v>0</v>
      </c>
      <c r="O119" s="3">
        <v>0</v>
      </c>
      <c r="P119" s="3">
        <v>0</v>
      </c>
      <c r="Q119" s="3">
        <v>0</v>
      </c>
      <c r="R119" s="3">
        <v>0</v>
      </c>
      <c r="S119" s="3">
        <v>0</v>
      </c>
    </row>
    <row r="120" spans="1:19" x14ac:dyDescent="0.25">
      <c r="A120" s="1" t="s">
        <v>1</v>
      </c>
      <c r="B120" s="1" t="s">
        <v>574</v>
      </c>
      <c r="C120" s="1" t="s">
        <v>468</v>
      </c>
      <c r="D120" s="1" t="s">
        <v>572</v>
      </c>
      <c r="E120" s="1" t="s">
        <v>575</v>
      </c>
      <c r="F120" s="3">
        <v>1</v>
      </c>
      <c r="G120" s="1">
        <v>2050</v>
      </c>
      <c r="H120" s="1" t="s">
        <v>2</v>
      </c>
      <c r="I120" s="3">
        <v>0</v>
      </c>
      <c r="J120" s="3">
        <v>0</v>
      </c>
      <c r="K120" s="3">
        <v>0</v>
      </c>
      <c r="L120" s="3">
        <v>0</v>
      </c>
      <c r="M120" s="3">
        <v>0</v>
      </c>
      <c r="N120" s="3">
        <v>0</v>
      </c>
      <c r="O120" s="3">
        <v>0</v>
      </c>
      <c r="P120" s="3">
        <v>0</v>
      </c>
      <c r="Q120" s="3">
        <v>0</v>
      </c>
      <c r="R120" s="3">
        <v>0</v>
      </c>
      <c r="S120" s="3">
        <v>0</v>
      </c>
    </row>
    <row r="121" spans="1:19" x14ac:dyDescent="0.25">
      <c r="A121" s="1" t="s">
        <v>1</v>
      </c>
      <c r="B121" s="1" t="s">
        <v>574</v>
      </c>
      <c r="C121" s="1" t="s">
        <v>468</v>
      </c>
      <c r="D121" s="1" t="s">
        <v>572</v>
      </c>
      <c r="E121" s="1" t="s">
        <v>575</v>
      </c>
      <c r="F121" s="3">
        <v>1</v>
      </c>
      <c r="G121" s="1">
        <v>2051</v>
      </c>
      <c r="H121" s="1" t="s">
        <v>2</v>
      </c>
      <c r="I121" s="3">
        <v>0</v>
      </c>
      <c r="J121" s="3">
        <v>0</v>
      </c>
      <c r="K121" s="3">
        <v>0</v>
      </c>
      <c r="L121" s="3">
        <v>0</v>
      </c>
      <c r="M121" s="3">
        <v>0</v>
      </c>
      <c r="N121" s="3">
        <v>0</v>
      </c>
      <c r="O121" s="3">
        <v>0</v>
      </c>
      <c r="P121" s="3">
        <v>0</v>
      </c>
      <c r="Q121" s="3">
        <v>0</v>
      </c>
      <c r="R121" s="3">
        <v>0</v>
      </c>
      <c r="S121" s="3">
        <v>0</v>
      </c>
    </row>
    <row r="122" spans="1:19" x14ac:dyDescent="0.25">
      <c r="A122" s="1" t="s">
        <v>1</v>
      </c>
      <c r="B122" s="1" t="s">
        <v>574</v>
      </c>
      <c r="C122" s="1" t="s">
        <v>469</v>
      </c>
      <c r="D122" s="1" t="s">
        <v>572</v>
      </c>
      <c r="E122" s="1" t="s">
        <v>575</v>
      </c>
      <c r="F122" s="3">
        <v>1</v>
      </c>
      <c r="G122" s="1">
        <v>2022</v>
      </c>
      <c r="H122" s="1" t="s">
        <v>2</v>
      </c>
      <c r="I122" s="3">
        <v>0</v>
      </c>
      <c r="J122" s="3">
        <v>0</v>
      </c>
      <c r="K122" s="3">
        <v>0</v>
      </c>
      <c r="L122" s="3">
        <v>0</v>
      </c>
      <c r="M122" s="3">
        <v>0</v>
      </c>
      <c r="N122" s="3">
        <v>0</v>
      </c>
      <c r="O122" s="3">
        <v>0</v>
      </c>
      <c r="P122" s="3">
        <v>0</v>
      </c>
      <c r="Q122" s="3">
        <v>0</v>
      </c>
      <c r="R122" s="3">
        <v>0</v>
      </c>
      <c r="S122" s="3">
        <v>0</v>
      </c>
    </row>
    <row r="123" spans="1:19" x14ac:dyDescent="0.25">
      <c r="A123" s="1" t="s">
        <v>1</v>
      </c>
      <c r="B123" s="1" t="s">
        <v>574</v>
      </c>
      <c r="C123" s="1" t="s">
        <v>469</v>
      </c>
      <c r="D123" s="1" t="s">
        <v>572</v>
      </c>
      <c r="E123" s="1" t="s">
        <v>575</v>
      </c>
      <c r="F123" s="3">
        <v>1</v>
      </c>
      <c r="G123" s="1">
        <v>2023</v>
      </c>
      <c r="H123" s="1" t="s">
        <v>2</v>
      </c>
      <c r="I123" s="3">
        <v>0</v>
      </c>
      <c r="J123" s="3">
        <v>0</v>
      </c>
      <c r="K123" s="3">
        <v>0</v>
      </c>
      <c r="L123" s="3">
        <v>0</v>
      </c>
      <c r="M123" s="3">
        <v>0</v>
      </c>
      <c r="N123" s="3">
        <v>0</v>
      </c>
      <c r="O123" s="3">
        <v>0</v>
      </c>
      <c r="P123" s="3">
        <v>0</v>
      </c>
      <c r="Q123" s="3">
        <v>0</v>
      </c>
      <c r="R123" s="3">
        <v>0</v>
      </c>
      <c r="S123" s="3">
        <v>0</v>
      </c>
    </row>
    <row r="124" spans="1:19" x14ac:dyDescent="0.25">
      <c r="A124" s="1" t="s">
        <v>1</v>
      </c>
      <c r="B124" s="1" t="s">
        <v>574</v>
      </c>
      <c r="C124" s="1" t="s">
        <v>469</v>
      </c>
      <c r="D124" s="1" t="s">
        <v>572</v>
      </c>
      <c r="E124" s="1" t="s">
        <v>575</v>
      </c>
      <c r="F124" s="3">
        <v>1</v>
      </c>
      <c r="G124" s="1">
        <v>2024</v>
      </c>
      <c r="H124" s="1" t="s">
        <v>2</v>
      </c>
      <c r="I124" s="3">
        <v>0</v>
      </c>
      <c r="J124" s="3">
        <v>0</v>
      </c>
      <c r="K124" s="3">
        <v>0</v>
      </c>
      <c r="L124" s="3">
        <v>0</v>
      </c>
      <c r="M124" s="3">
        <v>0</v>
      </c>
      <c r="N124" s="3">
        <v>0</v>
      </c>
      <c r="O124" s="3">
        <v>0</v>
      </c>
      <c r="P124" s="3">
        <v>0</v>
      </c>
      <c r="Q124" s="3">
        <v>0</v>
      </c>
      <c r="R124" s="3">
        <v>0</v>
      </c>
      <c r="S124" s="3">
        <v>0</v>
      </c>
    </row>
    <row r="125" spans="1:19" x14ac:dyDescent="0.25">
      <c r="A125" s="1" t="s">
        <v>1</v>
      </c>
      <c r="B125" s="1" t="s">
        <v>574</v>
      </c>
      <c r="C125" s="1" t="s">
        <v>469</v>
      </c>
      <c r="D125" s="1" t="s">
        <v>572</v>
      </c>
      <c r="E125" s="1" t="s">
        <v>575</v>
      </c>
      <c r="F125" s="3">
        <v>1</v>
      </c>
      <c r="G125" s="1">
        <v>2025</v>
      </c>
      <c r="H125" s="1" t="s">
        <v>2</v>
      </c>
      <c r="I125" s="3">
        <v>0</v>
      </c>
      <c r="J125" s="3">
        <v>0</v>
      </c>
      <c r="K125" s="3">
        <v>0</v>
      </c>
      <c r="L125" s="3">
        <v>0</v>
      </c>
      <c r="M125" s="3">
        <v>0</v>
      </c>
      <c r="N125" s="3">
        <v>0</v>
      </c>
      <c r="O125" s="3">
        <v>0</v>
      </c>
      <c r="P125" s="3">
        <v>0</v>
      </c>
      <c r="Q125" s="3">
        <v>0</v>
      </c>
      <c r="R125" s="3">
        <v>0</v>
      </c>
      <c r="S125" s="3">
        <v>0</v>
      </c>
    </row>
    <row r="126" spans="1:19" x14ac:dyDescent="0.25">
      <c r="A126" s="1" t="s">
        <v>1</v>
      </c>
      <c r="B126" s="1" t="s">
        <v>574</v>
      </c>
      <c r="C126" s="1" t="s">
        <v>469</v>
      </c>
      <c r="D126" s="1" t="s">
        <v>572</v>
      </c>
      <c r="E126" s="1" t="s">
        <v>575</v>
      </c>
      <c r="F126" s="3">
        <v>1</v>
      </c>
      <c r="G126" s="1">
        <v>2026</v>
      </c>
      <c r="H126" s="1" t="s">
        <v>2</v>
      </c>
      <c r="I126" s="3">
        <v>0</v>
      </c>
      <c r="J126" s="3">
        <v>0</v>
      </c>
      <c r="K126" s="3">
        <v>0</v>
      </c>
      <c r="L126" s="3">
        <v>0</v>
      </c>
      <c r="M126" s="3">
        <v>0</v>
      </c>
      <c r="N126" s="3">
        <v>0</v>
      </c>
      <c r="O126" s="3">
        <v>0</v>
      </c>
      <c r="P126" s="3">
        <v>0</v>
      </c>
      <c r="Q126" s="3">
        <v>0</v>
      </c>
      <c r="R126" s="3">
        <v>0</v>
      </c>
      <c r="S126" s="3">
        <v>0</v>
      </c>
    </row>
    <row r="127" spans="1:19" x14ac:dyDescent="0.25">
      <c r="A127" s="1" t="s">
        <v>1</v>
      </c>
      <c r="B127" s="1" t="s">
        <v>574</v>
      </c>
      <c r="C127" s="1" t="s">
        <v>469</v>
      </c>
      <c r="D127" s="1" t="s">
        <v>572</v>
      </c>
      <c r="E127" s="1" t="s">
        <v>575</v>
      </c>
      <c r="F127" s="3">
        <v>1</v>
      </c>
      <c r="G127" s="1">
        <v>2027</v>
      </c>
      <c r="H127" s="1" t="s">
        <v>2</v>
      </c>
      <c r="I127" s="3">
        <v>37.189722359999998</v>
      </c>
      <c r="J127" s="3">
        <v>46.405475619999997</v>
      </c>
      <c r="K127" s="3">
        <v>72.545351859999997</v>
      </c>
      <c r="L127" s="3">
        <v>71.844101559999999</v>
      </c>
      <c r="M127" s="3">
        <v>70.555249250000003</v>
      </c>
      <c r="N127" s="3">
        <v>0</v>
      </c>
      <c r="O127" s="3">
        <v>0</v>
      </c>
      <c r="P127" s="3">
        <v>0</v>
      </c>
      <c r="Q127" s="3">
        <v>29.651649389999999</v>
      </c>
      <c r="R127" s="3">
        <v>29.651649389999999</v>
      </c>
      <c r="S127" s="3">
        <v>51.243746489999999</v>
      </c>
    </row>
    <row r="128" spans="1:19" x14ac:dyDescent="0.25">
      <c r="A128" s="1" t="s">
        <v>1</v>
      </c>
      <c r="B128" s="1" t="s">
        <v>574</v>
      </c>
      <c r="C128" s="1" t="s">
        <v>469</v>
      </c>
      <c r="D128" s="1" t="s">
        <v>572</v>
      </c>
      <c r="E128" s="1" t="s">
        <v>575</v>
      </c>
      <c r="F128" s="3">
        <v>1</v>
      </c>
      <c r="G128" s="1">
        <v>2028</v>
      </c>
      <c r="H128" s="1" t="s">
        <v>2</v>
      </c>
      <c r="I128" s="3">
        <v>1.82931252</v>
      </c>
      <c r="J128" s="3">
        <v>10.777429509999999</v>
      </c>
      <c r="K128" s="3">
        <v>0</v>
      </c>
      <c r="L128" s="3">
        <v>0</v>
      </c>
      <c r="M128" s="3">
        <v>0</v>
      </c>
      <c r="N128" s="3">
        <v>0</v>
      </c>
      <c r="O128" s="3">
        <v>0</v>
      </c>
      <c r="P128" s="3">
        <v>0</v>
      </c>
      <c r="Q128" s="3">
        <v>0</v>
      </c>
      <c r="R128" s="3">
        <v>0</v>
      </c>
      <c r="S128" s="3">
        <v>7.51569573</v>
      </c>
    </row>
    <row r="129" spans="1:19" x14ac:dyDescent="0.25">
      <c r="A129" s="1" t="s">
        <v>1</v>
      </c>
      <c r="B129" s="1" t="s">
        <v>574</v>
      </c>
      <c r="C129" s="1" t="s">
        <v>469</v>
      </c>
      <c r="D129" s="1" t="s">
        <v>572</v>
      </c>
      <c r="E129" s="1" t="s">
        <v>575</v>
      </c>
      <c r="F129" s="3">
        <v>1</v>
      </c>
      <c r="G129" s="1">
        <v>2029</v>
      </c>
      <c r="H129" s="1" t="s">
        <v>2</v>
      </c>
      <c r="I129" s="3">
        <v>2.2860411799999998</v>
      </c>
      <c r="J129" s="3">
        <v>22.5703572</v>
      </c>
      <c r="K129" s="3">
        <v>0</v>
      </c>
      <c r="L129" s="3">
        <v>0</v>
      </c>
      <c r="M129" s="3">
        <v>0</v>
      </c>
      <c r="N129" s="3">
        <v>0</v>
      </c>
      <c r="O129" s="3">
        <v>0</v>
      </c>
      <c r="P129" s="3">
        <v>0</v>
      </c>
      <c r="Q129" s="3">
        <v>0</v>
      </c>
      <c r="R129" s="3">
        <v>0</v>
      </c>
      <c r="S129" s="3">
        <v>0.29005462999999998</v>
      </c>
    </row>
    <row r="130" spans="1:19" x14ac:dyDescent="0.25">
      <c r="A130" s="1" t="s">
        <v>1</v>
      </c>
      <c r="B130" s="1" t="s">
        <v>574</v>
      </c>
      <c r="C130" s="1" t="s">
        <v>469</v>
      </c>
      <c r="D130" s="1" t="s">
        <v>572</v>
      </c>
      <c r="E130" s="1" t="s">
        <v>575</v>
      </c>
      <c r="F130" s="3">
        <v>1</v>
      </c>
      <c r="G130" s="1">
        <v>2030</v>
      </c>
      <c r="H130" s="1" t="s">
        <v>2</v>
      </c>
      <c r="I130" s="3">
        <v>2.9808888699999998</v>
      </c>
      <c r="J130" s="3">
        <v>26.158820680000002</v>
      </c>
      <c r="K130" s="3">
        <v>0</v>
      </c>
      <c r="L130" s="3">
        <v>0</v>
      </c>
      <c r="M130" s="3">
        <v>0</v>
      </c>
      <c r="N130" s="3">
        <v>0</v>
      </c>
      <c r="O130" s="3">
        <v>0</v>
      </c>
      <c r="P130" s="3">
        <v>0</v>
      </c>
      <c r="Q130" s="3">
        <v>0</v>
      </c>
      <c r="R130" s="3">
        <v>0</v>
      </c>
      <c r="S130" s="3">
        <v>3.6500680000000001</v>
      </c>
    </row>
    <row r="131" spans="1:19" x14ac:dyDescent="0.25">
      <c r="A131" s="1" t="s">
        <v>1</v>
      </c>
      <c r="B131" s="1" t="s">
        <v>574</v>
      </c>
      <c r="C131" s="1" t="s">
        <v>469</v>
      </c>
      <c r="D131" s="1" t="s">
        <v>572</v>
      </c>
      <c r="E131" s="1" t="s">
        <v>575</v>
      </c>
      <c r="F131" s="3">
        <v>1</v>
      </c>
      <c r="G131" s="1">
        <v>2031</v>
      </c>
      <c r="H131" s="1" t="s">
        <v>2</v>
      </c>
      <c r="I131" s="3">
        <v>3.0912636400000002</v>
      </c>
      <c r="J131" s="3">
        <v>27.634762380000002</v>
      </c>
      <c r="K131" s="3">
        <v>0</v>
      </c>
      <c r="L131" s="3">
        <v>0</v>
      </c>
      <c r="M131" s="3">
        <v>0</v>
      </c>
      <c r="N131" s="3">
        <v>0</v>
      </c>
      <c r="O131" s="3">
        <v>0</v>
      </c>
      <c r="P131" s="3">
        <v>0</v>
      </c>
      <c r="Q131" s="3">
        <v>0</v>
      </c>
      <c r="R131" s="3">
        <v>0</v>
      </c>
      <c r="S131" s="3">
        <v>3.2778740100000001</v>
      </c>
    </row>
    <row r="132" spans="1:19" x14ac:dyDescent="0.25">
      <c r="A132" s="1" t="s">
        <v>1</v>
      </c>
      <c r="B132" s="1" t="s">
        <v>574</v>
      </c>
      <c r="C132" s="1" t="s">
        <v>469</v>
      </c>
      <c r="D132" s="1" t="s">
        <v>572</v>
      </c>
      <c r="E132" s="1" t="s">
        <v>575</v>
      </c>
      <c r="F132" s="3">
        <v>1</v>
      </c>
      <c r="G132" s="1">
        <v>2032</v>
      </c>
      <c r="H132" s="1" t="s">
        <v>2</v>
      </c>
      <c r="I132" s="3">
        <v>2.7124084399999999</v>
      </c>
      <c r="J132" s="3">
        <v>26.809223899999999</v>
      </c>
      <c r="K132" s="3">
        <v>0</v>
      </c>
      <c r="L132" s="3">
        <v>0</v>
      </c>
      <c r="M132" s="3">
        <v>0</v>
      </c>
      <c r="N132" s="3">
        <v>0</v>
      </c>
      <c r="O132" s="3">
        <v>0</v>
      </c>
      <c r="P132" s="3">
        <v>0</v>
      </c>
      <c r="Q132" s="3">
        <v>0</v>
      </c>
      <c r="R132" s="3">
        <v>0</v>
      </c>
      <c r="S132" s="3">
        <v>0.31486055000000002</v>
      </c>
    </row>
    <row r="133" spans="1:19" x14ac:dyDescent="0.25">
      <c r="A133" s="1" t="s">
        <v>1</v>
      </c>
      <c r="B133" s="1" t="s">
        <v>574</v>
      </c>
      <c r="C133" s="1" t="s">
        <v>469</v>
      </c>
      <c r="D133" s="1" t="s">
        <v>572</v>
      </c>
      <c r="E133" s="1" t="s">
        <v>575</v>
      </c>
      <c r="F133" s="3">
        <v>1</v>
      </c>
      <c r="G133" s="1">
        <v>2033</v>
      </c>
      <c r="H133" s="1" t="s">
        <v>2</v>
      </c>
      <c r="I133" s="3">
        <v>2.3191536099999999</v>
      </c>
      <c r="J133" s="3">
        <v>22.801374160000002</v>
      </c>
      <c r="K133" s="3">
        <v>0</v>
      </c>
      <c r="L133" s="3">
        <v>0</v>
      </c>
      <c r="M133" s="3">
        <v>0</v>
      </c>
      <c r="N133" s="3">
        <v>0</v>
      </c>
      <c r="O133" s="3">
        <v>0</v>
      </c>
      <c r="P133" s="3">
        <v>0</v>
      </c>
      <c r="Q133" s="3">
        <v>0</v>
      </c>
      <c r="R133" s="3">
        <v>0</v>
      </c>
      <c r="S133" s="3">
        <v>0.39016198000000002</v>
      </c>
    </row>
    <row r="134" spans="1:19" x14ac:dyDescent="0.25">
      <c r="A134" s="1" t="s">
        <v>1</v>
      </c>
      <c r="B134" s="1" t="s">
        <v>574</v>
      </c>
      <c r="C134" s="1" t="s">
        <v>469</v>
      </c>
      <c r="D134" s="1" t="s">
        <v>572</v>
      </c>
      <c r="E134" s="1" t="s">
        <v>575</v>
      </c>
      <c r="F134" s="3">
        <v>1</v>
      </c>
      <c r="G134" s="1">
        <v>2034</v>
      </c>
      <c r="H134" s="1" t="s">
        <v>2</v>
      </c>
      <c r="I134" s="3">
        <v>2.1808001199999998</v>
      </c>
      <c r="J134" s="3">
        <v>21.808001220000001</v>
      </c>
      <c r="K134" s="3">
        <v>0</v>
      </c>
      <c r="L134" s="3">
        <v>0</v>
      </c>
      <c r="M134" s="3">
        <v>0</v>
      </c>
      <c r="N134" s="3">
        <v>0</v>
      </c>
      <c r="O134" s="3">
        <v>0</v>
      </c>
      <c r="P134" s="3">
        <v>0</v>
      </c>
      <c r="Q134" s="3">
        <v>0</v>
      </c>
      <c r="R134" s="3">
        <v>0</v>
      </c>
      <c r="S134" s="3">
        <v>0</v>
      </c>
    </row>
    <row r="135" spans="1:19" x14ac:dyDescent="0.25">
      <c r="A135" s="1" t="s">
        <v>1</v>
      </c>
      <c r="B135" s="1" t="s">
        <v>574</v>
      </c>
      <c r="C135" s="1" t="s">
        <v>469</v>
      </c>
      <c r="D135" s="1" t="s">
        <v>572</v>
      </c>
      <c r="E135" s="1" t="s">
        <v>575</v>
      </c>
      <c r="F135" s="3">
        <v>1</v>
      </c>
      <c r="G135" s="1">
        <v>2035</v>
      </c>
      <c r="H135" s="1" t="s">
        <v>2</v>
      </c>
      <c r="I135" s="3">
        <v>4.3379849999999998E-2</v>
      </c>
      <c r="J135" s="3">
        <v>0</v>
      </c>
      <c r="K135" s="3">
        <v>0</v>
      </c>
      <c r="L135" s="3">
        <v>0</v>
      </c>
      <c r="M135" s="3">
        <v>0</v>
      </c>
      <c r="N135" s="3">
        <v>0</v>
      </c>
      <c r="O135" s="3">
        <v>0</v>
      </c>
      <c r="P135" s="3">
        <v>0</v>
      </c>
      <c r="Q135" s="3">
        <v>0</v>
      </c>
      <c r="R135" s="3">
        <v>0</v>
      </c>
      <c r="S135" s="3">
        <v>0.43379852000000002</v>
      </c>
    </row>
    <row r="136" spans="1:19" x14ac:dyDescent="0.25">
      <c r="A136" s="1" t="s">
        <v>1</v>
      </c>
      <c r="B136" s="1" t="s">
        <v>574</v>
      </c>
      <c r="C136" s="1" t="s">
        <v>469</v>
      </c>
      <c r="D136" s="1" t="s">
        <v>572</v>
      </c>
      <c r="E136" s="1" t="s">
        <v>575</v>
      </c>
      <c r="F136" s="3">
        <v>1</v>
      </c>
      <c r="G136" s="1">
        <v>2036</v>
      </c>
      <c r="H136" s="1" t="s">
        <v>2</v>
      </c>
      <c r="I136" s="3">
        <v>0.70677234</v>
      </c>
      <c r="J136" s="3">
        <v>7.0677234000000002</v>
      </c>
      <c r="K136" s="3">
        <v>0</v>
      </c>
      <c r="L136" s="3">
        <v>0</v>
      </c>
      <c r="M136" s="3">
        <v>0</v>
      </c>
      <c r="N136" s="3">
        <v>0</v>
      </c>
      <c r="O136" s="3">
        <v>0</v>
      </c>
      <c r="P136" s="3">
        <v>0</v>
      </c>
      <c r="Q136" s="3">
        <v>0</v>
      </c>
      <c r="R136" s="3">
        <v>0</v>
      </c>
      <c r="S136" s="3">
        <v>0</v>
      </c>
    </row>
    <row r="137" spans="1:19" x14ac:dyDescent="0.25">
      <c r="A137" s="1" t="s">
        <v>1</v>
      </c>
      <c r="B137" s="1" t="s">
        <v>574</v>
      </c>
      <c r="C137" s="1" t="s">
        <v>469</v>
      </c>
      <c r="D137" s="1" t="s">
        <v>572</v>
      </c>
      <c r="E137" s="1" t="s">
        <v>575</v>
      </c>
      <c r="F137" s="3">
        <v>1</v>
      </c>
      <c r="G137" s="1">
        <v>2037</v>
      </c>
      <c r="H137" s="1" t="s">
        <v>2</v>
      </c>
      <c r="I137" s="3">
        <v>0</v>
      </c>
      <c r="J137" s="3">
        <v>0</v>
      </c>
      <c r="K137" s="3">
        <v>0</v>
      </c>
      <c r="L137" s="3">
        <v>0</v>
      </c>
      <c r="M137" s="3">
        <v>0</v>
      </c>
      <c r="N137" s="3">
        <v>0</v>
      </c>
      <c r="O137" s="3">
        <v>0</v>
      </c>
      <c r="P137" s="3">
        <v>0</v>
      </c>
      <c r="Q137" s="3">
        <v>0</v>
      </c>
      <c r="R137" s="3">
        <v>0</v>
      </c>
      <c r="S137" s="3">
        <v>0</v>
      </c>
    </row>
    <row r="138" spans="1:19" x14ac:dyDescent="0.25">
      <c r="A138" s="1" t="s">
        <v>1</v>
      </c>
      <c r="B138" s="1" t="s">
        <v>574</v>
      </c>
      <c r="C138" s="1" t="s">
        <v>469</v>
      </c>
      <c r="D138" s="1" t="s">
        <v>572</v>
      </c>
      <c r="E138" s="1" t="s">
        <v>575</v>
      </c>
      <c r="F138" s="3">
        <v>1</v>
      </c>
      <c r="G138" s="1">
        <v>2038</v>
      </c>
      <c r="H138" s="1" t="s">
        <v>2</v>
      </c>
      <c r="I138" s="3">
        <v>0</v>
      </c>
      <c r="J138" s="3">
        <v>0</v>
      </c>
      <c r="K138" s="3">
        <v>0</v>
      </c>
      <c r="L138" s="3">
        <v>0</v>
      </c>
      <c r="M138" s="3">
        <v>0</v>
      </c>
      <c r="N138" s="3">
        <v>0</v>
      </c>
      <c r="O138" s="3">
        <v>0</v>
      </c>
      <c r="P138" s="3">
        <v>0</v>
      </c>
      <c r="Q138" s="3">
        <v>0</v>
      </c>
      <c r="R138" s="3">
        <v>0</v>
      </c>
      <c r="S138" s="3">
        <v>0</v>
      </c>
    </row>
    <row r="139" spans="1:19" x14ac:dyDescent="0.25">
      <c r="A139" s="1" t="s">
        <v>1</v>
      </c>
      <c r="B139" s="1" t="s">
        <v>574</v>
      </c>
      <c r="C139" s="1" t="s">
        <v>469</v>
      </c>
      <c r="D139" s="1" t="s">
        <v>572</v>
      </c>
      <c r="E139" s="1" t="s">
        <v>575</v>
      </c>
      <c r="F139" s="3">
        <v>1</v>
      </c>
      <c r="G139" s="1">
        <v>2039</v>
      </c>
      <c r="H139" s="1" t="s">
        <v>2</v>
      </c>
      <c r="I139" s="3">
        <v>0</v>
      </c>
      <c r="J139" s="3">
        <v>0</v>
      </c>
      <c r="K139" s="3">
        <v>0</v>
      </c>
      <c r="L139" s="3">
        <v>0</v>
      </c>
      <c r="M139" s="3">
        <v>0</v>
      </c>
      <c r="N139" s="3">
        <v>0</v>
      </c>
      <c r="O139" s="3">
        <v>0</v>
      </c>
      <c r="P139" s="3">
        <v>0</v>
      </c>
      <c r="Q139" s="3">
        <v>0</v>
      </c>
      <c r="R139" s="3">
        <v>0</v>
      </c>
      <c r="S139" s="3">
        <v>0</v>
      </c>
    </row>
    <row r="140" spans="1:19" x14ac:dyDescent="0.25">
      <c r="A140" s="1" t="s">
        <v>1</v>
      </c>
      <c r="B140" s="1" t="s">
        <v>574</v>
      </c>
      <c r="C140" s="1" t="s">
        <v>469</v>
      </c>
      <c r="D140" s="1" t="s">
        <v>572</v>
      </c>
      <c r="E140" s="1" t="s">
        <v>575</v>
      </c>
      <c r="F140" s="3">
        <v>1</v>
      </c>
      <c r="G140" s="1">
        <v>2040</v>
      </c>
      <c r="H140" s="1" t="s">
        <v>2</v>
      </c>
      <c r="I140" s="3">
        <v>0</v>
      </c>
      <c r="J140" s="3">
        <v>0</v>
      </c>
      <c r="K140" s="3">
        <v>0</v>
      </c>
      <c r="L140" s="3">
        <v>0</v>
      </c>
      <c r="M140" s="3">
        <v>0</v>
      </c>
      <c r="N140" s="3">
        <v>0</v>
      </c>
      <c r="O140" s="3">
        <v>0</v>
      </c>
      <c r="P140" s="3">
        <v>0</v>
      </c>
      <c r="Q140" s="3">
        <v>0</v>
      </c>
      <c r="R140" s="3">
        <v>0</v>
      </c>
      <c r="S140" s="3">
        <v>0</v>
      </c>
    </row>
    <row r="141" spans="1:19" x14ac:dyDescent="0.25">
      <c r="A141" s="1" t="s">
        <v>1</v>
      </c>
      <c r="B141" s="1" t="s">
        <v>574</v>
      </c>
      <c r="C141" s="1" t="s">
        <v>469</v>
      </c>
      <c r="D141" s="1" t="s">
        <v>572</v>
      </c>
      <c r="E141" s="1" t="s">
        <v>575</v>
      </c>
      <c r="F141" s="3">
        <v>1</v>
      </c>
      <c r="G141" s="1">
        <v>2041</v>
      </c>
      <c r="H141" s="1" t="s">
        <v>2</v>
      </c>
      <c r="I141" s="3">
        <v>0</v>
      </c>
      <c r="J141" s="3">
        <v>0</v>
      </c>
      <c r="K141" s="3">
        <v>0</v>
      </c>
      <c r="L141" s="3">
        <v>0</v>
      </c>
      <c r="M141" s="3">
        <v>0</v>
      </c>
      <c r="N141" s="3">
        <v>0</v>
      </c>
      <c r="O141" s="3">
        <v>0</v>
      </c>
      <c r="P141" s="3">
        <v>0</v>
      </c>
      <c r="Q141" s="3">
        <v>0</v>
      </c>
      <c r="R141" s="3">
        <v>0</v>
      </c>
      <c r="S141" s="3">
        <v>0</v>
      </c>
    </row>
    <row r="142" spans="1:19" x14ac:dyDescent="0.25">
      <c r="A142" s="1" t="s">
        <v>1</v>
      </c>
      <c r="B142" s="1" t="s">
        <v>574</v>
      </c>
      <c r="C142" s="1" t="s">
        <v>469</v>
      </c>
      <c r="D142" s="1" t="s">
        <v>572</v>
      </c>
      <c r="E142" s="1" t="s">
        <v>575</v>
      </c>
      <c r="F142" s="3">
        <v>1</v>
      </c>
      <c r="G142" s="1">
        <v>2042</v>
      </c>
      <c r="H142" s="1" t="s">
        <v>2</v>
      </c>
      <c r="I142" s="3">
        <v>0</v>
      </c>
      <c r="J142" s="3">
        <v>0</v>
      </c>
      <c r="K142" s="3">
        <v>0</v>
      </c>
      <c r="L142" s="3">
        <v>0</v>
      </c>
      <c r="M142" s="3">
        <v>0</v>
      </c>
      <c r="N142" s="3">
        <v>0</v>
      </c>
      <c r="O142" s="3">
        <v>0</v>
      </c>
      <c r="P142" s="3">
        <v>0</v>
      </c>
      <c r="Q142" s="3">
        <v>0</v>
      </c>
      <c r="R142" s="3">
        <v>0</v>
      </c>
      <c r="S142" s="3">
        <v>0</v>
      </c>
    </row>
    <row r="143" spans="1:19" x14ac:dyDescent="0.25">
      <c r="A143" s="1" t="s">
        <v>1</v>
      </c>
      <c r="B143" s="1" t="s">
        <v>574</v>
      </c>
      <c r="C143" s="1" t="s">
        <v>469</v>
      </c>
      <c r="D143" s="1" t="s">
        <v>572</v>
      </c>
      <c r="E143" s="1" t="s">
        <v>575</v>
      </c>
      <c r="F143" s="3">
        <v>1</v>
      </c>
      <c r="G143" s="1">
        <v>2043</v>
      </c>
      <c r="H143" s="1" t="s">
        <v>2</v>
      </c>
      <c r="I143" s="3">
        <v>0</v>
      </c>
      <c r="J143" s="3">
        <v>0</v>
      </c>
      <c r="K143" s="3">
        <v>0</v>
      </c>
      <c r="L143" s="3">
        <v>0</v>
      </c>
      <c r="M143" s="3">
        <v>0</v>
      </c>
      <c r="N143" s="3">
        <v>0</v>
      </c>
      <c r="O143" s="3">
        <v>0</v>
      </c>
      <c r="P143" s="3">
        <v>0</v>
      </c>
      <c r="Q143" s="3">
        <v>0</v>
      </c>
      <c r="R143" s="3">
        <v>0</v>
      </c>
      <c r="S143" s="3">
        <v>0</v>
      </c>
    </row>
    <row r="144" spans="1:19" x14ac:dyDescent="0.25">
      <c r="A144" s="1" t="s">
        <v>1</v>
      </c>
      <c r="B144" s="1" t="s">
        <v>574</v>
      </c>
      <c r="C144" s="1" t="s">
        <v>469</v>
      </c>
      <c r="D144" s="1" t="s">
        <v>572</v>
      </c>
      <c r="E144" s="1" t="s">
        <v>575</v>
      </c>
      <c r="F144" s="3">
        <v>1</v>
      </c>
      <c r="G144" s="1">
        <v>2044</v>
      </c>
      <c r="H144" s="1" t="s">
        <v>2</v>
      </c>
      <c r="I144" s="3">
        <v>0</v>
      </c>
      <c r="J144" s="3">
        <v>0</v>
      </c>
      <c r="K144" s="3">
        <v>0</v>
      </c>
      <c r="L144" s="3">
        <v>0</v>
      </c>
      <c r="M144" s="3">
        <v>0</v>
      </c>
      <c r="N144" s="3">
        <v>0</v>
      </c>
      <c r="O144" s="3">
        <v>0</v>
      </c>
      <c r="P144" s="3">
        <v>0</v>
      </c>
      <c r="Q144" s="3">
        <v>0</v>
      </c>
      <c r="R144" s="3">
        <v>0</v>
      </c>
      <c r="S144" s="3">
        <v>0</v>
      </c>
    </row>
    <row r="145" spans="1:19" x14ac:dyDescent="0.25">
      <c r="A145" s="1" t="s">
        <v>1</v>
      </c>
      <c r="B145" s="1" t="s">
        <v>574</v>
      </c>
      <c r="C145" s="1" t="s">
        <v>469</v>
      </c>
      <c r="D145" s="1" t="s">
        <v>572</v>
      </c>
      <c r="E145" s="1" t="s">
        <v>575</v>
      </c>
      <c r="F145" s="3">
        <v>1</v>
      </c>
      <c r="G145" s="1">
        <v>2045</v>
      </c>
      <c r="H145" s="1" t="s">
        <v>2</v>
      </c>
      <c r="I145" s="3">
        <v>0</v>
      </c>
      <c r="J145" s="3">
        <v>0</v>
      </c>
      <c r="K145" s="3">
        <v>0</v>
      </c>
      <c r="L145" s="3">
        <v>0</v>
      </c>
      <c r="M145" s="3">
        <v>0</v>
      </c>
      <c r="N145" s="3">
        <v>0</v>
      </c>
      <c r="O145" s="3">
        <v>0</v>
      </c>
      <c r="P145" s="3">
        <v>0</v>
      </c>
      <c r="Q145" s="3">
        <v>0</v>
      </c>
      <c r="R145" s="3">
        <v>0</v>
      </c>
      <c r="S145" s="3">
        <v>0</v>
      </c>
    </row>
    <row r="146" spans="1:19" x14ac:dyDescent="0.25">
      <c r="A146" s="1" t="s">
        <v>1</v>
      </c>
      <c r="B146" s="1" t="s">
        <v>574</v>
      </c>
      <c r="C146" s="1" t="s">
        <v>469</v>
      </c>
      <c r="D146" s="1" t="s">
        <v>572</v>
      </c>
      <c r="E146" s="1" t="s">
        <v>575</v>
      </c>
      <c r="F146" s="3">
        <v>1</v>
      </c>
      <c r="G146" s="1">
        <v>2046</v>
      </c>
      <c r="H146" s="1" t="s">
        <v>2</v>
      </c>
      <c r="I146" s="3">
        <v>0</v>
      </c>
      <c r="J146" s="3">
        <v>0</v>
      </c>
      <c r="K146" s="3">
        <v>0</v>
      </c>
      <c r="L146" s="3">
        <v>0</v>
      </c>
      <c r="M146" s="3">
        <v>0</v>
      </c>
      <c r="N146" s="3">
        <v>0</v>
      </c>
      <c r="O146" s="3">
        <v>0</v>
      </c>
      <c r="P146" s="3">
        <v>0</v>
      </c>
      <c r="Q146" s="3">
        <v>0</v>
      </c>
      <c r="R146" s="3">
        <v>0</v>
      </c>
      <c r="S146" s="3">
        <v>0</v>
      </c>
    </row>
    <row r="147" spans="1:19" x14ac:dyDescent="0.25">
      <c r="A147" s="1" t="s">
        <v>1</v>
      </c>
      <c r="B147" s="1" t="s">
        <v>574</v>
      </c>
      <c r="C147" s="1" t="s">
        <v>469</v>
      </c>
      <c r="D147" s="1" t="s">
        <v>572</v>
      </c>
      <c r="E147" s="1" t="s">
        <v>575</v>
      </c>
      <c r="F147" s="3">
        <v>1</v>
      </c>
      <c r="G147" s="1">
        <v>2047</v>
      </c>
      <c r="H147" s="1" t="s">
        <v>2</v>
      </c>
      <c r="I147" s="3">
        <v>0</v>
      </c>
      <c r="J147" s="3">
        <v>0</v>
      </c>
      <c r="K147" s="3">
        <v>0</v>
      </c>
      <c r="L147" s="3">
        <v>0</v>
      </c>
      <c r="M147" s="3">
        <v>0</v>
      </c>
      <c r="N147" s="3">
        <v>0</v>
      </c>
      <c r="O147" s="3">
        <v>0</v>
      </c>
      <c r="P147" s="3">
        <v>0</v>
      </c>
      <c r="Q147" s="3">
        <v>0</v>
      </c>
      <c r="R147" s="3">
        <v>0</v>
      </c>
      <c r="S147" s="3">
        <v>0</v>
      </c>
    </row>
    <row r="148" spans="1:19" x14ac:dyDescent="0.25">
      <c r="A148" s="1" t="s">
        <v>1</v>
      </c>
      <c r="B148" s="1" t="s">
        <v>574</v>
      </c>
      <c r="C148" s="1" t="s">
        <v>469</v>
      </c>
      <c r="D148" s="1" t="s">
        <v>572</v>
      </c>
      <c r="E148" s="1" t="s">
        <v>575</v>
      </c>
      <c r="F148" s="3">
        <v>1</v>
      </c>
      <c r="G148" s="1">
        <v>2048</v>
      </c>
      <c r="H148" s="1" t="s">
        <v>2</v>
      </c>
      <c r="I148" s="3">
        <v>0</v>
      </c>
      <c r="J148" s="3">
        <v>0</v>
      </c>
      <c r="K148" s="3">
        <v>0</v>
      </c>
      <c r="L148" s="3">
        <v>0</v>
      </c>
      <c r="M148" s="3">
        <v>0</v>
      </c>
      <c r="N148" s="3">
        <v>0</v>
      </c>
      <c r="O148" s="3">
        <v>0</v>
      </c>
      <c r="P148" s="3">
        <v>0</v>
      </c>
      <c r="Q148" s="3">
        <v>0</v>
      </c>
      <c r="R148" s="3">
        <v>0</v>
      </c>
      <c r="S148" s="3">
        <v>0</v>
      </c>
    </row>
    <row r="149" spans="1:19" x14ac:dyDescent="0.25">
      <c r="A149" s="1" t="s">
        <v>1</v>
      </c>
      <c r="B149" s="1" t="s">
        <v>574</v>
      </c>
      <c r="C149" s="1" t="s">
        <v>469</v>
      </c>
      <c r="D149" s="1" t="s">
        <v>572</v>
      </c>
      <c r="E149" s="1" t="s">
        <v>575</v>
      </c>
      <c r="F149" s="3">
        <v>1</v>
      </c>
      <c r="G149" s="1">
        <v>2049</v>
      </c>
      <c r="H149" s="1" t="s">
        <v>2</v>
      </c>
      <c r="I149" s="3">
        <v>0</v>
      </c>
      <c r="J149" s="3">
        <v>0</v>
      </c>
      <c r="K149" s="3">
        <v>0</v>
      </c>
      <c r="L149" s="3">
        <v>0</v>
      </c>
      <c r="M149" s="3">
        <v>0</v>
      </c>
      <c r="N149" s="3">
        <v>0</v>
      </c>
      <c r="O149" s="3">
        <v>0</v>
      </c>
      <c r="P149" s="3">
        <v>0</v>
      </c>
      <c r="Q149" s="3">
        <v>0</v>
      </c>
      <c r="R149" s="3">
        <v>0</v>
      </c>
      <c r="S149" s="3">
        <v>0</v>
      </c>
    </row>
    <row r="150" spans="1:19" x14ac:dyDescent="0.25">
      <c r="A150" s="1" t="s">
        <v>1</v>
      </c>
      <c r="B150" s="1" t="s">
        <v>574</v>
      </c>
      <c r="C150" s="1" t="s">
        <v>469</v>
      </c>
      <c r="D150" s="1" t="s">
        <v>572</v>
      </c>
      <c r="E150" s="1" t="s">
        <v>575</v>
      </c>
      <c r="F150" s="3">
        <v>1</v>
      </c>
      <c r="G150" s="1">
        <v>2050</v>
      </c>
      <c r="H150" s="1" t="s">
        <v>2</v>
      </c>
      <c r="I150" s="3">
        <v>0</v>
      </c>
      <c r="J150" s="3">
        <v>0</v>
      </c>
      <c r="K150" s="3">
        <v>0</v>
      </c>
      <c r="L150" s="3">
        <v>0</v>
      </c>
      <c r="M150" s="3">
        <v>0</v>
      </c>
      <c r="N150" s="3">
        <v>0</v>
      </c>
      <c r="O150" s="3">
        <v>0</v>
      </c>
      <c r="P150" s="3">
        <v>0</v>
      </c>
      <c r="Q150" s="3">
        <v>0</v>
      </c>
      <c r="R150" s="3">
        <v>0</v>
      </c>
      <c r="S150" s="3">
        <v>0</v>
      </c>
    </row>
    <row r="151" spans="1:19" x14ac:dyDescent="0.25">
      <c r="A151" s="1" t="s">
        <v>1</v>
      </c>
      <c r="B151" s="1" t="s">
        <v>574</v>
      </c>
      <c r="C151" s="1" t="s">
        <v>469</v>
      </c>
      <c r="D151" s="1" t="s">
        <v>572</v>
      </c>
      <c r="E151" s="1" t="s">
        <v>575</v>
      </c>
      <c r="F151" s="3">
        <v>1</v>
      </c>
      <c r="G151" s="1">
        <v>2051</v>
      </c>
      <c r="H151" s="1" t="s">
        <v>2</v>
      </c>
      <c r="I151" s="3">
        <v>0</v>
      </c>
      <c r="J151" s="3">
        <v>0</v>
      </c>
      <c r="K151" s="3">
        <v>0</v>
      </c>
      <c r="L151" s="3">
        <v>0</v>
      </c>
      <c r="M151" s="3">
        <v>0</v>
      </c>
      <c r="N151" s="3">
        <v>0</v>
      </c>
      <c r="O151" s="3">
        <v>0</v>
      </c>
      <c r="P151" s="3">
        <v>0</v>
      </c>
      <c r="Q151" s="3">
        <v>0</v>
      </c>
      <c r="R151" s="3">
        <v>0</v>
      </c>
      <c r="S151" s="3">
        <v>0</v>
      </c>
    </row>
    <row r="152" spans="1:19" x14ac:dyDescent="0.25">
      <c r="A152" s="1" t="s">
        <v>1</v>
      </c>
      <c r="B152" s="1" t="s">
        <v>574</v>
      </c>
      <c r="C152" s="1" t="s">
        <v>473</v>
      </c>
      <c r="D152" s="1" t="s">
        <v>572</v>
      </c>
      <c r="E152" s="1" t="s">
        <v>575</v>
      </c>
      <c r="F152" s="3">
        <v>1</v>
      </c>
      <c r="G152" s="1">
        <v>2022</v>
      </c>
      <c r="H152" s="1" t="s">
        <v>2</v>
      </c>
      <c r="I152" s="3">
        <v>0</v>
      </c>
      <c r="J152" s="3">
        <v>0</v>
      </c>
      <c r="K152" s="3">
        <v>0</v>
      </c>
      <c r="L152" s="3">
        <v>0</v>
      </c>
      <c r="M152" s="3">
        <v>0</v>
      </c>
      <c r="N152" s="3">
        <v>0</v>
      </c>
      <c r="O152" s="3">
        <v>0</v>
      </c>
      <c r="P152" s="3">
        <v>0</v>
      </c>
      <c r="Q152" s="3">
        <v>0</v>
      </c>
      <c r="R152" s="3">
        <v>0</v>
      </c>
      <c r="S152" s="3">
        <v>0</v>
      </c>
    </row>
    <row r="153" spans="1:19" x14ac:dyDescent="0.25">
      <c r="A153" s="1" t="s">
        <v>1</v>
      </c>
      <c r="B153" s="1" t="s">
        <v>574</v>
      </c>
      <c r="C153" s="1" t="s">
        <v>473</v>
      </c>
      <c r="D153" s="1" t="s">
        <v>572</v>
      </c>
      <c r="E153" s="1" t="s">
        <v>575</v>
      </c>
      <c r="F153" s="3">
        <v>1</v>
      </c>
      <c r="G153" s="1">
        <v>2023</v>
      </c>
      <c r="H153" s="1" t="s">
        <v>2</v>
      </c>
      <c r="I153" s="3">
        <v>0</v>
      </c>
      <c r="J153" s="3">
        <v>0</v>
      </c>
      <c r="K153" s="3">
        <v>0</v>
      </c>
      <c r="L153" s="3">
        <v>0</v>
      </c>
      <c r="M153" s="3">
        <v>0</v>
      </c>
      <c r="N153" s="3">
        <v>0</v>
      </c>
      <c r="O153" s="3">
        <v>0</v>
      </c>
      <c r="P153" s="3">
        <v>0</v>
      </c>
      <c r="Q153" s="3">
        <v>0</v>
      </c>
      <c r="R153" s="3">
        <v>0</v>
      </c>
      <c r="S153" s="3">
        <v>0</v>
      </c>
    </row>
    <row r="154" spans="1:19" x14ac:dyDescent="0.25">
      <c r="A154" s="1" t="s">
        <v>1</v>
      </c>
      <c r="B154" s="1" t="s">
        <v>574</v>
      </c>
      <c r="C154" s="1" t="s">
        <v>473</v>
      </c>
      <c r="D154" s="1" t="s">
        <v>572</v>
      </c>
      <c r="E154" s="1" t="s">
        <v>575</v>
      </c>
      <c r="F154" s="3">
        <v>1</v>
      </c>
      <c r="G154" s="1">
        <v>2024</v>
      </c>
      <c r="H154" s="1" t="s">
        <v>2</v>
      </c>
      <c r="I154" s="3">
        <v>0</v>
      </c>
      <c r="J154" s="3">
        <v>0</v>
      </c>
      <c r="K154" s="3">
        <v>0</v>
      </c>
      <c r="L154" s="3">
        <v>0</v>
      </c>
      <c r="M154" s="3">
        <v>0</v>
      </c>
      <c r="N154" s="3">
        <v>0</v>
      </c>
      <c r="O154" s="3">
        <v>0</v>
      </c>
      <c r="P154" s="3">
        <v>0</v>
      </c>
      <c r="Q154" s="3">
        <v>0</v>
      </c>
      <c r="R154" s="3">
        <v>0</v>
      </c>
      <c r="S154" s="3">
        <v>0</v>
      </c>
    </row>
    <row r="155" spans="1:19" x14ac:dyDescent="0.25">
      <c r="A155" s="1" t="s">
        <v>1</v>
      </c>
      <c r="B155" s="1" t="s">
        <v>574</v>
      </c>
      <c r="C155" s="1" t="s">
        <v>473</v>
      </c>
      <c r="D155" s="1" t="s">
        <v>572</v>
      </c>
      <c r="E155" s="1" t="s">
        <v>575</v>
      </c>
      <c r="F155" s="3">
        <v>1</v>
      </c>
      <c r="G155" s="1">
        <v>2025</v>
      </c>
      <c r="H155" s="1" t="s">
        <v>2</v>
      </c>
      <c r="I155" s="3">
        <v>0</v>
      </c>
      <c r="J155" s="3">
        <v>0</v>
      </c>
      <c r="K155" s="3">
        <v>0</v>
      </c>
      <c r="L155" s="3">
        <v>0</v>
      </c>
      <c r="M155" s="3">
        <v>0</v>
      </c>
      <c r="N155" s="3">
        <v>0</v>
      </c>
      <c r="O155" s="3">
        <v>0</v>
      </c>
      <c r="P155" s="3">
        <v>0</v>
      </c>
      <c r="Q155" s="3">
        <v>0</v>
      </c>
      <c r="R155" s="3">
        <v>0</v>
      </c>
      <c r="S155" s="3">
        <v>0</v>
      </c>
    </row>
    <row r="156" spans="1:19" x14ac:dyDescent="0.25">
      <c r="A156" s="1" t="s">
        <v>1</v>
      </c>
      <c r="B156" s="1" t="s">
        <v>574</v>
      </c>
      <c r="C156" s="1" t="s">
        <v>473</v>
      </c>
      <c r="D156" s="1" t="s">
        <v>572</v>
      </c>
      <c r="E156" s="1" t="s">
        <v>575</v>
      </c>
      <c r="F156" s="3">
        <v>1</v>
      </c>
      <c r="G156" s="1">
        <v>2026</v>
      </c>
      <c r="H156" s="1" t="s">
        <v>2</v>
      </c>
      <c r="I156" s="3">
        <v>0</v>
      </c>
      <c r="J156" s="3">
        <v>0</v>
      </c>
      <c r="K156" s="3">
        <v>0</v>
      </c>
      <c r="L156" s="3">
        <v>0</v>
      </c>
      <c r="M156" s="3">
        <v>0</v>
      </c>
      <c r="N156" s="3">
        <v>0</v>
      </c>
      <c r="O156" s="3">
        <v>0</v>
      </c>
      <c r="P156" s="3">
        <v>0</v>
      </c>
      <c r="Q156" s="3">
        <v>0</v>
      </c>
      <c r="R156" s="3">
        <v>0</v>
      </c>
      <c r="S156" s="3">
        <v>0</v>
      </c>
    </row>
    <row r="157" spans="1:19" x14ac:dyDescent="0.25">
      <c r="A157" s="1" t="s">
        <v>1</v>
      </c>
      <c r="B157" s="1" t="s">
        <v>574</v>
      </c>
      <c r="C157" s="1" t="s">
        <v>473</v>
      </c>
      <c r="D157" s="1" t="s">
        <v>572</v>
      </c>
      <c r="E157" s="1" t="s">
        <v>575</v>
      </c>
      <c r="F157" s="3">
        <v>1</v>
      </c>
      <c r="G157" s="1">
        <v>2027</v>
      </c>
      <c r="H157" s="1" t="s">
        <v>2</v>
      </c>
      <c r="I157" s="3">
        <v>28.188631229999999</v>
      </c>
      <c r="J157" s="3">
        <v>31.320701369999998</v>
      </c>
      <c r="K157" s="3">
        <v>31.320701369999998</v>
      </c>
      <c r="L157" s="3">
        <v>31.320701369999998</v>
      </c>
      <c r="M157" s="3">
        <v>31.320701369999998</v>
      </c>
      <c r="N157" s="3">
        <v>31.320701369999998</v>
      </c>
      <c r="O157" s="3">
        <v>31.320701369999998</v>
      </c>
      <c r="P157" s="3">
        <v>0</v>
      </c>
      <c r="Q157" s="3">
        <v>31.320701369999998</v>
      </c>
      <c r="R157" s="3">
        <v>31.320701369999998</v>
      </c>
      <c r="S157" s="3">
        <v>31.320701369999998</v>
      </c>
    </row>
    <row r="158" spans="1:19" x14ac:dyDescent="0.25">
      <c r="A158" s="1" t="s">
        <v>1</v>
      </c>
      <c r="B158" s="1" t="s">
        <v>574</v>
      </c>
      <c r="C158" s="1" t="s">
        <v>473</v>
      </c>
      <c r="D158" s="1" t="s">
        <v>572</v>
      </c>
      <c r="E158" s="1" t="s">
        <v>575</v>
      </c>
      <c r="F158" s="3">
        <v>1</v>
      </c>
      <c r="G158" s="1">
        <v>2028</v>
      </c>
      <c r="H158" s="1" t="s">
        <v>2</v>
      </c>
      <c r="I158" s="3">
        <v>0</v>
      </c>
      <c r="J158" s="3">
        <v>0</v>
      </c>
      <c r="K158" s="3">
        <v>0</v>
      </c>
      <c r="L158" s="3">
        <v>0</v>
      </c>
      <c r="M158" s="3">
        <v>0</v>
      </c>
      <c r="N158" s="3">
        <v>0</v>
      </c>
      <c r="O158" s="3">
        <v>0</v>
      </c>
      <c r="P158" s="3">
        <v>0</v>
      </c>
      <c r="Q158" s="3">
        <v>0</v>
      </c>
      <c r="R158" s="3">
        <v>0</v>
      </c>
      <c r="S158" s="3">
        <v>0</v>
      </c>
    </row>
    <row r="159" spans="1:19" x14ac:dyDescent="0.25">
      <c r="A159" s="1" t="s">
        <v>1</v>
      </c>
      <c r="B159" s="1" t="s">
        <v>574</v>
      </c>
      <c r="C159" s="1" t="s">
        <v>473</v>
      </c>
      <c r="D159" s="1" t="s">
        <v>572</v>
      </c>
      <c r="E159" s="1" t="s">
        <v>575</v>
      </c>
      <c r="F159" s="3">
        <v>1</v>
      </c>
      <c r="G159" s="1">
        <v>2029</v>
      </c>
      <c r="H159" s="1" t="s">
        <v>2</v>
      </c>
      <c r="I159" s="3">
        <v>0</v>
      </c>
      <c r="J159" s="3">
        <v>0</v>
      </c>
      <c r="K159" s="3">
        <v>0</v>
      </c>
      <c r="L159" s="3">
        <v>0</v>
      </c>
      <c r="M159" s="3">
        <v>0</v>
      </c>
      <c r="N159" s="3">
        <v>0</v>
      </c>
      <c r="O159" s="3">
        <v>0</v>
      </c>
      <c r="P159" s="3">
        <v>0</v>
      </c>
      <c r="Q159" s="3">
        <v>0</v>
      </c>
      <c r="R159" s="3">
        <v>0</v>
      </c>
      <c r="S159" s="3">
        <v>0</v>
      </c>
    </row>
    <row r="160" spans="1:19" x14ac:dyDescent="0.25">
      <c r="A160" s="1" t="s">
        <v>1</v>
      </c>
      <c r="B160" s="1" t="s">
        <v>574</v>
      </c>
      <c r="C160" s="1" t="s">
        <v>473</v>
      </c>
      <c r="D160" s="1" t="s">
        <v>572</v>
      </c>
      <c r="E160" s="1" t="s">
        <v>575</v>
      </c>
      <c r="F160" s="3">
        <v>1</v>
      </c>
      <c r="G160" s="1">
        <v>2030</v>
      </c>
      <c r="H160" s="1" t="s">
        <v>2</v>
      </c>
      <c r="I160" s="3">
        <v>0</v>
      </c>
      <c r="J160" s="3">
        <v>0</v>
      </c>
      <c r="K160" s="3">
        <v>0</v>
      </c>
      <c r="L160" s="3">
        <v>0</v>
      </c>
      <c r="M160" s="3">
        <v>0</v>
      </c>
      <c r="N160" s="3">
        <v>0</v>
      </c>
      <c r="O160" s="3">
        <v>0</v>
      </c>
      <c r="P160" s="3">
        <v>0</v>
      </c>
      <c r="Q160" s="3">
        <v>0</v>
      </c>
      <c r="R160" s="3">
        <v>0</v>
      </c>
      <c r="S160" s="3">
        <v>0</v>
      </c>
    </row>
    <row r="161" spans="1:19" x14ac:dyDescent="0.25">
      <c r="A161" s="1" t="s">
        <v>1</v>
      </c>
      <c r="B161" s="1" t="s">
        <v>574</v>
      </c>
      <c r="C161" s="1" t="s">
        <v>473</v>
      </c>
      <c r="D161" s="1" t="s">
        <v>572</v>
      </c>
      <c r="E161" s="1" t="s">
        <v>575</v>
      </c>
      <c r="F161" s="3">
        <v>1</v>
      </c>
      <c r="G161" s="1">
        <v>2031</v>
      </c>
      <c r="H161" s="1" t="s">
        <v>2</v>
      </c>
      <c r="I161" s="3">
        <v>0</v>
      </c>
      <c r="J161" s="3">
        <v>0</v>
      </c>
      <c r="K161" s="3">
        <v>0</v>
      </c>
      <c r="L161" s="3">
        <v>0</v>
      </c>
      <c r="M161" s="3">
        <v>0</v>
      </c>
      <c r="N161" s="3">
        <v>0</v>
      </c>
      <c r="O161" s="3">
        <v>0</v>
      </c>
      <c r="P161" s="3">
        <v>0</v>
      </c>
      <c r="Q161" s="3">
        <v>0</v>
      </c>
      <c r="R161" s="3">
        <v>0</v>
      </c>
      <c r="S161" s="3">
        <v>0</v>
      </c>
    </row>
    <row r="162" spans="1:19" x14ac:dyDescent="0.25">
      <c r="A162" s="1" t="s">
        <v>1</v>
      </c>
      <c r="B162" s="1" t="s">
        <v>574</v>
      </c>
      <c r="C162" s="1" t="s">
        <v>473</v>
      </c>
      <c r="D162" s="1" t="s">
        <v>572</v>
      </c>
      <c r="E162" s="1" t="s">
        <v>575</v>
      </c>
      <c r="F162" s="3">
        <v>1</v>
      </c>
      <c r="G162" s="1">
        <v>2032</v>
      </c>
      <c r="H162" s="1" t="s">
        <v>2</v>
      </c>
      <c r="I162" s="3">
        <v>0</v>
      </c>
      <c r="J162" s="3">
        <v>0</v>
      </c>
      <c r="K162" s="3">
        <v>0</v>
      </c>
      <c r="L162" s="3">
        <v>0</v>
      </c>
      <c r="M162" s="3">
        <v>0</v>
      </c>
      <c r="N162" s="3">
        <v>0</v>
      </c>
      <c r="O162" s="3">
        <v>0</v>
      </c>
      <c r="P162" s="3">
        <v>0</v>
      </c>
      <c r="Q162" s="3">
        <v>0</v>
      </c>
      <c r="R162" s="3">
        <v>0</v>
      </c>
      <c r="S162" s="3">
        <v>0</v>
      </c>
    </row>
    <row r="163" spans="1:19" x14ac:dyDescent="0.25">
      <c r="A163" s="1" t="s">
        <v>1</v>
      </c>
      <c r="B163" s="1" t="s">
        <v>574</v>
      </c>
      <c r="C163" s="1" t="s">
        <v>473</v>
      </c>
      <c r="D163" s="1" t="s">
        <v>572</v>
      </c>
      <c r="E163" s="1" t="s">
        <v>575</v>
      </c>
      <c r="F163" s="3">
        <v>1</v>
      </c>
      <c r="G163" s="1">
        <v>2033</v>
      </c>
      <c r="H163" s="1" t="s">
        <v>2</v>
      </c>
      <c r="I163" s="3">
        <v>0</v>
      </c>
      <c r="J163" s="3">
        <v>0</v>
      </c>
      <c r="K163" s="3">
        <v>0</v>
      </c>
      <c r="L163" s="3">
        <v>0</v>
      </c>
      <c r="M163" s="3">
        <v>0</v>
      </c>
      <c r="N163" s="3">
        <v>0</v>
      </c>
      <c r="O163" s="3">
        <v>0</v>
      </c>
      <c r="P163" s="3">
        <v>0</v>
      </c>
      <c r="Q163" s="3">
        <v>0</v>
      </c>
      <c r="R163" s="3">
        <v>0</v>
      </c>
      <c r="S163" s="3">
        <v>0</v>
      </c>
    </row>
    <row r="164" spans="1:19" x14ac:dyDescent="0.25">
      <c r="A164" s="1" t="s">
        <v>1</v>
      </c>
      <c r="B164" s="1" t="s">
        <v>574</v>
      </c>
      <c r="C164" s="1" t="s">
        <v>473</v>
      </c>
      <c r="D164" s="1" t="s">
        <v>572</v>
      </c>
      <c r="E164" s="1" t="s">
        <v>575</v>
      </c>
      <c r="F164" s="3">
        <v>1</v>
      </c>
      <c r="G164" s="1">
        <v>2034</v>
      </c>
      <c r="H164" s="1" t="s">
        <v>2</v>
      </c>
      <c r="I164" s="3">
        <v>0</v>
      </c>
      <c r="J164" s="3">
        <v>0</v>
      </c>
      <c r="K164" s="3">
        <v>0</v>
      </c>
      <c r="L164" s="3">
        <v>0</v>
      </c>
      <c r="M164" s="3">
        <v>0</v>
      </c>
      <c r="N164" s="3">
        <v>0</v>
      </c>
      <c r="O164" s="3">
        <v>0</v>
      </c>
      <c r="P164" s="3">
        <v>0</v>
      </c>
      <c r="Q164" s="3">
        <v>0</v>
      </c>
      <c r="R164" s="3">
        <v>0</v>
      </c>
      <c r="S164" s="3">
        <v>0</v>
      </c>
    </row>
    <row r="165" spans="1:19" x14ac:dyDescent="0.25">
      <c r="A165" s="1" t="s">
        <v>1</v>
      </c>
      <c r="B165" s="1" t="s">
        <v>574</v>
      </c>
      <c r="C165" s="1" t="s">
        <v>473</v>
      </c>
      <c r="D165" s="1" t="s">
        <v>572</v>
      </c>
      <c r="E165" s="1" t="s">
        <v>575</v>
      </c>
      <c r="F165" s="3">
        <v>1</v>
      </c>
      <c r="G165" s="1">
        <v>2035</v>
      </c>
      <c r="H165" s="1" t="s">
        <v>2</v>
      </c>
      <c r="I165" s="3">
        <v>0</v>
      </c>
      <c r="J165" s="3">
        <v>0</v>
      </c>
      <c r="K165" s="3">
        <v>0</v>
      </c>
      <c r="L165" s="3">
        <v>0</v>
      </c>
      <c r="M165" s="3">
        <v>0</v>
      </c>
      <c r="N165" s="3">
        <v>0</v>
      </c>
      <c r="O165" s="3">
        <v>0</v>
      </c>
      <c r="P165" s="3">
        <v>0</v>
      </c>
      <c r="Q165" s="3">
        <v>0</v>
      </c>
      <c r="R165" s="3">
        <v>0</v>
      </c>
      <c r="S165" s="3">
        <v>0</v>
      </c>
    </row>
    <row r="166" spans="1:19" x14ac:dyDescent="0.25">
      <c r="A166" s="1" t="s">
        <v>1</v>
      </c>
      <c r="B166" s="1" t="s">
        <v>574</v>
      </c>
      <c r="C166" s="1" t="s">
        <v>473</v>
      </c>
      <c r="D166" s="1" t="s">
        <v>572</v>
      </c>
      <c r="E166" s="1" t="s">
        <v>575</v>
      </c>
      <c r="F166" s="3">
        <v>1</v>
      </c>
      <c r="G166" s="1">
        <v>2036</v>
      </c>
      <c r="H166" s="1" t="s">
        <v>2</v>
      </c>
      <c r="I166" s="3">
        <v>0</v>
      </c>
      <c r="J166" s="3">
        <v>0</v>
      </c>
      <c r="K166" s="3">
        <v>0</v>
      </c>
      <c r="L166" s="3">
        <v>0</v>
      </c>
      <c r="M166" s="3">
        <v>0</v>
      </c>
      <c r="N166" s="3">
        <v>0</v>
      </c>
      <c r="O166" s="3">
        <v>0</v>
      </c>
      <c r="P166" s="3">
        <v>0</v>
      </c>
      <c r="Q166" s="3">
        <v>0</v>
      </c>
      <c r="R166" s="3">
        <v>0</v>
      </c>
      <c r="S166" s="3">
        <v>0</v>
      </c>
    </row>
    <row r="167" spans="1:19" x14ac:dyDescent="0.25">
      <c r="A167" s="1" t="s">
        <v>1</v>
      </c>
      <c r="B167" s="1" t="s">
        <v>574</v>
      </c>
      <c r="C167" s="1" t="s">
        <v>473</v>
      </c>
      <c r="D167" s="1" t="s">
        <v>572</v>
      </c>
      <c r="E167" s="1" t="s">
        <v>575</v>
      </c>
      <c r="F167" s="3">
        <v>1</v>
      </c>
      <c r="G167" s="1">
        <v>2037</v>
      </c>
      <c r="H167" s="1" t="s">
        <v>2</v>
      </c>
      <c r="I167" s="3">
        <v>0</v>
      </c>
      <c r="J167" s="3">
        <v>0</v>
      </c>
      <c r="K167" s="3">
        <v>0</v>
      </c>
      <c r="L167" s="3">
        <v>0</v>
      </c>
      <c r="M167" s="3">
        <v>0</v>
      </c>
      <c r="N167" s="3">
        <v>0</v>
      </c>
      <c r="O167" s="3">
        <v>0</v>
      </c>
      <c r="P167" s="3">
        <v>0</v>
      </c>
      <c r="Q167" s="3">
        <v>0</v>
      </c>
      <c r="R167" s="3">
        <v>0</v>
      </c>
      <c r="S167" s="3">
        <v>0</v>
      </c>
    </row>
    <row r="168" spans="1:19" x14ac:dyDescent="0.25">
      <c r="A168" s="1" t="s">
        <v>1</v>
      </c>
      <c r="B168" s="1" t="s">
        <v>574</v>
      </c>
      <c r="C168" s="1" t="s">
        <v>473</v>
      </c>
      <c r="D168" s="1" t="s">
        <v>572</v>
      </c>
      <c r="E168" s="1" t="s">
        <v>575</v>
      </c>
      <c r="F168" s="3">
        <v>1</v>
      </c>
      <c r="G168" s="1">
        <v>2038</v>
      </c>
      <c r="H168" s="1" t="s">
        <v>2</v>
      </c>
      <c r="I168" s="3">
        <v>0</v>
      </c>
      <c r="J168" s="3">
        <v>0</v>
      </c>
      <c r="K168" s="3">
        <v>0</v>
      </c>
      <c r="L168" s="3">
        <v>0</v>
      </c>
      <c r="M168" s="3">
        <v>0</v>
      </c>
      <c r="N168" s="3">
        <v>0</v>
      </c>
      <c r="O168" s="3">
        <v>0</v>
      </c>
      <c r="P168" s="3">
        <v>0</v>
      </c>
      <c r="Q168" s="3">
        <v>0</v>
      </c>
      <c r="R168" s="3">
        <v>0</v>
      </c>
      <c r="S168" s="3">
        <v>0</v>
      </c>
    </row>
    <row r="169" spans="1:19" x14ac:dyDescent="0.25">
      <c r="A169" s="1" t="s">
        <v>1</v>
      </c>
      <c r="B169" s="1" t="s">
        <v>574</v>
      </c>
      <c r="C169" s="1" t="s">
        <v>473</v>
      </c>
      <c r="D169" s="1" t="s">
        <v>572</v>
      </c>
      <c r="E169" s="1" t="s">
        <v>575</v>
      </c>
      <c r="F169" s="3">
        <v>1</v>
      </c>
      <c r="G169" s="1">
        <v>2039</v>
      </c>
      <c r="H169" s="1" t="s">
        <v>2</v>
      </c>
      <c r="I169" s="3">
        <v>0</v>
      </c>
      <c r="J169" s="3">
        <v>0</v>
      </c>
      <c r="K169" s="3">
        <v>0</v>
      </c>
      <c r="L169" s="3">
        <v>0</v>
      </c>
      <c r="M169" s="3">
        <v>0</v>
      </c>
      <c r="N169" s="3">
        <v>0</v>
      </c>
      <c r="O169" s="3">
        <v>0</v>
      </c>
      <c r="P169" s="3">
        <v>0</v>
      </c>
      <c r="Q169" s="3">
        <v>0</v>
      </c>
      <c r="R169" s="3">
        <v>0</v>
      </c>
      <c r="S169" s="3">
        <v>0</v>
      </c>
    </row>
    <row r="170" spans="1:19" x14ac:dyDescent="0.25">
      <c r="A170" s="1" t="s">
        <v>1</v>
      </c>
      <c r="B170" s="1" t="s">
        <v>574</v>
      </c>
      <c r="C170" s="1" t="s">
        <v>473</v>
      </c>
      <c r="D170" s="1" t="s">
        <v>572</v>
      </c>
      <c r="E170" s="1" t="s">
        <v>575</v>
      </c>
      <c r="F170" s="3">
        <v>1</v>
      </c>
      <c r="G170" s="1">
        <v>2040</v>
      </c>
      <c r="H170" s="1" t="s">
        <v>2</v>
      </c>
      <c r="I170" s="3">
        <v>0</v>
      </c>
      <c r="J170" s="3">
        <v>0</v>
      </c>
      <c r="K170" s="3">
        <v>0</v>
      </c>
      <c r="L170" s="3">
        <v>0</v>
      </c>
      <c r="M170" s="3">
        <v>0</v>
      </c>
      <c r="N170" s="3">
        <v>0</v>
      </c>
      <c r="O170" s="3">
        <v>0</v>
      </c>
      <c r="P170" s="3">
        <v>0</v>
      </c>
      <c r="Q170" s="3">
        <v>0</v>
      </c>
      <c r="R170" s="3">
        <v>0</v>
      </c>
      <c r="S170" s="3">
        <v>0</v>
      </c>
    </row>
    <row r="171" spans="1:19" x14ac:dyDescent="0.25">
      <c r="A171" s="1" t="s">
        <v>1</v>
      </c>
      <c r="B171" s="1" t="s">
        <v>574</v>
      </c>
      <c r="C171" s="1" t="s">
        <v>473</v>
      </c>
      <c r="D171" s="1" t="s">
        <v>572</v>
      </c>
      <c r="E171" s="1" t="s">
        <v>575</v>
      </c>
      <c r="F171" s="3">
        <v>1</v>
      </c>
      <c r="G171" s="1">
        <v>2041</v>
      </c>
      <c r="H171" s="1" t="s">
        <v>2</v>
      </c>
      <c r="I171" s="3">
        <v>0</v>
      </c>
      <c r="J171" s="3">
        <v>0</v>
      </c>
      <c r="K171" s="3">
        <v>0</v>
      </c>
      <c r="L171" s="3">
        <v>0</v>
      </c>
      <c r="M171" s="3">
        <v>0</v>
      </c>
      <c r="N171" s="3">
        <v>0</v>
      </c>
      <c r="O171" s="3">
        <v>0</v>
      </c>
      <c r="P171" s="3">
        <v>0</v>
      </c>
      <c r="Q171" s="3">
        <v>0</v>
      </c>
      <c r="R171" s="3">
        <v>0</v>
      </c>
      <c r="S171" s="3">
        <v>0</v>
      </c>
    </row>
    <row r="172" spans="1:19" x14ac:dyDescent="0.25">
      <c r="A172" s="1" t="s">
        <v>1</v>
      </c>
      <c r="B172" s="1" t="s">
        <v>574</v>
      </c>
      <c r="C172" s="1" t="s">
        <v>473</v>
      </c>
      <c r="D172" s="1" t="s">
        <v>572</v>
      </c>
      <c r="E172" s="1" t="s">
        <v>575</v>
      </c>
      <c r="F172" s="3">
        <v>1</v>
      </c>
      <c r="G172" s="1">
        <v>2042</v>
      </c>
      <c r="H172" s="1" t="s">
        <v>2</v>
      </c>
      <c r="I172" s="3">
        <v>0</v>
      </c>
      <c r="J172" s="3">
        <v>0</v>
      </c>
      <c r="K172" s="3">
        <v>0</v>
      </c>
      <c r="L172" s="3">
        <v>0</v>
      </c>
      <c r="M172" s="3">
        <v>0</v>
      </c>
      <c r="N172" s="3">
        <v>0</v>
      </c>
      <c r="O172" s="3">
        <v>0</v>
      </c>
      <c r="P172" s="3">
        <v>0</v>
      </c>
      <c r="Q172" s="3">
        <v>0</v>
      </c>
      <c r="R172" s="3">
        <v>0</v>
      </c>
      <c r="S172" s="3">
        <v>0</v>
      </c>
    </row>
    <row r="173" spans="1:19" x14ac:dyDescent="0.25">
      <c r="A173" s="1" t="s">
        <v>1</v>
      </c>
      <c r="B173" s="1" t="s">
        <v>574</v>
      </c>
      <c r="C173" s="1" t="s">
        <v>473</v>
      </c>
      <c r="D173" s="1" t="s">
        <v>572</v>
      </c>
      <c r="E173" s="1" t="s">
        <v>575</v>
      </c>
      <c r="F173" s="3">
        <v>1</v>
      </c>
      <c r="G173" s="1">
        <v>2043</v>
      </c>
      <c r="H173" s="1" t="s">
        <v>2</v>
      </c>
      <c r="I173" s="3">
        <v>0</v>
      </c>
      <c r="J173" s="3">
        <v>0</v>
      </c>
      <c r="K173" s="3">
        <v>0</v>
      </c>
      <c r="L173" s="3">
        <v>0</v>
      </c>
      <c r="M173" s="3">
        <v>0</v>
      </c>
      <c r="N173" s="3">
        <v>0</v>
      </c>
      <c r="O173" s="3">
        <v>0</v>
      </c>
      <c r="P173" s="3">
        <v>0</v>
      </c>
      <c r="Q173" s="3">
        <v>0</v>
      </c>
      <c r="R173" s="3">
        <v>0</v>
      </c>
      <c r="S173" s="3">
        <v>0</v>
      </c>
    </row>
    <row r="174" spans="1:19" x14ac:dyDescent="0.25">
      <c r="A174" s="1" t="s">
        <v>1</v>
      </c>
      <c r="B174" s="1" t="s">
        <v>574</v>
      </c>
      <c r="C174" s="1" t="s">
        <v>473</v>
      </c>
      <c r="D174" s="1" t="s">
        <v>572</v>
      </c>
      <c r="E174" s="1" t="s">
        <v>575</v>
      </c>
      <c r="F174" s="3">
        <v>1</v>
      </c>
      <c r="G174" s="1">
        <v>2044</v>
      </c>
      <c r="H174" s="1" t="s">
        <v>2</v>
      </c>
      <c r="I174" s="3">
        <v>0</v>
      </c>
      <c r="J174" s="3">
        <v>0</v>
      </c>
      <c r="K174" s="3">
        <v>0</v>
      </c>
      <c r="L174" s="3">
        <v>0</v>
      </c>
      <c r="M174" s="3">
        <v>0</v>
      </c>
      <c r="N174" s="3">
        <v>0</v>
      </c>
      <c r="O174" s="3">
        <v>0</v>
      </c>
      <c r="P174" s="3">
        <v>0</v>
      </c>
      <c r="Q174" s="3">
        <v>0</v>
      </c>
      <c r="R174" s="3">
        <v>0</v>
      </c>
      <c r="S174" s="3">
        <v>0</v>
      </c>
    </row>
    <row r="175" spans="1:19" x14ac:dyDescent="0.25">
      <c r="A175" s="1" t="s">
        <v>1</v>
      </c>
      <c r="B175" s="1" t="s">
        <v>574</v>
      </c>
      <c r="C175" s="1" t="s">
        <v>473</v>
      </c>
      <c r="D175" s="1" t="s">
        <v>572</v>
      </c>
      <c r="E175" s="1" t="s">
        <v>575</v>
      </c>
      <c r="F175" s="3">
        <v>1</v>
      </c>
      <c r="G175" s="1">
        <v>2045</v>
      </c>
      <c r="H175" s="1" t="s">
        <v>2</v>
      </c>
      <c r="I175" s="3">
        <v>0</v>
      </c>
      <c r="J175" s="3">
        <v>0</v>
      </c>
      <c r="K175" s="3">
        <v>0</v>
      </c>
      <c r="L175" s="3">
        <v>0</v>
      </c>
      <c r="M175" s="3">
        <v>0</v>
      </c>
      <c r="N175" s="3">
        <v>0</v>
      </c>
      <c r="O175" s="3">
        <v>0</v>
      </c>
      <c r="P175" s="3">
        <v>0</v>
      </c>
      <c r="Q175" s="3">
        <v>0</v>
      </c>
      <c r="R175" s="3">
        <v>0</v>
      </c>
      <c r="S175" s="3">
        <v>0</v>
      </c>
    </row>
    <row r="176" spans="1:19" x14ac:dyDescent="0.25">
      <c r="A176" s="1" t="s">
        <v>1</v>
      </c>
      <c r="B176" s="1" t="s">
        <v>574</v>
      </c>
      <c r="C176" s="1" t="s">
        <v>473</v>
      </c>
      <c r="D176" s="1" t="s">
        <v>572</v>
      </c>
      <c r="E176" s="1" t="s">
        <v>575</v>
      </c>
      <c r="F176" s="3">
        <v>1</v>
      </c>
      <c r="G176" s="1">
        <v>2046</v>
      </c>
      <c r="H176" s="1" t="s">
        <v>2</v>
      </c>
      <c r="I176" s="3">
        <v>0</v>
      </c>
      <c r="J176" s="3">
        <v>0</v>
      </c>
      <c r="K176" s="3">
        <v>0</v>
      </c>
      <c r="L176" s="3">
        <v>0</v>
      </c>
      <c r="M176" s="3">
        <v>0</v>
      </c>
      <c r="N176" s="3">
        <v>0</v>
      </c>
      <c r="O176" s="3">
        <v>0</v>
      </c>
      <c r="P176" s="3">
        <v>0</v>
      </c>
      <c r="Q176" s="3">
        <v>0</v>
      </c>
      <c r="R176" s="3">
        <v>0</v>
      </c>
      <c r="S176" s="3">
        <v>0</v>
      </c>
    </row>
    <row r="177" spans="1:19" x14ac:dyDescent="0.25">
      <c r="A177" s="1" t="s">
        <v>1</v>
      </c>
      <c r="B177" s="1" t="s">
        <v>574</v>
      </c>
      <c r="C177" s="1" t="s">
        <v>473</v>
      </c>
      <c r="D177" s="1" t="s">
        <v>572</v>
      </c>
      <c r="E177" s="1" t="s">
        <v>575</v>
      </c>
      <c r="F177" s="3">
        <v>1</v>
      </c>
      <c r="G177" s="1">
        <v>2047</v>
      </c>
      <c r="H177" s="1" t="s">
        <v>2</v>
      </c>
      <c r="I177" s="3">
        <v>0</v>
      </c>
      <c r="J177" s="3">
        <v>0</v>
      </c>
      <c r="K177" s="3">
        <v>0</v>
      </c>
      <c r="L177" s="3">
        <v>0</v>
      </c>
      <c r="M177" s="3">
        <v>0</v>
      </c>
      <c r="N177" s="3">
        <v>0</v>
      </c>
      <c r="O177" s="3">
        <v>0</v>
      </c>
      <c r="P177" s="3">
        <v>0</v>
      </c>
      <c r="Q177" s="3">
        <v>0</v>
      </c>
      <c r="R177" s="3">
        <v>0</v>
      </c>
      <c r="S177" s="3">
        <v>0</v>
      </c>
    </row>
    <row r="178" spans="1:19" x14ac:dyDescent="0.25">
      <c r="A178" s="1" t="s">
        <v>1</v>
      </c>
      <c r="B178" s="1" t="s">
        <v>574</v>
      </c>
      <c r="C178" s="1" t="s">
        <v>473</v>
      </c>
      <c r="D178" s="1" t="s">
        <v>572</v>
      </c>
      <c r="E178" s="1" t="s">
        <v>575</v>
      </c>
      <c r="F178" s="3">
        <v>1</v>
      </c>
      <c r="G178" s="1">
        <v>2048</v>
      </c>
      <c r="H178" s="1" t="s">
        <v>2</v>
      </c>
      <c r="I178" s="3">
        <v>0</v>
      </c>
      <c r="J178" s="3">
        <v>0</v>
      </c>
      <c r="K178" s="3">
        <v>0</v>
      </c>
      <c r="L178" s="3">
        <v>0</v>
      </c>
      <c r="M178" s="3">
        <v>0</v>
      </c>
      <c r="N178" s="3">
        <v>0</v>
      </c>
      <c r="O178" s="3">
        <v>0</v>
      </c>
      <c r="P178" s="3">
        <v>0</v>
      </c>
      <c r="Q178" s="3">
        <v>0</v>
      </c>
      <c r="R178" s="3">
        <v>0</v>
      </c>
      <c r="S178" s="3">
        <v>0</v>
      </c>
    </row>
    <row r="179" spans="1:19" x14ac:dyDescent="0.25">
      <c r="A179" s="1" t="s">
        <v>1</v>
      </c>
      <c r="B179" s="1" t="s">
        <v>574</v>
      </c>
      <c r="C179" s="1" t="s">
        <v>473</v>
      </c>
      <c r="D179" s="1" t="s">
        <v>572</v>
      </c>
      <c r="E179" s="1" t="s">
        <v>575</v>
      </c>
      <c r="F179" s="3">
        <v>1</v>
      </c>
      <c r="G179" s="1">
        <v>2049</v>
      </c>
      <c r="H179" s="1" t="s">
        <v>2</v>
      </c>
      <c r="I179" s="3">
        <v>0</v>
      </c>
      <c r="J179" s="3">
        <v>0</v>
      </c>
      <c r="K179" s="3">
        <v>0</v>
      </c>
      <c r="L179" s="3">
        <v>0</v>
      </c>
      <c r="M179" s="3">
        <v>0</v>
      </c>
      <c r="N179" s="3">
        <v>0</v>
      </c>
      <c r="O179" s="3">
        <v>0</v>
      </c>
      <c r="P179" s="3">
        <v>0</v>
      </c>
      <c r="Q179" s="3">
        <v>0</v>
      </c>
      <c r="R179" s="3">
        <v>0</v>
      </c>
      <c r="S179" s="3">
        <v>0</v>
      </c>
    </row>
    <row r="180" spans="1:19" x14ac:dyDescent="0.25">
      <c r="A180" s="1" t="s">
        <v>1</v>
      </c>
      <c r="B180" s="1" t="s">
        <v>574</v>
      </c>
      <c r="C180" s="1" t="s">
        <v>473</v>
      </c>
      <c r="D180" s="1" t="s">
        <v>572</v>
      </c>
      <c r="E180" s="1" t="s">
        <v>575</v>
      </c>
      <c r="F180" s="3">
        <v>1</v>
      </c>
      <c r="G180" s="1">
        <v>2050</v>
      </c>
      <c r="H180" s="1" t="s">
        <v>2</v>
      </c>
      <c r="I180" s="3">
        <v>0</v>
      </c>
      <c r="J180" s="3">
        <v>0</v>
      </c>
      <c r="K180" s="3">
        <v>0</v>
      </c>
      <c r="L180" s="3">
        <v>0</v>
      </c>
      <c r="M180" s="3">
        <v>0</v>
      </c>
      <c r="N180" s="3">
        <v>0</v>
      </c>
      <c r="O180" s="3">
        <v>0</v>
      </c>
      <c r="P180" s="3">
        <v>0</v>
      </c>
      <c r="Q180" s="3">
        <v>0</v>
      </c>
      <c r="R180" s="3">
        <v>0</v>
      </c>
      <c r="S180" s="3">
        <v>0</v>
      </c>
    </row>
    <row r="181" spans="1:19" x14ac:dyDescent="0.25">
      <c r="A181" s="1" t="s">
        <v>1</v>
      </c>
      <c r="B181" s="1" t="s">
        <v>574</v>
      </c>
      <c r="C181" s="1" t="s">
        <v>473</v>
      </c>
      <c r="D181" s="1" t="s">
        <v>572</v>
      </c>
      <c r="E181" s="1" t="s">
        <v>575</v>
      </c>
      <c r="F181" s="3">
        <v>1</v>
      </c>
      <c r="G181" s="1">
        <v>2051</v>
      </c>
      <c r="H181" s="1" t="s">
        <v>2</v>
      </c>
      <c r="I181" s="3">
        <v>0</v>
      </c>
      <c r="J181" s="3">
        <v>0</v>
      </c>
      <c r="K181" s="3">
        <v>0</v>
      </c>
      <c r="L181" s="3">
        <v>0</v>
      </c>
      <c r="M181" s="3">
        <v>0</v>
      </c>
      <c r="N181" s="3">
        <v>0</v>
      </c>
      <c r="O181" s="3">
        <v>0</v>
      </c>
      <c r="P181" s="3">
        <v>0</v>
      </c>
      <c r="Q181" s="3">
        <v>0</v>
      </c>
      <c r="R181" s="3">
        <v>0</v>
      </c>
      <c r="S181" s="3">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99E44-D8F1-4832-B3B3-F329F35C4450}">
  <sheetPr>
    <tabColor rgb="FFFFC000"/>
  </sheetPr>
  <dimension ref="A1:G301"/>
  <sheetViews>
    <sheetView workbookViewId="0">
      <selection activeCell="X62" sqref="X62"/>
    </sheetView>
  </sheetViews>
  <sheetFormatPr defaultRowHeight="15" x14ac:dyDescent="0.25"/>
  <cols>
    <col min="1" max="1" width="11.85546875" customWidth="1"/>
    <col min="3" max="7" width="29.140625" customWidth="1"/>
  </cols>
  <sheetData>
    <row r="1" spans="1:7" ht="30" x14ac:dyDescent="0.25">
      <c r="A1" s="1" t="s">
        <v>47</v>
      </c>
      <c r="B1" s="1" t="s">
        <v>0</v>
      </c>
      <c r="C1" s="231" t="s">
        <v>567</v>
      </c>
      <c r="D1" s="1" t="s">
        <v>568</v>
      </c>
      <c r="E1" s="1" t="s">
        <v>569</v>
      </c>
      <c r="F1" s="1" t="s">
        <v>570</v>
      </c>
      <c r="G1" s="1" t="s">
        <v>571</v>
      </c>
    </row>
    <row r="2" spans="1:7" x14ac:dyDescent="0.25">
      <c r="A2" s="1" t="s">
        <v>61</v>
      </c>
      <c r="B2" s="1">
        <v>2022</v>
      </c>
      <c r="C2" s="187">
        <f t="shared" ref="C2:C65" si="0">SUM(D2:G2)</f>
        <v>0</v>
      </c>
      <c r="D2" s="4">
        <v>0</v>
      </c>
      <c r="E2" s="4">
        <v>0</v>
      </c>
      <c r="F2" s="4">
        <v>0</v>
      </c>
      <c r="G2" s="4">
        <v>0</v>
      </c>
    </row>
    <row r="3" spans="1:7" x14ac:dyDescent="0.25">
      <c r="A3" s="1" t="s">
        <v>61</v>
      </c>
      <c r="B3" s="1">
        <v>2023</v>
      </c>
      <c r="C3" s="187">
        <f t="shared" si="0"/>
        <v>590.27574119999997</v>
      </c>
      <c r="D3" s="4">
        <v>0</v>
      </c>
      <c r="E3" s="4">
        <v>0</v>
      </c>
      <c r="F3" s="4">
        <v>590.27574119999997</v>
      </c>
      <c r="G3" s="4">
        <v>0</v>
      </c>
    </row>
    <row r="4" spans="1:7" x14ac:dyDescent="0.25">
      <c r="A4" s="1" t="s">
        <v>61</v>
      </c>
      <c r="B4" s="1">
        <v>2024</v>
      </c>
      <c r="C4" s="187">
        <f t="shared" si="0"/>
        <v>1094.8921012799999</v>
      </c>
      <c r="D4" s="4">
        <v>0</v>
      </c>
      <c r="E4" s="4">
        <v>0</v>
      </c>
      <c r="F4" s="4">
        <v>1094.8921012799999</v>
      </c>
      <c r="G4" s="4">
        <v>0</v>
      </c>
    </row>
    <row r="5" spans="1:7" x14ac:dyDescent="0.25">
      <c r="A5" s="1" t="s">
        <v>61</v>
      </c>
      <c r="B5" s="1">
        <v>2025</v>
      </c>
      <c r="C5" s="187">
        <f t="shared" si="0"/>
        <v>2836.2246335999998</v>
      </c>
      <c r="D5" s="4">
        <v>0</v>
      </c>
      <c r="E5" s="4">
        <v>0</v>
      </c>
      <c r="F5" s="4">
        <v>2836.2246335999998</v>
      </c>
      <c r="G5" s="4">
        <v>0</v>
      </c>
    </row>
    <row r="6" spans="1:7" x14ac:dyDescent="0.25">
      <c r="A6" s="1" t="s">
        <v>61</v>
      </c>
      <c r="B6" s="1">
        <v>2026</v>
      </c>
      <c r="C6" s="187">
        <f t="shared" si="0"/>
        <v>3654.5212747199998</v>
      </c>
      <c r="D6" s="4">
        <v>0</v>
      </c>
      <c r="E6" s="4">
        <v>0</v>
      </c>
      <c r="F6" s="4">
        <v>3654.5212747199998</v>
      </c>
      <c r="G6" s="4">
        <v>0</v>
      </c>
    </row>
    <row r="7" spans="1:7" x14ac:dyDescent="0.25">
      <c r="A7" s="1" t="s">
        <v>61</v>
      </c>
      <c r="B7" s="1">
        <v>2027</v>
      </c>
      <c r="C7" s="187">
        <f t="shared" si="0"/>
        <v>5796.6613879199995</v>
      </c>
      <c r="D7" s="4">
        <v>0</v>
      </c>
      <c r="E7" s="4">
        <v>0</v>
      </c>
      <c r="F7" s="4">
        <v>4046.0342083199998</v>
      </c>
      <c r="G7" s="4">
        <v>1750.6271796000001</v>
      </c>
    </row>
    <row r="8" spans="1:7" x14ac:dyDescent="0.25">
      <c r="A8" s="1" t="s">
        <v>61</v>
      </c>
      <c r="B8" s="1">
        <v>2028</v>
      </c>
      <c r="C8" s="187">
        <f t="shared" si="0"/>
        <v>7121.2798908000004</v>
      </c>
      <c r="D8" s="4">
        <v>0</v>
      </c>
      <c r="E8" s="4">
        <v>0</v>
      </c>
      <c r="F8" s="4">
        <v>4495.33911936</v>
      </c>
      <c r="G8" s="4">
        <v>2625.9407714399999</v>
      </c>
    </row>
    <row r="9" spans="1:7" x14ac:dyDescent="0.25">
      <c r="A9" s="1" t="s">
        <v>61</v>
      </c>
      <c r="B9" s="1">
        <v>2029</v>
      </c>
      <c r="C9" s="187">
        <f t="shared" si="0"/>
        <v>7438.4753330399999</v>
      </c>
      <c r="D9" s="4">
        <v>0</v>
      </c>
      <c r="E9" s="4">
        <v>0</v>
      </c>
      <c r="F9" s="4">
        <v>4812.53456112</v>
      </c>
      <c r="G9" s="4">
        <v>2625.9407719199999</v>
      </c>
    </row>
    <row r="10" spans="1:7" x14ac:dyDescent="0.25">
      <c r="A10" s="1" t="s">
        <v>61</v>
      </c>
      <c r="B10" s="1">
        <v>2030</v>
      </c>
      <c r="C10" s="187">
        <f t="shared" si="0"/>
        <v>7754.3822318399998</v>
      </c>
      <c r="D10" s="4">
        <v>0</v>
      </c>
      <c r="E10" s="4">
        <v>0</v>
      </c>
      <c r="F10" s="4">
        <v>5128.4414599199999</v>
      </c>
      <c r="G10" s="4">
        <v>2625.9407719199999</v>
      </c>
    </row>
    <row r="11" spans="1:7" x14ac:dyDescent="0.25">
      <c r="A11" s="1" t="s">
        <v>61</v>
      </c>
      <c r="B11" s="1">
        <v>2031</v>
      </c>
      <c r="C11" s="187">
        <f t="shared" si="0"/>
        <v>8097.8788987199996</v>
      </c>
      <c r="D11" s="4">
        <v>0</v>
      </c>
      <c r="E11" s="4">
        <v>0</v>
      </c>
      <c r="F11" s="4">
        <v>5471.9381267999997</v>
      </c>
      <c r="G11" s="4">
        <v>2625.9407719199999</v>
      </c>
    </row>
    <row r="12" spans="1:7" x14ac:dyDescent="0.25">
      <c r="A12" s="1" t="s">
        <v>61</v>
      </c>
      <c r="B12" s="1">
        <v>2032</v>
      </c>
      <c r="C12" s="187">
        <f t="shared" si="0"/>
        <v>8441.2564382399996</v>
      </c>
      <c r="D12" s="4">
        <v>0</v>
      </c>
      <c r="E12" s="4">
        <v>0</v>
      </c>
      <c r="F12" s="4">
        <v>5815.3156668000001</v>
      </c>
      <c r="G12" s="4">
        <v>2625.9407714399999</v>
      </c>
    </row>
    <row r="13" spans="1:7" x14ac:dyDescent="0.25">
      <c r="A13" s="1" t="s">
        <v>61</v>
      </c>
      <c r="B13" s="1">
        <v>2033</v>
      </c>
      <c r="C13" s="187">
        <f t="shared" si="0"/>
        <v>8747.02832304</v>
      </c>
      <c r="D13" s="4">
        <v>0</v>
      </c>
      <c r="E13" s="4">
        <v>0</v>
      </c>
      <c r="F13" s="4">
        <v>6121.0875511200002</v>
      </c>
      <c r="G13" s="4">
        <v>2625.9407719199999</v>
      </c>
    </row>
    <row r="14" spans="1:7" x14ac:dyDescent="0.25">
      <c r="A14" s="1" t="s">
        <v>61</v>
      </c>
      <c r="B14" s="1">
        <v>2034</v>
      </c>
      <c r="C14" s="187">
        <f t="shared" si="0"/>
        <v>9027.2028036000011</v>
      </c>
      <c r="D14" s="4">
        <v>0</v>
      </c>
      <c r="E14" s="4">
        <v>0</v>
      </c>
      <c r="F14" s="4">
        <v>6401.2620316800003</v>
      </c>
      <c r="G14" s="4">
        <v>2625.9407719199999</v>
      </c>
    </row>
    <row r="15" spans="1:7" x14ac:dyDescent="0.25">
      <c r="A15" s="1" t="s">
        <v>61</v>
      </c>
      <c r="B15" s="1">
        <v>2035</v>
      </c>
      <c r="C15" s="187">
        <f t="shared" si="0"/>
        <v>9255.5504944799995</v>
      </c>
      <c r="D15" s="4">
        <v>136.35300432</v>
      </c>
      <c r="E15" s="4">
        <v>0</v>
      </c>
      <c r="F15" s="4">
        <v>6493.2567182399998</v>
      </c>
      <c r="G15" s="4">
        <v>2625.9407719199999</v>
      </c>
    </row>
    <row r="16" spans="1:7" x14ac:dyDescent="0.25">
      <c r="A16" s="1" t="s">
        <v>61</v>
      </c>
      <c r="B16" s="1">
        <v>2036</v>
      </c>
      <c r="C16" s="187">
        <f t="shared" si="0"/>
        <v>9997.1077584000013</v>
      </c>
      <c r="D16" s="4">
        <v>818.11802183999998</v>
      </c>
      <c r="E16" s="4">
        <v>0</v>
      </c>
      <c r="F16" s="4">
        <v>6553.0489651200005</v>
      </c>
      <c r="G16" s="4">
        <v>2625.9407714399999</v>
      </c>
    </row>
    <row r="17" spans="1:7" x14ac:dyDescent="0.25">
      <c r="A17" s="1" t="s">
        <v>61</v>
      </c>
      <c r="B17" s="1">
        <v>2037</v>
      </c>
      <c r="C17" s="187">
        <f t="shared" si="0"/>
        <v>26044.875822000002</v>
      </c>
      <c r="D17" s="4">
        <v>818.11801920000005</v>
      </c>
      <c r="E17" s="4">
        <v>16017.871946400001</v>
      </c>
      <c r="F17" s="4">
        <v>6582.9450844800003</v>
      </c>
      <c r="G17" s="4">
        <v>2625.9407719199999</v>
      </c>
    </row>
    <row r="18" spans="1:7" x14ac:dyDescent="0.25">
      <c r="A18" s="1" t="s">
        <v>61</v>
      </c>
      <c r="B18" s="1">
        <v>2038</v>
      </c>
      <c r="C18" s="187">
        <f t="shared" si="0"/>
        <v>34053.811794000001</v>
      </c>
      <c r="D18" s="4">
        <v>818.11801920000005</v>
      </c>
      <c r="E18" s="4">
        <v>24026.807918400002</v>
      </c>
      <c r="F18" s="4">
        <v>6582.9450844800003</v>
      </c>
      <c r="G18" s="4">
        <v>2625.9407719199999</v>
      </c>
    </row>
    <row r="19" spans="1:7" x14ac:dyDescent="0.25">
      <c r="A19" s="1" t="s">
        <v>61</v>
      </c>
      <c r="B19" s="1">
        <v>2039</v>
      </c>
      <c r="C19" s="187">
        <f t="shared" si="0"/>
        <v>34053.811794000001</v>
      </c>
      <c r="D19" s="4">
        <v>818.11801920000005</v>
      </c>
      <c r="E19" s="4">
        <v>24026.807918400002</v>
      </c>
      <c r="F19" s="4">
        <v>6582.9450844800003</v>
      </c>
      <c r="G19" s="4">
        <v>2625.9407719199999</v>
      </c>
    </row>
    <row r="20" spans="1:7" x14ac:dyDescent="0.25">
      <c r="A20" s="1" t="s">
        <v>61</v>
      </c>
      <c r="B20" s="1">
        <v>2040</v>
      </c>
      <c r="C20" s="187">
        <f t="shared" si="0"/>
        <v>34053.811802160002</v>
      </c>
      <c r="D20" s="4">
        <v>818.11802183999998</v>
      </c>
      <c r="E20" s="4">
        <v>24026.807919840001</v>
      </c>
      <c r="F20" s="4">
        <v>6582.9450890400003</v>
      </c>
      <c r="G20" s="4">
        <v>2625.9407714399999</v>
      </c>
    </row>
    <row r="21" spans="1:7" x14ac:dyDescent="0.25">
      <c r="A21" s="1" t="s">
        <v>61</v>
      </c>
      <c r="B21" s="1">
        <v>2041</v>
      </c>
      <c r="C21" s="187">
        <f t="shared" si="0"/>
        <v>34053.811794000001</v>
      </c>
      <c r="D21" s="4">
        <v>818.11801920000005</v>
      </c>
      <c r="E21" s="4">
        <v>24026.807918400002</v>
      </c>
      <c r="F21" s="4">
        <v>6582.9450844800003</v>
      </c>
      <c r="G21" s="4">
        <v>2625.9407719199999</v>
      </c>
    </row>
    <row r="22" spans="1:7" x14ac:dyDescent="0.25">
      <c r="A22" s="1" t="s">
        <v>61</v>
      </c>
      <c r="B22" s="1">
        <v>2042</v>
      </c>
      <c r="C22" s="187">
        <f t="shared" si="0"/>
        <v>34053.811794000001</v>
      </c>
      <c r="D22" s="4">
        <v>818.11801920000005</v>
      </c>
      <c r="E22" s="4">
        <v>24026.807918400002</v>
      </c>
      <c r="F22" s="4">
        <v>6582.9450844800003</v>
      </c>
      <c r="G22" s="4">
        <v>2625.9407719199999</v>
      </c>
    </row>
    <row r="23" spans="1:7" x14ac:dyDescent="0.25">
      <c r="A23" s="1" t="s">
        <v>61</v>
      </c>
      <c r="B23" s="1">
        <v>2043</v>
      </c>
      <c r="C23" s="187">
        <f t="shared" si="0"/>
        <v>34053.811794000001</v>
      </c>
      <c r="D23" s="4">
        <v>818.11801920000005</v>
      </c>
      <c r="E23" s="4">
        <v>24026.807918400002</v>
      </c>
      <c r="F23" s="4">
        <v>6582.9450844800003</v>
      </c>
      <c r="G23" s="4">
        <v>2625.9407719199999</v>
      </c>
    </row>
    <row r="24" spans="1:7" x14ac:dyDescent="0.25">
      <c r="A24" s="1" t="s">
        <v>61</v>
      </c>
      <c r="B24" s="1">
        <v>2044</v>
      </c>
      <c r="C24" s="187">
        <f t="shared" si="0"/>
        <v>34053.811802160002</v>
      </c>
      <c r="D24" s="4">
        <v>818.11802183999998</v>
      </c>
      <c r="E24" s="4">
        <v>24026.807919840001</v>
      </c>
      <c r="F24" s="4">
        <v>6582.9450890400003</v>
      </c>
      <c r="G24" s="4">
        <v>2625.9407714399999</v>
      </c>
    </row>
    <row r="25" spans="1:7" x14ac:dyDescent="0.25">
      <c r="A25" s="1" t="s">
        <v>61</v>
      </c>
      <c r="B25" s="1">
        <v>2045</v>
      </c>
      <c r="C25" s="187">
        <f t="shared" si="0"/>
        <v>34053.811794000001</v>
      </c>
      <c r="D25" s="4">
        <v>818.11801920000005</v>
      </c>
      <c r="E25" s="4">
        <v>24026.807918400002</v>
      </c>
      <c r="F25" s="4">
        <v>6582.9450844800003</v>
      </c>
      <c r="G25" s="4">
        <v>2625.9407719199999</v>
      </c>
    </row>
    <row r="26" spans="1:7" x14ac:dyDescent="0.25">
      <c r="A26" s="1" t="s">
        <v>61</v>
      </c>
      <c r="B26" s="1">
        <v>2046</v>
      </c>
      <c r="C26" s="187">
        <f t="shared" si="0"/>
        <v>34053.811794000001</v>
      </c>
      <c r="D26" s="4">
        <v>818.11801920000005</v>
      </c>
      <c r="E26" s="4">
        <v>24026.807918400002</v>
      </c>
      <c r="F26" s="4">
        <v>6582.9450844800003</v>
      </c>
      <c r="G26" s="4">
        <v>2625.9407719199999</v>
      </c>
    </row>
    <row r="27" spans="1:7" x14ac:dyDescent="0.25">
      <c r="A27" s="1" t="s">
        <v>61</v>
      </c>
      <c r="B27" s="1">
        <v>2047</v>
      </c>
      <c r="C27" s="187">
        <f t="shared" si="0"/>
        <v>34053.811794000001</v>
      </c>
      <c r="D27" s="4">
        <v>818.11801920000005</v>
      </c>
      <c r="E27" s="4">
        <v>24026.807918400002</v>
      </c>
      <c r="F27" s="4">
        <v>6582.9450844800003</v>
      </c>
      <c r="G27" s="4">
        <v>2625.9407719199999</v>
      </c>
    </row>
    <row r="28" spans="1:7" x14ac:dyDescent="0.25">
      <c r="A28" s="1" t="s">
        <v>61</v>
      </c>
      <c r="B28" s="1">
        <v>2048</v>
      </c>
      <c r="C28" s="187">
        <f t="shared" si="0"/>
        <v>34053.811802160002</v>
      </c>
      <c r="D28" s="4">
        <v>818.11802183999998</v>
      </c>
      <c r="E28" s="4">
        <v>24026.807919840001</v>
      </c>
      <c r="F28" s="4">
        <v>6582.9450890400003</v>
      </c>
      <c r="G28" s="4">
        <v>2625.9407714399999</v>
      </c>
    </row>
    <row r="29" spans="1:7" x14ac:dyDescent="0.25">
      <c r="A29" s="1" t="s">
        <v>61</v>
      </c>
      <c r="B29" s="1">
        <v>2049</v>
      </c>
      <c r="C29" s="187">
        <f t="shared" si="0"/>
        <v>34053.811794000001</v>
      </c>
      <c r="D29" s="4">
        <v>818.11801920000005</v>
      </c>
      <c r="E29" s="4">
        <v>24026.807918400002</v>
      </c>
      <c r="F29" s="4">
        <v>6582.9450844800003</v>
      </c>
      <c r="G29" s="4">
        <v>2625.9407719199999</v>
      </c>
    </row>
    <row r="30" spans="1:7" x14ac:dyDescent="0.25">
      <c r="A30" s="1" t="s">
        <v>61</v>
      </c>
      <c r="B30" s="1">
        <v>2050</v>
      </c>
      <c r="C30" s="187">
        <f t="shared" si="0"/>
        <v>34053.811794000001</v>
      </c>
      <c r="D30" s="4">
        <v>818.11801920000005</v>
      </c>
      <c r="E30" s="4">
        <v>24026.807918400002</v>
      </c>
      <c r="F30" s="4">
        <v>6582.9450844800003</v>
      </c>
      <c r="G30" s="4">
        <v>2625.9407719199999</v>
      </c>
    </row>
    <row r="31" spans="1:7" x14ac:dyDescent="0.25">
      <c r="A31" s="1" t="s">
        <v>61</v>
      </c>
      <c r="B31" s="1">
        <v>2051</v>
      </c>
      <c r="C31" s="187">
        <f t="shared" si="0"/>
        <v>34053.811794000001</v>
      </c>
      <c r="D31" s="4">
        <v>818.11801920000005</v>
      </c>
      <c r="E31" s="4">
        <v>24026.807918400002</v>
      </c>
      <c r="F31" s="4">
        <v>6582.9450844800003</v>
      </c>
      <c r="G31" s="4">
        <v>2625.9407719199999</v>
      </c>
    </row>
    <row r="32" spans="1:7" x14ac:dyDescent="0.25">
      <c r="A32" s="1" t="s">
        <v>62</v>
      </c>
      <c r="B32" s="1">
        <v>2022</v>
      </c>
      <c r="C32" s="187">
        <f t="shared" si="0"/>
        <v>0</v>
      </c>
      <c r="D32" s="4">
        <v>0</v>
      </c>
      <c r="E32" s="4">
        <v>0</v>
      </c>
      <c r="F32" s="4">
        <v>0</v>
      </c>
      <c r="G32" s="4">
        <v>0</v>
      </c>
    </row>
    <row r="33" spans="1:7" x14ac:dyDescent="0.25">
      <c r="A33" s="1" t="s">
        <v>62</v>
      </c>
      <c r="B33" s="1">
        <v>2023</v>
      </c>
      <c r="C33" s="187">
        <f t="shared" si="0"/>
        <v>428.48376000000002</v>
      </c>
      <c r="D33" s="4">
        <v>0</v>
      </c>
      <c r="E33" s="4">
        <v>0</v>
      </c>
      <c r="F33" s="4">
        <v>428.48376000000002</v>
      </c>
      <c r="G33" s="4">
        <v>0</v>
      </c>
    </row>
    <row r="34" spans="1:7" x14ac:dyDescent="0.25">
      <c r="A34" s="1" t="s">
        <v>62</v>
      </c>
      <c r="B34" s="1">
        <v>2024</v>
      </c>
      <c r="C34" s="187">
        <f t="shared" si="0"/>
        <v>661.21986503999995</v>
      </c>
      <c r="D34" s="4">
        <v>0</v>
      </c>
      <c r="E34" s="4">
        <v>0</v>
      </c>
      <c r="F34" s="4">
        <v>661.21986503999995</v>
      </c>
      <c r="G34" s="4">
        <v>0</v>
      </c>
    </row>
    <row r="35" spans="1:7" x14ac:dyDescent="0.25">
      <c r="A35" s="1" t="s">
        <v>62</v>
      </c>
      <c r="B35" s="1">
        <v>2025</v>
      </c>
      <c r="C35" s="187">
        <f t="shared" si="0"/>
        <v>1381.1824610399999</v>
      </c>
      <c r="D35" s="4">
        <v>0</v>
      </c>
      <c r="E35" s="4">
        <v>0</v>
      </c>
      <c r="F35" s="4">
        <v>1381.1824610399999</v>
      </c>
      <c r="G35" s="4">
        <v>0</v>
      </c>
    </row>
    <row r="36" spans="1:7" x14ac:dyDescent="0.25">
      <c r="A36" s="1" t="s">
        <v>62</v>
      </c>
      <c r="B36" s="1">
        <v>2026</v>
      </c>
      <c r="C36" s="187">
        <f t="shared" si="0"/>
        <v>1736.5402010400001</v>
      </c>
      <c r="D36" s="4">
        <v>0</v>
      </c>
      <c r="E36" s="4">
        <v>0</v>
      </c>
      <c r="F36" s="4">
        <v>1736.5402010400001</v>
      </c>
      <c r="G36" s="4">
        <v>0</v>
      </c>
    </row>
    <row r="37" spans="1:7" x14ac:dyDescent="0.25">
      <c r="A37" s="1" t="s">
        <v>62</v>
      </c>
      <c r="B37" s="1">
        <v>2027</v>
      </c>
      <c r="C37" s="187">
        <f t="shared" si="0"/>
        <v>4154.5532954400005</v>
      </c>
      <c r="D37" s="4">
        <v>0</v>
      </c>
      <c r="E37" s="4">
        <v>0</v>
      </c>
      <c r="F37" s="4">
        <v>2403.92611584</v>
      </c>
      <c r="G37" s="4">
        <v>1750.6271796000001</v>
      </c>
    </row>
    <row r="38" spans="1:7" x14ac:dyDescent="0.25">
      <c r="A38" s="1" t="s">
        <v>62</v>
      </c>
      <c r="B38" s="1">
        <v>2028</v>
      </c>
      <c r="C38" s="187">
        <f t="shared" si="0"/>
        <v>5363.5598416800003</v>
      </c>
      <c r="D38" s="4">
        <v>0</v>
      </c>
      <c r="E38" s="4">
        <v>0</v>
      </c>
      <c r="F38" s="4">
        <v>2737.6190702399999</v>
      </c>
      <c r="G38" s="4">
        <v>2625.9407714399999</v>
      </c>
    </row>
    <row r="39" spans="1:7" x14ac:dyDescent="0.25">
      <c r="A39" s="1" t="s">
        <v>62</v>
      </c>
      <c r="B39" s="1">
        <v>2029</v>
      </c>
      <c r="C39" s="187">
        <f t="shared" si="0"/>
        <v>5363.5598416800003</v>
      </c>
      <c r="D39" s="4">
        <v>0</v>
      </c>
      <c r="E39" s="4">
        <v>0</v>
      </c>
      <c r="F39" s="4">
        <v>2737.61906976</v>
      </c>
      <c r="G39" s="4">
        <v>2625.9407719199999</v>
      </c>
    </row>
    <row r="40" spans="1:7" x14ac:dyDescent="0.25">
      <c r="A40" s="1" t="s">
        <v>62</v>
      </c>
      <c r="B40" s="1">
        <v>2030</v>
      </c>
      <c r="C40" s="187">
        <f t="shared" si="0"/>
        <v>5363.5598416800003</v>
      </c>
      <c r="D40" s="4">
        <v>0</v>
      </c>
      <c r="E40" s="4">
        <v>0</v>
      </c>
      <c r="F40" s="4">
        <v>2737.61906976</v>
      </c>
      <c r="G40" s="4">
        <v>2625.9407719199999</v>
      </c>
    </row>
    <row r="41" spans="1:7" x14ac:dyDescent="0.25">
      <c r="A41" s="1" t="s">
        <v>62</v>
      </c>
      <c r="B41" s="1">
        <v>2031</v>
      </c>
      <c r="C41" s="187">
        <f t="shared" si="0"/>
        <v>5363.5598416800003</v>
      </c>
      <c r="D41" s="4">
        <v>0</v>
      </c>
      <c r="E41" s="4">
        <v>0</v>
      </c>
      <c r="F41" s="4">
        <v>2737.61906976</v>
      </c>
      <c r="G41" s="4">
        <v>2625.9407719199999</v>
      </c>
    </row>
    <row r="42" spans="1:7" x14ac:dyDescent="0.25">
      <c r="A42" s="1" t="s">
        <v>62</v>
      </c>
      <c r="B42" s="1">
        <v>2032</v>
      </c>
      <c r="C42" s="187">
        <f t="shared" si="0"/>
        <v>5363.5598416800003</v>
      </c>
      <c r="D42" s="4">
        <v>0</v>
      </c>
      <c r="E42" s="4">
        <v>0</v>
      </c>
      <c r="F42" s="4">
        <v>2737.6190702399999</v>
      </c>
      <c r="G42" s="4">
        <v>2625.9407714399999</v>
      </c>
    </row>
    <row r="43" spans="1:7" x14ac:dyDescent="0.25">
      <c r="A43" s="1" t="s">
        <v>62</v>
      </c>
      <c r="B43" s="1">
        <v>2033</v>
      </c>
      <c r="C43" s="187">
        <f t="shared" si="0"/>
        <v>5363.5598416800003</v>
      </c>
      <c r="D43" s="4">
        <v>0</v>
      </c>
      <c r="E43" s="4">
        <v>0</v>
      </c>
      <c r="F43" s="4">
        <v>2737.61906976</v>
      </c>
      <c r="G43" s="4">
        <v>2625.9407719199999</v>
      </c>
    </row>
    <row r="44" spans="1:7" x14ac:dyDescent="0.25">
      <c r="A44" s="1" t="s">
        <v>62</v>
      </c>
      <c r="B44" s="1">
        <v>2034</v>
      </c>
      <c r="C44" s="187">
        <f t="shared" si="0"/>
        <v>5363.5598416800003</v>
      </c>
      <c r="D44" s="4">
        <v>0</v>
      </c>
      <c r="E44" s="4">
        <v>0</v>
      </c>
      <c r="F44" s="4">
        <v>2737.61906976</v>
      </c>
      <c r="G44" s="4">
        <v>2625.9407719199999</v>
      </c>
    </row>
    <row r="45" spans="1:7" x14ac:dyDescent="0.25">
      <c r="A45" s="1" t="s">
        <v>62</v>
      </c>
      <c r="B45" s="1">
        <v>2035</v>
      </c>
      <c r="C45" s="187">
        <f t="shared" si="0"/>
        <v>5363.5598416800003</v>
      </c>
      <c r="D45" s="4">
        <v>0</v>
      </c>
      <c r="E45" s="4">
        <v>0</v>
      </c>
      <c r="F45" s="4">
        <v>2737.61906976</v>
      </c>
      <c r="G45" s="4">
        <v>2625.9407719199999</v>
      </c>
    </row>
    <row r="46" spans="1:7" x14ac:dyDescent="0.25">
      <c r="A46" s="1" t="s">
        <v>62</v>
      </c>
      <c r="B46" s="1">
        <v>2036</v>
      </c>
      <c r="C46" s="187">
        <f t="shared" si="0"/>
        <v>5363.5598416800003</v>
      </c>
      <c r="D46" s="4">
        <v>0</v>
      </c>
      <c r="E46" s="4">
        <v>0</v>
      </c>
      <c r="F46" s="4">
        <v>2737.6190702399999</v>
      </c>
      <c r="G46" s="4">
        <v>2625.9407714399999</v>
      </c>
    </row>
    <row r="47" spans="1:7" x14ac:dyDescent="0.25">
      <c r="A47" s="1" t="s">
        <v>62</v>
      </c>
      <c r="B47" s="1">
        <v>2037</v>
      </c>
      <c r="C47" s="187">
        <f t="shared" si="0"/>
        <v>5363.5598416800003</v>
      </c>
      <c r="D47" s="4">
        <v>0</v>
      </c>
      <c r="E47" s="4">
        <v>0</v>
      </c>
      <c r="F47" s="4">
        <v>2737.61906976</v>
      </c>
      <c r="G47" s="4">
        <v>2625.9407719199999</v>
      </c>
    </row>
    <row r="48" spans="1:7" x14ac:dyDescent="0.25">
      <c r="A48" s="1" t="s">
        <v>62</v>
      </c>
      <c r="B48" s="1">
        <v>2038</v>
      </c>
      <c r="C48" s="187">
        <f t="shared" si="0"/>
        <v>5363.5598416800003</v>
      </c>
      <c r="D48" s="4">
        <v>0</v>
      </c>
      <c r="E48" s="4">
        <v>0</v>
      </c>
      <c r="F48" s="4">
        <v>2737.61906976</v>
      </c>
      <c r="G48" s="4">
        <v>2625.9407719199999</v>
      </c>
    </row>
    <row r="49" spans="1:7" x14ac:dyDescent="0.25">
      <c r="A49" s="1" t="s">
        <v>62</v>
      </c>
      <c r="B49" s="1">
        <v>2039</v>
      </c>
      <c r="C49" s="187">
        <f t="shared" si="0"/>
        <v>5363.5598416800003</v>
      </c>
      <c r="D49" s="4">
        <v>0</v>
      </c>
      <c r="E49" s="4">
        <v>0</v>
      </c>
      <c r="F49" s="4">
        <v>2737.61906976</v>
      </c>
      <c r="G49" s="4">
        <v>2625.9407719199999</v>
      </c>
    </row>
    <row r="50" spans="1:7" x14ac:dyDescent="0.25">
      <c r="A50" s="1" t="s">
        <v>62</v>
      </c>
      <c r="B50" s="1">
        <v>2040</v>
      </c>
      <c r="C50" s="187">
        <f t="shared" si="0"/>
        <v>5363.5598416800003</v>
      </c>
      <c r="D50" s="4">
        <v>0</v>
      </c>
      <c r="E50" s="4">
        <v>0</v>
      </c>
      <c r="F50" s="4">
        <v>2737.6190702399999</v>
      </c>
      <c r="G50" s="4">
        <v>2625.9407714399999</v>
      </c>
    </row>
    <row r="51" spans="1:7" x14ac:dyDescent="0.25">
      <c r="A51" s="1" t="s">
        <v>62</v>
      </c>
      <c r="B51" s="1">
        <v>2041</v>
      </c>
      <c r="C51" s="187">
        <f t="shared" si="0"/>
        <v>5363.5598416800003</v>
      </c>
      <c r="D51" s="4">
        <v>0</v>
      </c>
      <c r="E51" s="4">
        <v>0</v>
      </c>
      <c r="F51" s="4">
        <v>2737.61906976</v>
      </c>
      <c r="G51" s="4">
        <v>2625.9407719199999</v>
      </c>
    </row>
    <row r="52" spans="1:7" x14ac:dyDescent="0.25">
      <c r="A52" s="1" t="s">
        <v>62</v>
      </c>
      <c r="B52" s="1">
        <v>2042</v>
      </c>
      <c r="C52" s="187">
        <f t="shared" si="0"/>
        <v>5363.5598416800003</v>
      </c>
      <c r="D52" s="4">
        <v>0</v>
      </c>
      <c r="E52" s="4">
        <v>0</v>
      </c>
      <c r="F52" s="4">
        <v>2737.61906976</v>
      </c>
      <c r="G52" s="4">
        <v>2625.9407719199999</v>
      </c>
    </row>
    <row r="53" spans="1:7" x14ac:dyDescent="0.25">
      <c r="A53" s="1" t="s">
        <v>62</v>
      </c>
      <c r="B53" s="1">
        <v>2043</v>
      </c>
      <c r="C53" s="187">
        <f t="shared" si="0"/>
        <v>5363.5598416800003</v>
      </c>
      <c r="D53" s="4">
        <v>0</v>
      </c>
      <c r="E53" s="4">
        <v>0</v>
      </c>
      <c r="F53" s="4">
        <v>2737.61906976</v>
      </c>
      <c r="G53" s="4">
        <v>2625.9407719199999</v>
      </c>
    </row>
    <row r="54" spans="1:7" x14ac:dyDescent="0.25">
      <c r="A54" s="1" t="s">
        <v>62</v>
      </c>
      <c r="B54" s="1">
        <v>2044</v>
      </c>
      <c r="C54" s="187">
        <f t="shared" si="0"/>
        <v>5363.5598416800003</v>
      </c>
      <c r="D54" s="4">
        <v>0</v>
      </c>
      <c r="E54" s="4">
        <v>0</v>
      </c>
      <c r="F54" s="4">
        <v>2737.6190702399999</v>
      </c>
      <c r="G54" s="4">
        <v>2625.9407714399999</v>
      </c>
    </row>
    <row r="55" spans="1:7" x14ac:dyDescent="0.25">
      <c r="A55" s="1" t="s">
        <v>62</v>
      </c>
      <c r="B55" s="1">
        <v>2045</v>
      </c>
      <c r="C55" s="187">
        <f t="shared" si="0"/>
        <v>5363.5598416800003</v>
      </c>
      <c r="D55" s="4">
        <v>0</v>
      </c>
      <c r="E55" s="4">
        <v>0</v>
      </c>
      <c r="F55" s="4">
        <v>2737.61906976</v>
      </c>
      <c r="G55" s="4">
        <v>2625.9407719199999</v>
      </c>
    </row>
    <row r="56" spans="1:7" x14ac:dyDescent="0.25">
      <c r="A56" s="1" t="s">
        <v>62</v>
      </c>
      <c r="B56" s="1">
        <v>2046</v>
      </c>
      <c r="C56" s="187">
        <f t="shared" si="0"/>
        <v>5363.5598416800003</v>
      </c>
      <c r="D56" s="4">
        <v>0</v>
      </c>
      <c r="E56" s="4">
        <v>0</v>
      </c>
      <c r="F56" s="4">
        <v>2737.61906976</v>
      </c>
      <c r="G56" s="4">
        <v>2625.9407719199999</v>
      </c>
    </row>
    <row r="57" spans="1:7" x14ac:dyDescent="0.25">
      <c r="A57" s="1" t="s">
        <v>62</v>
      </c>
      <c r="B57" s="1">
        <v>2047</v>
      </c>
      <c r="C57" s="187">
        <f t="shared" si="0"/>
        <v>5363.5598416800003</v>
      </c>
      <c r="D57" s="4">
        <v>0</v>
      </c>
      <c r="E57" s="4">
        <v>0</v>
      </c>
      <c r="F57" s="4">
        <v>2737.61906976</v>
      </c>
      <c r="G57" s="4">
        <v>2625.9407719199999</v>
      </c>
    </row>
    <row r="58" spans="1:7" x14ac:dyDescent="0.25">
      <c r="A58" s="1" t="s">
        <v>62</v>
      </c>
      <c r="B58" s="1">
        <v>2048</v>
      </c>
      <c r="C58" s="187">
        <f t="shared" si="0"/>
        <v>5363.5598416800003</v>
      </c>
      <c r="D58" s="4">
        <v>0</v>
      </c>
      <c r="E58" s="4">
        <v>0</v>
      </c>
      <c r="F58" s="4">
        <v>2737.6190702399999</v>
      </c>
      <c r="G58" s="4">
        <v>2625.9407714399999</v>
      </c>
    </row>
    <row r="59" spans="1:7" x14ac:dyDescent="0.25">
      <c r="A59" s="1" t="s">
        <v>62</v>
      </c>
      <c r="B59" s="1">
        <v>2049</v>
      </c>
      <c r="C59" s="187">
        <f t="shared" si="0"/>
        <v>5363.5598416800003</v>
      </c>
      <c r="D59" s="4">
        <v>0</v>
      </c>
      <c r="E59" s="4">
        <v>0</v>
      </c>
      <c r="F59" s="4">
        <v>2737.61906976</v>
      </c>
      <c r="G59" s="4">
        <v>2625.9407719199999</v>
      </c>
    </row>
    <row r="60" spans="1:7" x14ac:dyDescent="0.25">
      <c r="A60" s="1" t="s">
        <v>62</v>
      </c>
      <c r="B60" s="1">
        <v>2050</v>
      </c>
      <c r="C60" s="187">
        <f t="shared" si="0"/>
        <v>5363.5598416800003</v>
      </c>
      <c r="D60" s="4">
        <v>0</v>
      </c>
      <c r="E60" s="4">
        <v>0</v>
      </c>
      <c r="F60" s="4">
        <v>2737.61906976</v>
      </c>
      <c r="G60" s="4">
        <v>2625.9407719199999</v>
      </c>
    </row>
    <row r="61" spans="1:7" x14ac:dyDescent="0.25">
      <c r="A61" s="1" t="s">
        <v>62</v>
      </c>
      <c r="B61" s="1">
        <v>2051</v>
      </c>
      <c r="C61" s="187">
        <f t="shared" si="0"/>
        <v>5363.5598416800003</v>
      </c>
      <c r="D61" s="4">
        <v>0</v>
      </c>
      <c r="E61" s="4">
        <v>0</v>
      </c>
      <c r="F61" s="4">
        <v>2737.61906976</v>
      </c>
      <c r="G61" s="4">
        <v>2625.9407719199999</v>
      </c>
    </row>
    <row r="62" spans="1:7" x14ac:dyDescent="0.25">
      <c r="A62" s="1" t="s">
        <v>63</v>
      </c>
      <c r="B62" s="1">
        <v>2022</v>
      </c>
      <c r="C62" s="187">
        <f t="shared" si="0"/>
        <v>0</v>
      </c>
      <c r="D62" s="4">
        <v>0</v>
      </c>
      <c r="E62" s="4">
        <v>0</v>
      </c>
      <c r="F62" s="4">
        <v>0</v>
      </c>
      <c r="G62" s="4">
        <v>0</v>
      </c>
    </row>
    <row r="63" spans="1:7" x14ac:dyDescent="0.25">
      <c r="A63" s="1" t="s">
        <v>63</v>
      </c>
      <c r="B63" s="1">
        <v>2023</v>
      </c>
      <c r="C63" s="187">
        <f t="shared" si="0"/>
        <v>374.90683200000001</v>
      </c>
      <c r="D63" s="4">
        <v>0</v>
      </c>
      <c r="E63" s="4">
        <v>0</v>
      </c>
      <c r="F63" s="4">
        <v>374.90683200000001</v>
      </c>
      <c r="G63" s="4">
        <v>0</v>
      </c>
    </row>
    <row r="64" spans="1:7" x14ac:dyDescent="0.25">
      <c r="A64" s="1" t="s">
        <v>63</v>
      </c>
      <c r="B64" s="1">
        <v>2024</v>
      </c>
      <c r="C64" s="187">
        <f t="shared" si="0"/>
        <v>562.36024464000002</v>
      </c>
      <c r="D64" s="4">
        <v>0</v>
      </c>
      <c r="E64" s="4">
        <v>0</v>
      </c>
      <c r="F64" s="4">
        <v>562.36024464000002</v>
      </c>
      <c r="G64" s="4">
        <v>0</v>
      </c>
    </row>
    <row r="65" spans="1:7" x14ac:dyDescent="0.25">
      <c r="A65" s="1" t="s">
        <v>63</v>
      </c>
      <c r="B65" s="1">
        <v>2025</v>
      </c>
      <c r="C65" s="187">
        <f t="shared" si="0"/>
        <v>1052.4424368</v>
      </c>
      <c r="D65" s="4">
        <v>0</v>
      </c>
      <c r="E65" s="4">
        <v>0</v>
      </c>
      <c r="F65" s="4">
        <v>1052.4424368</v>
      </c>
      <c r="G65" s="4">
        <v>0</v>
      </c>
    </row>
    <row r="66" spans="1:7" x14ac:dyDescent="0.25">
      <c r="A66" s="1" t="s">
        <v>63</v>
      </c>
      <c r="B66" s="1">
        <v>2026</v>
      </c>
      <c r="C66" s="187">
        <f t="shared" ref="C66:C129" si="1">SUM(D66:G66)</f>
        <v>1297.4835384</v>
      </c>
      <c r="D66" s="4">
        <v>0</v>
      </c>
      <c r="E66" s="4">
        <v>0</v>
      </c>
      <c r="F66" s="4">
        <v>1297.4835384</v>
      </c>
      <c r="G66" s="4">
        <v>0</v>
      </c>
    </row>
    <row r="67" spans="1:7" x14ac:dyDescent="0.25">
      <c r="A67" s="1" t="s">
        <v>63</v>
      </c>
      <c r="B67" s="1">
        <v>2027</v>
      </c>
      <c r="C67" s="187">
        <f t="shared" si="1"/>
        <v>3818.5594656000003</v>
      </c>
      <c r="D67" s="4">
        <v>0</v>
      </c>
      <c r="E67" s="4">
        <v>0</v>
      </c>
      <c r="F67" s="4">
        <v>2067.9322860000002</v>
      </c>
      <c r="G67" s="4">
        <v>1750.6271796000001</v>
      </c>
    </row>
    <row r="68" spans="1:7" x14ac:dyDescent="0.25">
      <c r="A68" s="1" t="s">
        <v>63</v>
      </c>
      <c r="B68" s="1">
        <v>2028</v>
      </c>
      <c r="C68" s="187">
        <f t="shared" si="1"/>
        <v>5079.0974246400001</v>
      </c>
      <c r="D68" s="4">
        <v>0</v>
      </c>
      <c r="E68" s="4">
        <v>0</v>
      </c>
      <c r="F68" s="4">
        <v>2453.1566531999997</v>
      </c>
      <c r="G68" s="4">
        <v>2625.9407714399999</v>
      </c>
    </row>
    <row r="69" spans="1:7" x14ac:dyDescent="0.25">
      <c r="A69" s="1" t="s">
        <v>63</v>
      </c>
      <c r="B69" s="1">
        <v>2029</v>
      </c>
      <c r="C69" s="187">
        <f t="shared" si="1"/>
        <v>5079.0974246400001</v>
      </c>
      <c r="D69" s="4">
        <v>0</v>
      </c>
      <c r="E69" s="4">
        <v>0</v>
      </c>
      <c r="F69" s="4">
        <v>2453.1566527199998</v>
      </c>
      <c r="G69" s="4">
        <v>2625.9407719199999</v>
      </c>
    </row>
    <row r="70" spans="1:7" x14ac:dyDescent="0.25">
      <c r="A70" s="1" t="s">
        <v>63</v>
      </c>
      <c r="B70" s="1">
        <v>2030</v>
      </c>
      <c r="C70" s="187">
        <f t="shared" si="1"/>
        <v>5079.0974246400001</v>
      </c>
      <c r="D70" s="4">
        <v>0</v>
      </c>
      <c r="E70" s="4">
        <v>0</v>
      </c>
      <c r="F70" s="4">
        <v>2453.1566527199998</v>
      </c>
      <c r="G70" s="4">
        <v>2625.9407719199999</v>
      </c>
    </row>
    <row r="71" spans="1:7" x14ac:dyDescent="0.25">
      <c r="A71" s="1" t="s">
        <v>63</v>
      </c>
      <c r="B71" s="1">
        <v>2031</v>
      </c>
      <c r="C71" s="187">
        <f t="shared" si="1"/>
        <v>5079.0974246400001</v>
      </c>
      <c r="D71" s="4">
        <v>0</v>
      </c>
      <c r="E71" s="4">
        <v>0</v>
      </c>
      <c r="F71" s="4">
        <v>2453.1566527199998</v>
      </c>
      <c r="G71" s="4">
        <v>2625.9407719199999</v>
      </c>
    </row>
    <row r="72" spans="1:7" x14ac:dyDescent="0.25">
      <c r="A72" s="1" t="s">
        <v>63</v>
      </c>
      <c r="B72" s="1">
        <v>2032</v>
      </c>
      <c r="C72" s="187">
        <f t="shared" si="1"/>
        <v>5079.0974246400001</v>
      </c>
      <c r="D72" s="4">
        <v>0</v>
      </c>
      <c r="E72" s="4">
        <v>0</v>
      </c>
      <c r="F72" s="4">
        <v>2453.1566531999997</v>
      </c>
      <c r="G72" s="4">
        <v>2625.9407714399999</v>
      </c>
    </row>
    <row r="73" spans="1:7" x14ac:dyDescent="0.25">
      <c r="A73" s="1" t="s">
        <v>63</v>
      </c>
      <c r="B73" s="1">
        <v>2033</v>
      </c>
      <c r="C73" s="187">
        <f t="shared" si="1"/>
        <v>5079.0974246400001</v>
      </c>
      <c r="D73" s="4">
        <v>0</v>
      </c>
      <c r="E73" s="4">
        <v>0</v>
      </c>
      <c r="F73" s="4">
        <v>2453.1566527199998</v>
      </c>
      <c r="G73" s="4">
        <v>2625.9407719199999</v>
      </c>
    </row>
    <row r="74" spans="1:7" x14ac:dyDescent="0.25">
      <c r="A74" s="1" t="s">
        <v>63</v>
      </c>
      <c r="B74" s="1">
        <v>2034</v>
      </c>
      <c r="C74" s="187">
        <f t="shared" si="1"/>
        <v>5079.0974246400001</v>
      </c>
      <c r="D74" s="4">
        <v>0</v>
      </c>
      <c r="E74" s="4">
        <v>0</v>
      </c>
      <c r="F74" s="4">
        <v>2453.1566527199998</v>
      </c>
      <c r="G74" s="4">
        <v>2625.9407719199999</v>
      </c>
    </row>
    <row r="75" spans="1:7" x14ac:dyDescent="0.25">
      <c r="A75" s="1" t="s">
        <v>63</v>
      </c>
      <c r="B75" s="1">
        <v>2035</v>
      </c>
      <c r="C75" s="187">
        <f t="shared" si="1"/>
        <v>5079.0974246400001</v>
      </c>
      <c r="D75" s="4">
        <v>0</v>
      </c>
      <c r="E75" s="4">
        <v>0</v>
      </c>
      <c r="F75" s="4">
        <v>2453.1566527199998</v>
      </c>
      <c r="G75" s="4">
        <v>2625.9407719199999</v>
      </c>
    </row>
    <row r="76" spans="1:7" x14ac:dyDescent="0.25">
      <c r="A76" s="1" t="s">
        <v>63</v>
      </c>
      <c r="B76" s="1">
        <v>2036</v>
      </c>
      <c r="C76" s="187">
        <f t="shared" si="1"/>
        <v>5079.0974246400001</v>
      </c>
      <c r="D76" s="4">
        <v>0</v>
      </c>
      <c r="E76" s="4">
        <v>0</v>
      </c>
      <c r="F76" s="4">
        <v>2453.1566531999997</v>
      </c>
      <c r="G76" s="4">
        <v>2625.9407714399999</v>
      </c>
    </row>
    <row r="77" spans="1:7" x14ac:dyDescent="0.25">
      <c r="A77" s="1" t="s">
        <v>63</v>
      </c>
      <c r="B77" s="1">
        <v>2037</v>
      </c>
      <c r="C77" s="187">
        <f t="shared" si="1"/>
        <v>5079.0974246400001</v>
      </c>
      <c r="D77" s="4">
        <v>0</v>
      </c>
      <c r="E77" s="4">
        <v>0</v>
      </c>
      <c r="F77" s="4">
        <v>2453.1566527199998</v>
      </c>
      <c r="G77" s="4">
        <v>2625.9407719199999</v>
      </c>
    </row>
    <row r="78" spans="1:7" x14ac:dyDescent="0.25">
      <c r="A78" s="1" t="s">
        <v>63</v>
      </c>
      <c r="B78" s="1">
        <v>2038</v>
      </c>
      <c r="C78" s="187">
        <f t="shared" si="1"/>
        <v>5079.0974246400001</v>
      </c>
      <c r="D78" s="4">
        <v>0</v>
      </c>
      <c r="E78" s="4">
        <v>0</v>
      </c>
      <c r="F78" s="4">
        <v>2453.1566527199998</v>
      </c>
      <c r="G78" s="4">
        <v>2625.9407719199999</v>
      </c>
    </row>
    <row r="79" spans="1:7" x14ac:dyDescent="0.25">
      <c r="A79" s="1" t="s">
        <v>63</v>
      </c>
      <c r="B79" s="1">
        <v>2039</v>
      </c>
      <c r="C79" s="187">
        <f t="shared" si="1"/>
        <v>5079.0974246400001</v>
      </c>
      <c r="D79" s="4">
        <v>0</v>
      </c>
      <c r="E79" s="4">
        <v>0</v>
      </c>
      <c r="F79" s="4">
        <v>2453.1566527199998</v>
      </c>
      <c r="G79" s="4">
        <v>2625.9407719199999</v>
      </c>
    </row>
    <row r="80" spans="1:7" x14ac:dyDescent="0.25">
      <c r="A80" s="1" t="s">
        <v>63</v>
      </c>
      <c r="B80" s="1">
        <v>2040</v>
      </c>
      <c r="C80" s="187">
        <f t="shared" si="1"/>
        <v>5079.0974246400001</v>
      </c>
      <c r="D80" s="4">
        <v>0</v>
      </c>
      <c r="E80" s="4">
        <v>0</v>
      </c>
      <c r="F80" s="4">
        <v>2453.1566531999997</v>
      </c>
      <c r="G80" s="4">
        <v>2625.9407714399999</v>
      </c>
    </row>
    <row r="81" spans="1:7" x14ac:dyDescent="0.25">
      <c r="A81" s="1" t="s">
        <v>63</v>
      </c>
      <c r="B81" s="1">
        <v>2041</v>
      </c>
      <c r="C81" s="187">
        <f t="shared" si="1"/>
        <v>5079.0974246400001</v>
      </c>
      <c r="D81" s="4">
        <v>0</v>
      </c>
      <c r="E81" s="4">
        <v>0</v>
      </c>
      <c r="F81" s="4">
        <v>2453.1566527199998</v>
      </c>
      <c r="G81" s="4">
        <v>2625.9407719199999</v>
      </c>
    </row>
    <row r="82" spans="1:7" x14ac:dyDescent="0.25">
      <c r="A82" s="1" t="s">
        <v>63</v>
      </c>
      <c r="B82" s="1">
        <v>2042</v>
      </c>
      <c r="C82" s="187">
        <f t="shared" si="1"/>
        <v>5079.0974246400001</v>
      </c>
      <c r="D82" s="4">
        <v>0</v>
      </c>
      <c r="E82" s="4">
        <v>0</v>
      </c>
      <c r="F82" s="4">
        <v>2453.1566527199998</v>
      </c>
      <c r="G82" s="4">
        <v>2625.9407719199999</v>
      </c>
    </row>
    <row r="83" spans="1:7" x14ac:dyDescent="0.25">
      <c r="A83" s="1" t="s">
        <v>63</v>
      </c>
      <c r="B83" s="1">
        <v>2043</v>
      </c>
      <c r="C83" s="187">
        <f t="shared" si="1"/>
        <v>5079.0974246400001</v>
      </c>
      <c r="D83" s="4">
        <v>0</v>
      </c>
      <c r="E83" s="4">
        <v>0</v>
      </c>
      <c r="F83" s="4">
        <v>2453.1566527199998</v>
      </c>
      <c r="G83" s="4">
        <v>2625.9407719199999</v>
      </c>
    </row>
    <row r="84" spans="1:7" x14ac:dyDescent="0.25">
      <c r="A84" s="1" t="s">
        <v>63</v>
      </c>
      <c r="B84" s="1">
        <v>2044</v>
      </c>
      <c r="C84" s="187">
        <f t="shared" si="1"/>
        <v>5079.0974246400001</v>
      </c>
      <c r="D84" s="4">
        <v>0</v>
      </c>
      <c r="E84" s="4">
        <v>0</v>
      </c>
      <c r="F84" s="4">
        <v>2453.1566531999997</v>
      </c>
      <c r="G84" s="4">
        <v>2625.9407714399999</v>
      </c>
    </row>
    <row r="85" spans="1:7" x14ac:dyDescent="0.25">
      <c r="A85" s="1" t="s">
        <v>63</v>
      </c>
      <c r="B85" s="1">
        <v>2045</v>
      </c>
      <c r="C85" s="187">
        <f t="shared" si="1"/>
        <v>5079.0974246400001</v>
      </c>
      <c r="D85" s="4">
        <v>0</v>
      </c>
      <c r="E85" s="4">
        <v>0</v>
      </c>
      <c r="F85" s="4">
        <v>2453.1566527199998</v>
      </c>
      <c r="G85" s="4">
        <v>2625.9407719199999</v>
      </c>
    </row>
    <row r="86" spans="1:7" x14ac:dyDescent="0.25">
      <c r="A86" s="1" t="s">
        <v>63</v>
      </c>
      <c r="B86" s="1">
        <v>2046</v>
      </c>
      <c r="C86" s="187">
        <f t="shared" si="1"/>
        <v>5079.0974246400001</v>
      </c>
      <c r="D86" s="4">
        <v>0</v>
      </c>
      <c r="E86" s="4">
        <v>0</v>
      </c>
      <c r="F86" s="4">
        <v>2453.1566527199998</v>
      </c>
      <c r="G86" s="4">
        <v>2625.9407719199999</v>
      </c>
    </row>
    <row r="87" spans="1:7" x14ac:dyDescent="0.25">
      <c r="A87" s="1" t="s">
        <v>63</v>
      </c>
      <c r="B87" s="1">
        <v>2047</v>
      </c>
      <c r="C87" s="187">
        <f t="shared" si="1"/>
        <v>5079.0974246400001</v>
      </c>
      <c r="D87" s="4">
        <v>0</v>
      </c>
      <c r="E87" s="4">
        <v>0</v>
      </c>
      <c r="F87" s="4">
        <v>2453.1566527199998</v>
      </c>
      <c r="G87" s="4">
        <v>2625.9407719199999</v>
      </c>
    </row>
    <row r="88" spans="1:7" x14ac:dyDescent="0.25">
      <c r="A88" s="1" t="s">
        <v>63</v>
      </c>
      <c r="B88" s="1">
        <v>2048</v>
      </c>
      <c r="C88" s="187">
        <f t="shared" si="1"/>
        <v>5079.0974246400001</v>
      </c>
      <c r="D88" s="4">
        <v>0</v>
      </c>
      <c r="E88" s="4">
        <v>0</v>
      </c>
      <c r="F88" s="4">
        <v>2453.1566531999997</v>
      </c>
      <c r="G88" s="4">
        <v>2625.9407714399999</v>
      </c>
    </row>
    <row r="89" spans="1:7" x14ac:dyDescent="0.25">
      <c r="A89" s="1" t="s">
        <v>63</v>
      </c>
      <c r="B89" s="1">
        <v>2049</v>
      </c>
      <c r="C89" s="187">
        <f t="shared" si="1"/>
        <v>5079.0974246400001</v>
      </c>
      <c r="D89" s="4">
        <v>0</v>
      </c>
      <c r="E89" s="4">
        <v>0</v>
      </c>
      <c r="F89" s="4">
        <v>2453.1566527199998</v>
      </c>
      <c r="G89" s="4">
        <v>2625.9407719199999</v>
      </c>
    </row>
    <row r="90" spans="1:7" x14ac:dyDescent="0.25">
      <c r="A90" s="1" t="s">
        <v>63</v>
      </c>
      <c r="B90" s="1">
        <v>2050</v>
      </c>
      <c r="C90" s="187">
        <f t="shared" si="1"/>
        <v>5079.0974246400001</v>
      </c>
      <c r="D90" s="4">
        <v>0</v>
      </c>
      <c r="E90" s="4">
        <v>0</v>
      </c>
      <c r="F90" s="4">
        <v>2453.1566527199998</v>
      </c>
      <c r="G90" s="4">
        <v>2625.9407719199999</v>
      </c>
    </row>
    <row r="91" spans="1:7" x14ac:dyDescent="0.25">
      <c r="A91" s="1" t="s">
        <v>63</v>
      </c>
      <c r="B91" s="1">
        <v>2051</v>
      </c>
      <c r="C91" s="187">
        <f t="shared" si="1"/>
        <v>5079.0974246400001</v>
      </c>
      <c r="D91" s="4">
        <v>0</v>
      </c>
      <c r="E91" s="4">
        <v>0</v>
      </c>
      <c r="F91" s="4">
        <v>2453.1566527199998</v>
      </c>
      <c r="G91" s="4">
        <v>2625.9407719199999</v>
      </c>
    </row>
    <row r="92" spans="1:7" x14ac:dyDescent="0.25">
      <c r="A92" s="1" t="s">
        <v>64</v>
      </c>
      <c r="B92" s="1">
        <v>2022</v>
      </c>
      <c r="C92" s="187">
        <f t="shared" si="1"/>
        <v>0</v>
      </c>
      <c r="D92" s="4">
        <v>0</v>
      </c>
      <c r="E92" s="4">
        <v>0</v>
      </c>
      <c r="F92" s="4">
        <v>0</v>
      </c>
      <c r="G92" s="4">
        <v>0</v>
      </c>
    </row>
    <row r="93" spans="1:7" x14ac:dyDescent="0.25">
      <c r="A93" s="1" t="s">
        <v>64</v>
      </c>
      <c r="B93" s="1">
        <v>2023</v>
      </c>
      <c r="C93" s="187">
        <f t="shared" si="1"/>
        <v>428.48376000000002</v>
      </c>
      <c r="D93" s="4">
        <v>0</v>
      </c>
      <c r="E93" s="4">
        <v>0</v>
      </c>
      <c r="F93" s="4">
        <v>428.48376000000002</v>
      </c>
      <c r="G93" s="4">
        <v>0</v>
      </c>
    </row>
    <row r="94" spans="1:7" x14ac:dyDescent="0.25">
      <c r="A94" s="1" t="s">
        <v>64</v>
      </c>
      <c r="B94" s="1">
        <v>2024</v>
      </c>
      <c r="C94" s="187">
        <f t="shared" si="1"/>
        <v>675.90264023999998</v>
      </c>
      <c r="D94" s="4">
        <v>0</v>
      </c>
      <c r="E94" s="4">
        <v>0</v>
      </c>
      <c r="F94" s="4">
        <v>675.90264023999998</v>
      </c>
      <c r="G94" s="4">
        <v>0</v>
      </c>
    </row>
    <row r="95" spans="1:7" x14ac:dyDescent="0.25">
      <c r="A95" s="1" t="s">
        <v>64</v>
      </c>
      <c r="B95" s="1">
        <v>2025</v>
      </c>
      <c r="C95" s="187">
        <f t="shared" si="1"/>
        <v>935.28280175999998</v>
      </c>
      <c r="D95" s="4">
        <v>0</v>
      </c>
      <c r="E95" s="4">
        <v>0</v>
      </c>
      <c r="F95" s="4">
        <v>935.28280175999998</v>
      </c>
      <c r="G95" s="4">
        <v>0</v>
      </c>
    </row>
    <row r="96" spans="1:7" x14ac:dyDescent="0.25">
      <c r="A96" s="1" t="s">
        <v>64</v>
      </c>
      <c r="B96" s="1">
        <v>2026</v>
      </c>
      <c r="C96" s="187">
        <f t="shared" si="1"/>
        <v>1056.6786331200001</v>
      </c>
      <c r="D96" s="4">
        <v>0</v>
      </c>
      <c r="E96" s="4">
        <v>0</v>
      </c>
      <c r="F96" s="4">
        <v>1056.6786331200001</v>
      </c>
      <c r="G96" s="4">
        <v>0</v>
      </c>
    </row>
    <row r="97" spans="1:7" x14ac:dyDescent="0.25">
      <c r="A97" s="1" t="s">
        <v>64</v>
      </c>
      <c r="B97" s="1">
        <v>2027</v>
      </c>
      <c r="C97" s="187">
        <f t="shared" si="1"/>
        <v>4071.40377072</v>
      </c>
      <c r="D97" s="4">
        <v>0</v>
      </c>
      <c r="E97" s="4">
        <v>0</v>
      </c>
      <c r="F97" s="4">
        <v>2320.7765911199999</v>
      </c>
      <c r="G97" s="4">
        <v>1750.6271796000001</v>
      </c>
    </row>
    <row r="98" spans="1:7" x14ac:dyDescent="0.25">
      <c r="A98" s="1" t="s">
        <v>64</v>
      </c>
      <c r="B98" s="1">
        <v>2028</v>
      </c>
      <c r="C98" s="187">
        <f t="shared" si="1"/>
        <v>5642.4999348000001</v>
      </c>
      <c r="D98" s="4">
        <v>0</v>
      </c>
      <c r="E98" s="4">
        <v>0</v>
      </c>
      <c r="F98" s="4">
        <v>3016.5591633600002</v>
      </c>
      <c r="G98" s="4">
        <v>2625.9407714399999</v>
      </c>
    </row>
    <row r="99" spans="1:7" x14ac:dyDescent="0.25">
      <c r="A99" s="1" t="s">
        <v>64</v>
      </c>
      <c r="B99" s="1">
        <v>2029</v>
      </c>
      <c r="C99" s="187">
        <f t="shared" si="1"/>
        <v>5676.9438247199996</v>
      </c>
      <c r="D99" s="4">
        <v>0</v>
      </c>
      <c r="E99" s="4">
        <v>0</v>
      </c>
      <c r="F99" s="4">
        <v>3051.0030527999998</v>
      </c>
      <c r="G99" s="4">
        <v>2625.9407719199999</v>
      </c>
    </row>
    <row r="100" spans="1:7" x14ac:dyDescent="0.25">
      <c r="A100" s="1" t="s">
        <v>64</v>
      </c>
      <c r="B100" s="1">
        <v>2030</v>
      </c>
      <c r="C100" s="187">
        <f t="shared" si="1"/>
        <v>5709.1571116799996</v>
      </c>
      <c r="D100" s="4">
        <v>0</v>
      </c>
      <c r="E100" s="4">
        <v>0</v>
      </c>
      <c r="F100" s="4">
        <v>3083.2163397599998</v>
      </c>
      <c r="G100" s="4">
        <v>2625.9407719199999</v>
      </c>
    </row>
    <row r="101" spans="1:7" x14ac:dyDescent="0.25">
      <c r="A101" s="1" t="s">
        <v>64</v>
      </c>
      <c r="B101" s="1">
        <v>2031</v>
      </c>
      <c r="C101" s="187">
        <f t="shared" si="1"/>
        <v>5752.4258169599998</v>
      </c>
      <c r="D101" s="4">
        <v>0</v>
      </c>
      <c r="E101" s="4">
        <v>0</v>
      </c>
      <c r="F101" s="4">
        <v>3126.4850450399999</v>
      </c>
      <c r="G101" s="4">
        <v>2625.9407719199999</v>
      </c>
    </row>
    <row r="102" spans="1:7" x14ac:dyDescent="0.25">
      <c r="A102" s="1" t="s">
        <v>64</v>
      </c>
      <c r="B102" s="1">
        <v>2032</v>
      </c>
      <c r="C102" s="187">
        <f t="shared" si="1"/>
        <v>5769.1009346400006</v>
      </c>
      <c r="D102" s="4">
        <v>0</v>
      </c>
      <c r="E102" s="4">
        <v>0</v>
      </c>
      <c r="F102" s="4">
        <v>3143.1601632000002</v>
      </c>
      <c r="G102" s="4">
        <v>2625.9407714399999</v>
      </c>
    </row>
    <row r="103" spans="1:7" x14ac:dyDescent="0.25">
      <c r="A103" s="1" t="s">
        <v>64</v>
      </c>
      <c r="B103" s="1">
        <v>2033</v>
      </c>
      <c r="C103" s="187">
        <f t="shared" si="1"/>
        <v>5773.8868922399997</v>
      </c>
      <c r="D103" s="4">
        <v>0</v>
      </c>
      <c r="E103" s="4">
        <v>0</v>
      </c>
      <c r="F103" s="4">
        <v>3147.9461203199999</v>
      </c>
      <c r="G103" s="4">
        <v>2625.9407719199999</v>
      </c>
    </row>
    <row r="104" spans="1:7" x14ac:dyDescent="0.25">
      <c r="A104" s="1" t="s">
        <v>64</v>
      </c>
      <c r="B104" s="1">
        <v>2034</v>
      </c>
      <c r="C104" s="187">
        <f t="shared" si="1"/>
        <v>5775.5868837599992</v>
      </c>
      <c r="D104" s="4">
        <v>0</v>
      </c>
      <c r="E104" s="4">
        <v>0</v>
      </c>
      <c r="F104" s="4">
        <v>3149.6461118399998</v>
      </c>
      <c r="G104" s="4">
        <v>2625.9407719199999</v>
      </c>
    </row>
    <row r="105" spans="1:7" x14ac:dyDescent="0.25">
      <c r="A105" s="1" t="s">
        <v>64</v>
      </c>
      <c r="B105" s="1">
        <v>2035</v>
      </c>
      <c r="C105" s="187">
        <f t="shared" si="1"/>
        <v>5779.3983537599997</v>
      </c>
      <c r="D105" s="4">
        <v>0</v>
      </c>
      <c r="E105" s="4">
        <v>0</v>
      </c>
      <c r="F105" s="4">
        <v>3153.4575818399999</v>
      </c>
      <c r="G105" s="4">
        <v>2625.9407719199999</v>
      </c>
    </row>
    <row r="106" spans="1:7" x14ac:dyDescent="0.25">
      <c r="A106" s="1" t="s">
        <v>64</v>
      </c>
      <c r="B106" s="1">
        <v>2036</v>
      </c>
      <c r="C106" s="187">
        <f t="shared" si="1"/>
        <v>5781.3040908000003</v>
      </c>
      <c r="D106" s="4">
        <v>0</v>
      </c>
      <c r="E106" s="4">
        <v>0</v>
      </c>
      <c r="F106" s="4">
        <v>3155.3633193599999</v>
      </c>
      <c r="G106" s="4">
        <v>2625.9407714399999</v>
      </c>
    </row>
    <row r="107" spans="1:7" x14ac:dyDescent="0.25">
      <c r="A107" s="1" t="s">
        <v>64</v>
      </c>
      <c r="B107" s="1">
        <v>2037</v>
      </c>
      <c r="C107" s="187">
        <f t="shared" si="1"/>
        <v>5781.3040900799997</v>
      </c>
      <c r="D107" s="4">
        <v>0</v>
      </c>
      <c r="E107" s="4">
        <v>0</v>
      </c>
      <c r="F107" s="4">
        <v>3155.3633181599998</v>
      </c>
      <c r="G107" s="4">
        <v>2625.9407719199999</v>
      </c>
    </row>
    <row r="108" spans="1:7" x14ac:dyDescent="0.25">
      <c r="A108" s="1" t="s">
        <v>64</v>
      </c>
      <c r="B108" s="1">
        <v>2038</v>
      </c>
      <c r="C108" s="187">
        <f t="shared" si="1"/>
        <v>5781.3040900799997</v>
      </c>
      <c r="D108" s="4">
        <v>0</v>
      </c>
      <c r="E108" s="4">
        <v>0</v>
      </c>
      <c r="F108" s="4">
        <v>3155.3633181599998</v>
      </c>
      <c r="G108" s="4">
        <v>2625.9407719199999</v>
      </c>
    </row>
    <row r="109" spans="1:7" x14ac:dyDescent="0.25">
      <c r="A109" s="1" t="s">
        <v>64</v>
      </c>
      <c r="B109" s="1">
        <v>2039</v>
      </c>
      <c r="C109" s="187">
        <f t="shared" si="1"/>
        <v>5781.3040900799997</v>
      </c>
      <c r="D109" s="4">
        <v>0</v>
      </c>
      <c r="E109" s="4">
        <v>0</v>
      </c>
      <c r="F109" s="4">
        <v>3155.3633181599998</v>
      </c>
      <c r="G109" s="4">
        <v>2625.9407719199999</v>
      </c>
    </row>
    <row r="110" spans="1:7" x14ac:dyDescent="0.25">
      <c r="A110" s="1" t="s">
        <v>64</v>
      </c>
      <c r="B110" s="1">
        <v>2040</v>
      </c>
      <c r="C110" s="187">
        <f t="shared" si="1"/>
        <v>5781.3040908000003</v>
      </c>
      <c r="D110" s="4">
        <v>0</v>
      </c>
      <c r="E110" s="4">
        <v>0</v>
      </c>
      <c r="F110" s="4">
        <v>3155.3633193599999</v>
      </c>
      <c r="G110" s="4">
        <v>2625.9407714399999</v>
      </c>
    </row>
    <row r="111" spans="1:7" x14ac:dyDescent="0.25">
      <c r="A111" s="1" t="s">
        <v>64</v>
      </c>
      <c r="B111" s="1">
        <v>2041</v>
      </c>
      <c r="C111" s="187">
        <f t="shared" si="1"/>
        <v>5781.3040900799997</v>
      </c>
      <c r="D111" s="4">
        <v>0</v>
      </c>
      <c r="E111" s="4">
        <v>0</v>
      </c>
      <c r="F111" s="4">
        <v>3155.3633181599998</v>
      </c>
      <c r="G111" s="4">
        <v>2625.9407719199999</v>
      </c>
    </row>
    <row r="112" spans="1:7" x14ac:dyDescent="0.25">
      <c r="A112" s="1" t="s">
        <v>64</v>
      </c>
      <c r="B112" s="1">
        <v>2042</v>
      </c>
      <c r="C112" s="187">
        <f t="shared" si="1"/>
        <v>5781.3040900799997</v>
      </c>
      <c r="D112" s="4">
        <v>0</v>
      </c>
      <c r="E112" s="4">
        <v>0</v>
      </c>
      <c r="F112" s="4">
        <v>3155.3633181599998</v>
      </c>
      <c r="G112" s="4">
        <v>2625.9407719199999</v>
      </c>
    </row>
    <row r="113" spans="1:7" x14ac:dyDescent="0.25">
      <c r="A113" s="1" t="s">
        <v>64</v>
      </c>
      <c r="B113" s="1">
        <v>2043</v>
      </c>
      <c r="C113" s="187">
        <f t="shared" si="1"/>
        <v>5781.3040900799997</v>
      </c>
      <c r="D113" s="4">
        <v>0</v>
      </c>
      <c r="E113" s="4">
        <v>0</v>
      </c>
      <c r="F113" s="4">
        <v>3155.3633181599998</v>
      </c>
      <c r="G113" s="4">
        <v>2625.9407719199999</v>
      </c>
    </row>
    <row r="114" spans="1:7" x14ac:dyDescent="0.25">
      <c r="A114" s="1" t="s">
        <v>64</v>
      </c>
      <c r="B114" s="1">
        <v>2044</v>
      </c>
      <c r="C114" s="187">
        <f t="shared" si="1"/>
        <v>5781.3040908000003</v>
      </c>
      <c r="D114" s="4">
        <v>0</v>
      </c>
      <c r="E114" s="4">
        <v>0</v>
      </c>
      <c r="F114" s="4">
        <v>3155.3633193599999</v>
      </c>
      <c r="G114" s="4">
        <v>2625.9407714399999</v>
      </c>
    </row>
    <row r="115" spans="1:7" x14ac:dyDescent="0.25">
      <c r="A115" s="1" t="s">
        <v>64</v>
      </c>
      <c r="B115" s="1">
        <v>2045</v>
      </c>
      <c r="C115" s="187">
        <f t="shared" si="1"/>
        <v>5781.3040900799997</v>
      </c>
      <c r="D115" s="4">
        <v>0</v>
      </c>
      <c r="E115" s="4">
        <v>0</v>
      </c>
      <c r="F115" s="4">
        <v>3155.3633181599998</v>
      </c>
      <c r="G115" s="4">
        <v>2625.9407719199999</v>
      </c>
    </row>
    <row r="116" spans="1:7" x14ac:dyDescent="0.25">
      <c r="A116" s="1" t="s">
        <v>64</v>
      </c>
      <c r="B116" s="1">
        <v>2046</v>
      </c>
      <c r="C116" s="187">
        <f t="shared" si="1"/>
        <v>5781.3040900799997</v>
      </c>
      <c r="D116" s="4">
        <v>0</v>
      </c>
      <c r="E116" s="4">
        <v>0</v>
      </c>
      <c r="F116" s="4">
        <v>3155.3633181599998</v>
      </c>
      <c r="G116" s="4">
        <v>2625.9407719199999</v>
      </c>
    </row>
    <row r="117" spans="1:7" x14ac:dyDescent="0.25">
      <c r="A117" s="1" t="s">
        <v>64</v>
      </c>
      <c r="B117" s="1">
        <v>2047</v>
      </c>
      <c r="C117" s="187">
        <f t="shared" si="1"/>
        <v>5781.3040900799997</v>
      </c>
      <c r="D117" s="4">
        <v>0</v>
      </c>
      <c r="E117" s="4">
        <v>0</v>
      </c>
      <c r="F117" s="4">
        <v>3155.3633181599998</v>
      </c>
      <c r="G117" s="4">
        <v>2625.9407719199999</v>
      </c>
    </row>
    <row r="118" spans="1:7" x14ac:dyDescent="0.25">
      <c r="A118" s="1" t="s">
        <v>64</v>
      </c>
      <c r="B118" s="1">
        <v>2048</v>
      </c>
      <c r="C118" s="187">
        <f t="shared" si="1"/>
        <v>5781.3040908000003</v>
      </c>
      <c r="D118" s="4">
        <v>0</v>
      </c>
      <c r="E118" s="4">
        <v>0</v>
      </c>
      <c r="F118" s="4">
        <v>3155.3633193599999</v>
      </c>
      <c r="G118" s="4">
        <v>2625.9407714399999</v>
      </c>
    </row>
    <row r="119" spans="1:7" x14ac:dyDescent="0.25">
      <c r="A119" s="1" t="s">
        <v>64</v>
      </c>
      <c r="B119" s="1">
        <v>2049</v>
      </c>
      <c r="C119" s="187">
        <f t="shared" si="1"/>
        <v>5781.3040900799997</v>
      </c>
      <c r="D119" s="4">
        <v>0</v>
      </c>
      <c r="E119" s="4">
        <v>0</v>
      </c>
      <c r="F119" s="4">
        <v>3155.3633181599998</v>
      </c>
      <c r="G119" s="4">
        <v>2625.9407719199999</v>
      </c>
    </row>
    <row r="120" spans="1:7" x14ac:dyDescent="0.25">
      <c r="A120" s="1" t="s">
        <v>64</v>
      </c>
      <c r="B120" s="1">
        <v>2050</v>
      </c>
      <c r="C120" s="187">
        <f t="shared" si="1"/>
        <v>5781.3040900799997</v>
      </c>
      <c r="D120" s="4">
        <v>0</v>
      </c>
      <c r="E120" s="4">
        <v>0</v>
      </c>
      <c r="F120" s="4">
        <v>3155.3633181599998</v>
      </c>
      <c r="G120" s="4">
        <v>2625.9407719199999</v>
      </c>
    </row>
    <row r="121" spans="1:7" x14ac:dyDescent="0.25">
      <c r="A121" s="1" t="s">
        <v>64</v>
      </c>
      <c r="B121" s="1">
        <v>2051</v>
      </c>
      <c r="C121" s="187">
        <f t="shared" si="1"/>
        <v>5781.3040900799997</v>
      </c>
      <c r="D121" s="4">
        <v>0</v>
      </c>
      <c r="E121" s="4">
        <v>0</v>
      </c>
      <c r="F121" s="4">
        <v>3155.3633181599998</v>
      </c>
      <c r="G121" s="4">
        <v>2625.9407719199999</v>
      </c>
    </row>
    <row r="122" spans="1:7" x14ac:dyDescent="0.25">
      <c r="A122" s="1" t="s">
        <v>65</v>
      </c>
      <c r="B122" s="1">
        <v>2022</v>
      </c>
      <c r="C122" s="187">
        <f t="shared" si="1"/>
        <v>0</v>
      </c>
      <c r="D122" s="4">
        <v>0</v>
      </c>
      <c r="E122" s="4">
        <v>0</v>
      </c>
      <c r="F122" s="4">
        <v>0</v>
      </c>
      <c r="G122" s="4">
        <v>0</v>
      </c>
    </row>
    <row r="123" spans="1:7" x14ac:dyDescent="0.25">
      <c r="A123" s="1" t="s">
        <v>65</v>
      </c>
      <c r="B123" s="1">
        <v>2023</v>
      </c>
      <c r="C123" s="187">
        <f t="shared" si="1"/>
        <v>428.48376000000002</v>
      </c>
      <c r="D123" s="4">
        <v>0</v>
      </c>
      <c r="E123" s="4">
        <v>0</v>
      </c>
      <c r="F123" s="4">
        <v>428.48376000000002</v>
      </c>
      <c r="G123" s="4">
        <v>0</v>
      </c>
    </row>
    <row r="124" spans="1:7" x14ac:dyDescent="0.25">
      <c r="A124" s="1" t="s">
        <v>65</v>
      </c>
      <c r="B124" s="1">
        <v>2024</v>
      </c>
      <c r="C124" s="187">
        <f t="shared" si="1"/>
        <v>642.72564144</v>
      </c>
      <c r="D124" s="4">
        <v>0</v>
      </c>
      <c r="E124" s="4">
        <v>0</v>
      </c>
      <c r="F124" s="4">
        <v>642.72564144</v>
      </c>
      <c r="G124" s="4">
        <v>0</v>
      </c>
    </row>
    <row r="125" spans="1:7" x14ac:dyDescent="0.25">
      <c r="A125" s="1" t="s">
        <v>65</v>
      </c>
      <c r="B125" s="1">
        <v>2025</v>
      </c>
      <c r="C125" s="187">
        <f t="shared" si="1"/>
        <v>871.71634080000001</v>
      </c>
      <c r="D125" s="4">
        <v>0</v>
      </c>
      <c r="E125" s="4">
        <v>0</v>
      </c>
      <c r="F125" s="4">
        <v>871.71634080000001</v>
      </c>
      <c r="G125" s="4">
        <v>0</v>
      </c>
    </row>
    <row r="126" spans="1:7" x14ac:dyDescent="0.25">
      <c r="A126" s="1" t="s">
        <v>65</v>
      </c>
      <c r="B126" s="1">
        <v>2026</v>
      </c>
      <c r="C126" s="187">
        <f t="shared" si="1"/>
        <v>986.21169359999999</v>
      </c>
      <c r="D126" s="4">
        <v>0</v>
      </c>
      <c r="E126" s="4">
        <v>0</v>
      </c>
      <c r="F126" s="4">
        <v>986.21169359999999</v>
      </c>
      <c r="G126" s="4">
        <v>0</v>
      </c>
    </row>
    <row r="127" spans="1:7" x14ac:dyDescent="0.25">
      <c r="A127" s="1" t="s">
        <v>65</v>
      </c>
      <c r="B127" s="1">
        <v>2027</v>
      </c>
      <c r="C127" s="187">
        <f t="shared" si="1"/>
        <v>2736.8388732000003</v>
      </c>
      <c r="D127" s="4">
        <v>0</v>
      </c>
      <c r="E127" s="4">
        <v>0</v>
      </c>
      <c r="F127" s="4">
        <v>986.21169359999999</v>
      </c>
      <c r="G127" s="4">
        <v>1750.6271796000001</v>
      </c>
    </row>
    <row r="128" spans="1:7" x14ac:dyDescent="0.25">
      <c r="A128" s="1" t="s">
        <v>65</v>
      </c>
      <c r="B128" s="1">
        <v>2028</v>
      </c>
      <c r="C128" s="187">
        <f t="shared" si="1"/>
        <v>3612.1524616799998</v>
      </c>
      <c r="D128" s="4">
        <v>0</v>
      </c>
      <c r="E128" s="4">
        <v>0</v>
      </c>
      <c r="F128" s="4">
        <v>986.21169024000005</v>
      </c>
      <c r="G128" s="4">
        <v>2625.9407714399999</v>
      </c>
    </row>
    <row r="129" spans="1:7" x14ac:dyDescent="0.25">
      <c r="A129" s="1" t="s">
        <v>65</v>
      </c>
      <c r="B129" s="1">
        <v>2029</v>
      </c>
      <c r="C129" s="187">
        <f t="shared" si="1"/>
        <v>3612.1524655200001</v>
      </c>
      <c r="D129" s="4">
        <v>0</v>
      </c>
      <c r="E129" s="4">
        <v>0</v>
      </c>
      <c r="F129" s="4">
        <v>986.21169359999999</v>
      </c>
      <c r="G129" s="4">
        <v>2625.9407719199999</v>
      </c>
    </row>
    <row r="130" spans="1:7" x14ac:dyDescent="0.25">
      <c r="A130" s="1" t="s">
        <v>65</v>
      </c>
      <c r="B130" s="1">
        <v>2030</v>
      </c>
      <c r="C130" s="187">
        <f t="shared" ref="C130:C193" si="2">SUM(D130:G130)</f>
        <v>3612.1524655200001</v>
      </c>
      <c r="D130" s="4">
        <v>0</v>
      </c>
      <c r="E130" s="4">
        <v>0</v>
      </c>
      <c r="F130" s="4">
        <v>986.21169359999999</v>
      </c>
      <c r="G130" s="4">
        <v>2625.9407719199999</v>
      </c>
    </row>
    <row r="131" spans="1:7" x14ac:dyDescent="0.25">
      <c r="A131" s="1" t="s">
        <v>65</v>
      </c>
      <c r="B131" s="1">
        <v>2031</v>
      </c>
      <c r="C131" s="187">
        <f t="shared" si="2"/>
        <v>3612.1524655200001</v>
      </c>
      <c r="D131" s="4">
        <v>0</v>
      </c>
      <c r="E131" s="4">
        <v>0</v>
      </c>
      <c r="F131" s="4">
        <v>986.21169359999999</v>
      </c>
      <c r="G131" s="4">
        <v>2625.9407719199999</v>
      </c>
    </row>
    <row r="132" spans="1:7" x14ac:dyDescent="0.25">
      <c r="A132" s="1" t="s">
        <v>65</v>
      </c>
      <c r="B132" s="1">
        <v>2032</v>
      </c>
      <c r="C132" s="187">
        <f t="shared" si="2"/>
        <v>3612.1524616799998</v>
      </c>
      <c r="D132" s="4">
        <v>0</v>
      </c>
      <c r="E132" s="4">
        <v>0</v>
      </c>
      <c r="F132" s="4">
        <v>986.21169024000005</v>
      </c>
      <c r="G132" s="4">
        <v>2625.9407714399999</v>
      </c>
    </row>
    <row r="133" spans="1:7" x14ac:dyDescent="0.25">
      <c r="A133" s="1" t="s">
        <v>65</v>
      </c>
      <c r="B133" s="1">
        <v>2033</v>
      </c>
      <c r="C133" s="187">
        <f t="shared" si="2"/>
        <v>3612.1524655200001</v>
      </c>
      <c r="D133" s="4">
        <v>0</v>
      </c>
      <c r="E133" s="4">
        <v>0</v>
      </c>
      <c r="F133" s="4">
        <v>986.21169359999999</v>
      </c>
      <c r="G133" s="4">
        <v>2625.9407719199999</v>
      </c>
    </row>
    <row r="134" spans="1:7" x14ac:dyDescent="0.25">
      <c r="A134" s="1" t="s">
        <v>65</v>
      </c>
      <c r="B134" s="1">
        <v>2034</v>
      </c>
      <c r="C134" s="187">
        <f t="shared" si="2"/>
        <v>3612.1524655200001</v>
      </c>
      <c r="D134" s="4">
        <v>0</v>
      </c>
      <c r="E134" s="4">
        <v>0</v>
      </c>
      <c r="F134" s="4">
        <v>986.21169359999999</v>
      </c>
      <c r="G134" s="4">
        <v>2625.9407719199999</v>
      </c>
    </row>
    <row r="135" spans="1:7" x14ac:dyDescent="0.25">
      <c r="A135" s="1" t="s">
        <v>65</v>
      </c>
      <c r="B135" s="1">
        <v>2035</v>
      </c>
      <c r="C135" s="187">
        <f t="shared" si="2"/>
        <v>3612.1524655200001</v>
      </c>
      <c r="D135" s="4">
        <v>0</v>
      </c>
      <c r="E135" s="4">
        <v>0</v>
      </c>
      <c r="F135" s="4">
        <v>986.21169359999999</v>
      </c>
      <c r="G135" s="4">
        <v>2625.9407719199999</v>
      </c>
    </row>
    <row r="136" spans="1:7" x14ac:dyDescent="0.25">
      <c r="A136" s="1" t="s">
        <v>65</v>
      </c>
      <c r="B136" s="1">
        <v>2036</v>
      </c>
      <c r="C136" s="187">
        <f t="shared" si="2"/>
        <v>3612.1524616799998</v>
      </c>
      <c r="D136" s="4">
        <v>0</v>
      </c>
      <c r="E136" s="4">
        <v>0</v>
      </c>
      <c r="F136" s="4">
        <v>986.21169024000005</v>
      </c>
      <c r="G136" s="4">
        <v>2625.9407714399999</v>
      </c>
    </row>
    <row r="137" spans="1:7" x14ac:dyDescent="0.25">
      <c r="A137" s="1" t="s">
        <v>65</v>
      </c>
      <c r="B137" s="1">
        <v>2037</v>
      </c>
      <c r="C137" s="187">
        <f t="shared" si="2"/>
        <v>3612.1524655200001</v>
      </c>
      <c r="D137" s="4">
        <v>0</v>
      </c>
      <c r="E137" s="4">
        <v>0</v>
      </c>
      <c r="F137" s="4">
        <v>986.21169359999999</v>
      </c>
      <c r="G137" s="4">
        <v>2625.9407719199999</v>
      </c>
    </row>
    <row r="138" spans="1:7" x14ac:dyDescent="0.25">
      <c r="A138" s="1" t="s">
        <v>65</v>
      </c>
      <c r="B138" s="1">
        <v>2038</v>
      </c>
      <c r="C138" s="187">
        <f t="shared" si="2"/>
        <v>3612.1524655200001</v>
      </c>
      <c r="D138" s="4">
        <v>0</v>
      </c>
      <c r="E138" s="4">
        <v>0</v>
      </c>
      <c r="F138" s="4">
        <v>986.21169359999999</v>
      </c>
      <c r="G138" s="4">
        <v>2625.9407719199999</v>
      </c>
    </row>
    <row r="139" spans="1:7" x14ac:dyDescent="0.25">
      <c r="A139" s="1" t="s">
        <v>65</v>
      </c>
      <c r="B139" s="1">
        <v>2039</v>
      </c>
      <c r="C139" s="187">
        <f t="shared" si="2"/>
        <v>3612.1524655200001</v>
      </c>
      <c r="D139" s="4">
        <v>0</v>
      </c>
      <c r="E139" s="4">
        <v>0</v>
      </c>
      <c r="F139" s="4">
        <v>986.21169359999999</v>
      </c>
      <c r="G139" s="4">
        <v>2625.9407719199999</v>
      </c>
    </row>
    <row r="140" spans="1:7" x14ac:dyDescent="0.25">
      <c r="A140" s="1" t="s">
        <v>65</v>
      </c>
      <c r="B140" s="1">
        <v>2040</v>
      </c>
      <c r="C140" s="187">
        <f t="shared" si="2"/>
        <v>3612.1524616799998</v>
      </c>
      <c r="D140" s="4">
        <v>0</v>
      </c>
      <c r="E140" s="4">
        <v>0</v>
      </c>
      <c r="F140" s="4">
        <v>986.21169024000005</v>
      </c>
      <c r="G140" s="4">
        <v>2625.9407714399999</v>
      </c>
    </row>
    <row r="141" spans="1:7" x14ac:dyDescent="0.25">
      <c r="A141" s="1" t="s">
        <v>65</v>
      </c>
      <c r="B141" s="1">
        <v>2041</v>
      </c>
      <c r="C141" s="187">
        <f t="shared" si="2"/>
        <v>3612.1524655200001</v>
      </c>
      <c r="D141" s="4">
        <v>0</v>
      </c>
      <c r="E141" s="4">
        <v>0</v>
      </c>
      <c r="F141" s="4">
        <v>986.21169359999999</v>
      </c>
      <c r="G141" s="4">
        <v>2625.9407719199999</v>
      </c>
    </row>
    <row r="142" spans="1:7" x14ac:dyDescent="0.25">
      <c r="A142" s="1" t="s">
        <v>65</v>
      </c>
      <c r="B142" s="1">
        <v>2042</v>
      </c>
      <c r="C142" s="187">
        <f t="shared" si="2"/>
        <v>3612.1524655200001</v>
      </c>
      <c r="D142" s="4">
        <v>0</v>
      </c>
      <c r="E142" s="4">
        <v>0</v>
      </c>
      <c r="F142" s="4">
        <v>986.21169359999999</v>
      </c>
      <c r="G142" s="4">
        <v>2625.9407719199999</v>
      </c>
    </row>
    <row r="143" spans="1:7" x14ac:dyDescent="0.25">
      <c r="A143" s="1" t="s">
        <v>65</v>
      </c>
      <c r="B143" s="1">
        <v>2043</v>
      </c>
      <c r="C143" s="187">
        <f t="shared" si="2"/>
        <v>3612.1524655200001</v>
      </c>
      <c r="D143" s="4">
        <v>0</v>
      </c>
      <c r="E143" s="4">
        <v>0</v>
      </c>
      <c r="F143" s="4">
        <v>986.21169359999999</v>
      </c>
      <c r="G143" s="4">
        <v>2625.9407719199999</v>
      </c>
    </row>
    <row r="144" spans="1:7" x14ac:dyDescent="0.25">
      <c r="A144" s="1" t="s">
        <v>65</v>
      </c>
      <c r="B144" s="1">
        <v>2044</v>
      </c>
      <c r="C144" s="187">
        <f t="shared" si="2"/>
        <v>3612.1524616799998</v>
      </c>
      <c r="D144" s="4">
        <v>0</v>
      </c>
      <c r="E144" s="4">
        <v>0</v>
      </c>
      <c r="F144" s="4">
        <v>986.21169024000005</v>
      </c>
      <c r="G144" s="4">
        <v>2625.9407714399999</v>
      </c>
    </row>
    <row r="145" spans="1:7" x14ac:dyDescent="0.25">
      <c r="A145" s="1" t="s">
        <v>65</v>
      </c>
      <c r="B145" s="1">
        <v>2045</v>
      </c>
      <c r="C145" s="187">
        <f t="shared" si="2"/>
        <v>3612.1524655200001</v>
      </c>
      <c r="D145" s="4">
        <v>0</v>
      </c>
      <c r="E145" s="4">
        <v>0</v>
      </c>
      <c r="F145" s="4">
        <v>986.21169359999999</v>
      </c>
      <c r="G145" s="4">
        <v>2625.9407719199999</v>
      </c>
    </row>
    <row r="146" spans="1:7" x14ac:dyDescent="0.25">
      <c r="A146" s="1" t="s">
        <v>65</v>
      </c>
      <c r="B146" s="1">
        <v>2046</v>
      </c>
      <c r="C146" s="187">
        <f t="shared" si="2"/>
        <v>3612.1524655200001</v>
      </c>
      <c r="D146" s="4">
        <v>0</v>
      </c>
      <c r="E146" s="4">
        <v>0</v>
      </c>
      <c r="F146" s="4">
        <v>986.21169359999999</v>
      </c>
      <c r="G146" s="4">
        <v>2625.9407719199999</v>
      </c>
    </row>
    <row r="147" spans="1:7" x14ac:dyDescent="0.25">
      <c r="A147" s="1" t="s">
        <v>65</v>
      </c>
      <c r="B147" s="1">
        <v>2047</v>
      </c>
      <c r="C147" s="187">
        <f t="shared" si="2"/>
        <v>3612.1524655200001</v>
      </c>
      <c r="D147" s="4">
        <v>0</v>
      </c>
      <c r="E147" s="4">
        <v>0</v>
      </c>
      <c r="F147" s="4">
        <v>986.21169359999999</v>
      </c>
      <c r="G147" s="4">
        <v>2625.9407719199999</v>
      </c>
    </row>
    <row r="148" spans="1:7" x14ac:dyDescent="0.25">
      <c r="A148" s="1" t="s">
        <v>65</v>
      </c>
      <c r="B148" s="1">
        <v>2048</v>
      </c>
      <c r="C148" s="187">
        <f t="shared" si="2"/>
        <v>3612.1524616799998</v>
      </c>
      <c r="D148" s="4">
        <v>0</v>
      </c>
      <c r="E148" s="4">
        <v>0</v>
      </c>
      <c r="F148" s="4">
        <v>986.21169024000005</v>
      </c>
      <c r="G148" s="4">
        <v>2625.9407714399999</v>
      </c>
    </row>
    <row r="149" spans="1:7" x14ac:dyDescent="0.25">
      <c r="A149" s="1" t="s">
        <v>65</v>
      </c>
      <c r="B149" s="1">
        <v>2049</v>
      </c>
      <c r="C149" s="187">
        <f t="shared" si="2"/>
        <v>3612.1524655200001</v>
      </c>
      <c r="D149" s="4">
        <v>0</v>
      </c>
      <c r="E149" s="4">
        <v>0</v>
      </c>
      <c r="F149" s="4">
        <v>986.21169359999999</v>
      </c>
      <c r="G149" s="4">
        <v>2625.9407719199999</v>
      </c>
    </row>
    <row r="150" spans="1:7" x14ac:dyDescent="0.25">
      <c r="A150" s="1" t="s">
        <v>65</v>
      </c>
      <c r="B150" s="1">
        <v>2050</v>
      </c>
      <c r="C150" s="187">
        <f t="shared" si="2"/>
        <v>3612.1524655200001</v>
      </c>
      <c r="D150" s="4">
        <v>0</v>
      </c>
      <c r="E150" s="4">
        <v>0</v>
      </c>
      <c r="F150" s="4">
        <v>986.21169359999999</v>
      </c>
      <c r="G150" s="4">
        <v>2625.9407719199999</v>
      </c>
    </row>
    <row r="151" spans="1:7" x14ac:dyDescent="0.25">
      <c r="A151" s="1" t="s">
        <v>65</v>
      </c>
      <c r="B151" s="1">
        <v>2051</v>
      </c>
      <c r="C151" s="187">
        <f t="shared" si="2"/>
        <v>3612.1524655200001</v>
      </c>
      <c r="D151" s="4">
        <v>0</v>
      </c>
      <c r="E151" s="4">
        <v>0</v>
      </c>
      <c r="F151" s="4">
        <v>986.21169359999999</v>
      </c>
      <c r="G151" s="4">
        <v>2625.9407719199999</v>
      </c>
    </row>
    <row r="152" spans="1:7" x14ac:dyDescent="0.25">
      <c r="A152" s="1" t="s">
        <v>66</v>
      </c>
      <c r="B152" s="1">
        <v>2022</v>
      </c>
      <c r="C152" s="187">
        <f t="shared" si="2"/>
        <v>0</v>
      </c>
      <c r="D152" s="4">
        <v>0</v>
      </c>
      <c r="E152" s="4">
        <v>0</v>
      </c>
      <c r="F152" s="4">
        <v>0</v>
      </c>
      <c r="G152" s="4">
        <v>0</v>
      </c>
    </row>
    <row r="153" spans="1:7" x14ac:dyDescent="0.25">
      <c r="A153" s="1" t="s">
        <v>66</v>
      </c>
      <c r="B153" s="1">
        <v>2023</v>
      </c>
      <c r="C153" s="187">
        <f t="shared" si="2"/>
        <v>581.89484040000002</v>
      </c>
      <c r="D153" s="4">
        <v>0</v>
      </c>
      <c r="E153" s="4">
        <v>0</v>
      </c>
      <c r="F153" s="4">
        <v>581.89484040000002</v>
      </c>
      <c r="G153" s="4">
        <v>0</v>
      </c>
    </row>
    <row r="154" spans="1:7" x14ac:dyDescent="0.25">
      <c r="A154" s="1" t="s">
        <v>66</v>
      </c>
      <c r="B154" s="1">
        <v>2024</v>
      </c>
      <c r="C154" s="187">
        <f t="shared" si="2"/>
        <v>872.84226360000002</v>
      </c>
      <c r="D154" s="4">
        <v>0</v>
      </c>
      <c r="E154" s="4">
        <v>0</v>
      </c>
      <c r="F154" s="4">
        <v>872.84226360000002</v>
      </c>
      <c r="G154" s="4">
        <v>0</v>
      </c>
    </row>
    <row r="155" spans="1:7" x14ac:dyDescent="0.25">
      <c r="A155" s="1" t="s">
        <v>66</v>
      </c>
      <c r="B155" s="1">
        <v>2025</v>
      </c>
      <c r="C155" s="187">
        <f t="shared" si="2"/>
        <v>872.84226216000002</v>
      </c>
      <c r="D155" s="4">
        <v>0</v>
      </c>
      <c r="E155" s="4">
        <v>0</v>
      </c>
      <c r="F155" s="4">
        <v>872.84226216000002</v>
      </c>
      <c r="G155" s="4">
        <v>0</v>
      </c>
    </row>
    <row r="156" spans="1:7" x14ac:dyDescent="0.25">
      <c r="A156" s="1" t="s">
        <v>66</v>
      </c>
      <c r="B156" s="1">
        <v>2026</v>
      </c>
      <c r="C156" s="187">
        <f t="shared" si="2"/>
        <v>872.84226216000002</v>
      </c>
      <c r="D156" s="4">
        <v>0</v>
      </c>
      <c r="E156" s="4">
        <v>0</v>
      </c>
      <c r="F156" s="4">
        <v>872.84226216000002</v>
      </c>
      <c r="G156" s="4">
        <v>0</v>
      </c>
    </row>
    <row r="157" spans="1:7" x14ac:dyDescent="0.25">
      <c r="A157" s="1" t="s">
        <v>66</v>
      </c>
      <c r="B157" s="1">
        <v>2027</v>
      </c>
      <c r="C157" s="187">
        <f t="shared" si="2"/>
        <v>2623.4694417600003</v>
      </c>
      <c r="D157" s="4">
        <v>0</v>
      </c>
      <c r="E157" s="4">
        <v>0</v>
      </c>
      <c r="F157" s="4">
        <v>872.84226216000002</v>
      </c>
      <c r="G157" s="4">
        <v>1750.6271796000001</v>
      </c>
    </row>
    <row r="158" spans="1:7" x14ac:dyDescent="0.25">
      <c r="A158" s="1" t="s">
        <v>66</v>
      </c>
      <c r="B158" s="1">
        <v>2028</v>
      </c>
      <c r="C158" s="187">
        <f t="shared" si="2"/>
        <v>3498.78303504</v>
      </c>
      <c r="D158" s="4">
        <v>0</v>
      </c>
      <c r="E158" s="4">
        <v>0</v>
      </c>
      <c r="F158" s="4">
        <v>872.84226360000002</v>
      </c>
      <c r="G158" s="4">
        <v>2625.9407714399999</v>
      </c>
    </row>
    <row r="159" spans="1:7" x14ac:dyDescent="0.25">
      <c r="A159" s="1" t="s">
        <v>66</v>
      </c>
      <c r="B159" s="1">
        <v>2029</v>
      </c>
      <c r="C159" s="187">
        <f t="shared" si="2"/>
        <v>3498.7830340800001</v>
      </c>
      <c r="D159" s="4">
        <v>0</v>
      </c>
      <c r="E159" s="4">
        <v>0</v>
      </c>
      <c r="F159" s="4">
        <v>872.84226216000002</v>
      </c>
      <c r="G159" s="4">
        <v>2625.9407719199999</v>
      </c>
    </row>
    <row r="160" spans="1:7" x14ac:dyDescent="0.25">
      <c r="A160" s="1" t="s">
        <v>66</v>
      </c>
      <c r="B160" s="1">
        <v>2030</v>
      </c>
      <c r="C160" s="187">
        <f t="shared" si="2"/>
        <v>3498.7830340800001</v>
      </c>
      <c r="D160" s="4">
        <v>0</v>
      </c>
      <c r="E160" s="4">
        <v>0</v>
      </c>
      <c r="F160" s="4">
        <v>872.84226216000002</v>
      </c>
      <c r="G160" s="4">
        <v>2625.9407719199999</v>
      </c>
    </row>
    <row r="161" spans="1:7" x14ac:dyDescent="0.25">
      <c r="A161" s="1" t="s">
        <v>66</v>
      </c>
      <c r="B161" s="1">
        <v>2031</v>
      </c>
      <c r="C161" s="187">
        <f t="shared" si="2"/>
        <v>3498.7830340800001</v>
      </c>
      <c r="D161" s="4">
        <v>0</v>
      </c>
      <c r="E161" s="4">
        <v>0</v>
      </c>
      <c r="F161" s="4">
        <v>872.84226216000002</v>
      </c>
      <c r="G161" s="4">
        <v>2625.9407719199999</v>
      </c>
    </row>
    <row r="162" spans="1:7" x14ac:dyDescent="0.25">
      <c r="A162" s="1" t="s">
        <v>66</v>
      </c>
      <c r="B162" s="1">
        <v>2032</v>
      </c>
      <c r="C162" s="187">
        <f t="shared" si="2"/>
        <v>3498.78303504</v>
      </c>
      <c r="D162" s="4">
        <v>0</v>
      </c>
      <c r="E162" s="4">
        <v>0</v>
      </c>
      <c r="F162" s="4">
        <v>872.84226360000002</v>
      </c>
      <c r="G162" s="4">
        <v>2625.9407714399999</v>
      </c>
    </row>
    <row r="163" spans="1:7" x14ac:dyDescent="0.25">
      <c r="A163" s="1" t="s">
        <v>66</v>
      </c>
      <c r="B163" s="1">
        <v>2033</v>
      </c>
      <c r="C163" s="187">
        <f t="shared" si="2"/>
        <v>3498.7830340800001</v>
      </c>
      <c r="D163" s="4">
        <v>0</v>
      </c>
      <c r="E163" s="4">
        <v>0</v>
      </c>
      <c r="F163" s="4">
        <v>872.84226216000002</v>
      </c>
      <c r="G163" s="4">
        <v>2625.9407719199999</v>
      </c>
    </row>
    <row r="164" spans="1:7" x14ac:dyDescent="0.25">
      <c r="A164" s="1" t="s">
        <v>66</v>
      </c>
      <c r="B164" s="1">
        <v>2034</v>
      </c>
      <c r="C164" s="187">
        <f t="shared" si="2"/>
        <v>3498.7830340800001</v>
      </c>
      <c r="D164" s="4">
        <v>0</v>
      </c>
      <c r="E164" s="4">
        <v>0</v>
      </c>
      <c r="F164" s="4">
        <v>872.84226216000002</v>
      </c>
      <c r="G164" s="4">
        <v>2625.9407719199999</v>
      </c>
    </row>
    <row r="165" spans="1:7" x14ac:dyDescent="0.25">
      <c r="A165" s="1" t="s">
        <v>66</v>
      </c>
      <c r="B165" s="1">
        <v>2035</v>
      </c>
      <c r="C165" s="187">
        <f t="shared" si="2"/>
        <v>3498.7830340800001</v>
      </c>
      <c r="D165" s="4">
        <v>0</v>
      </c>
      <c r="E165" s="4">
        <v>0</v>
      </c>
      <c r="F165" s="4">
        <v>872.84226216000002</v>
      </c>
      <c r="G165" s="4">
        <v>2625.9407719199999</v>
      </c>
    </row>
    <row r="166" spans="1:7" x14ac:dyDescent="0.25">
      <c r="A166" s="1" t="s">
        <v>66</v>
      </c>
      <c r="B166" s="1">
        <v>2036</v>
      </c>
      <c r="C166" s="187">
        <f t="shared" si="2"/>
        <v>3498.78303504</v>
      </c>
      <c r="D166" s="4">
        <v>0</v>
      </c>
      <c r="E166" s="4">
        <v>0</v>
      </c>
      <c r="F166" s="4">
        <v>872.84226360000002</v>
      </c>
      <c r="G166" s="4">
        <v>2625.9407714399999</v>
      </c>
    </row>
    <row r="167" spans="1:7" x14ac:dyDescent="0.25">
      <c r="A167" s="1" t="s">
        <v>66</v>
      </c>
      <c r="B167" s="1">
        <v>2037</v>
      </c>
      <c r="C167" s="187">
        <f t="shared" si="2"/>
        <v>3498.7830340800001</v>
      </c>
      <c r="D167" s="4">
        <v>0</v>
      </c>
      <c r="E167" s="4">
        <v>0</v>
      </c>
      <c r="F167" s="4">
        <v>872.84226216000002</v>
      </c>
      <c r="G167" s="4">
        <v>2625.9407719199999</v>
      </c>
    </row>
    <row r="168" spans="1:7" x14ac:dyDescent="0.25">
      <c r="A168" s="1" t="s">
        <v>66</v>
      </c>
      <c r="B168" s="1">
        <v>2038</v>
      </c>
      <c r="C168" s="187">
        <f t="shared" si="2"/>
        <v>3498.7830340800001</v>
      </c>
      <c r="D168" s="4">
        <v>0</v>
      </c>
      <c r="E168" s="4">
        <v>0</v>
      </c>
      <c r="F168" s="4">
        <v>872.84226216000002</v>
      </c>
      <c r="G168" s="4">
        <v>2625.9407719199999</v>
      </c>
    </row>
    <row r="169" spans="1:7" x14ac:dyDescent="0.25">
      <c r="A169" s="1" t="s">
        <v>66</v>
      </c>
      <c r="B169" s="1">
        <v>2039</v>
      </c>
      <c r="C169" s="187">
        <f t="shared" si="2"/>
        <v>3498.7830340800001</v>
      </c>
      <c r="D169" s="4">
        <v>0</v>
      </c>
      <c r="E169" s="4">
        <v>0</v>
      </c>
      <c r="F169" s="4">
        <v>872.84226216000002</v>
      </c>
      <c r="G169" s="4">
        <v>2625.9407719199999</v>
      </c>
    </row>
    <row r="170" spans="1:7" x14ac:dyDescent="0.25">
      <c r="A170" s="1" t="s">
        <v>66</v>
      </c>
      <c r="B170" s="1">
        <v>2040</v>
      </c>
      <c r="C170" s="187">
        <f t="shared" si="2"/>
        <v>3498.78303504</v>
      </c>
      <c r="D170" s="4">
        <v>0</v>
      </c>
      <c r="E170" s="4">
        <v>0</v>
      </c>
      <c r="F170" s="4">
        <v>872.84226360000002</v>
      </c>
      <c r="G170" s="4">
        <v>2625.9407714399999</v>
      </c>
    </row>
    <row r="171" spans="1:7" x14ac:dyDescent="0.25">
      <c r="A171" s="1" t="s">
        <v>66</v>
      </c>
      <c r="B171" s="1">
        <v>2041</v>
      </c>
      <c r="C171" s="187">
        <f t="shared" si="2"/>
        <v>3498.7830340800001</v>
      </c>
      <c r="D171" s="4">
        <v>0</v>
      </c>
      <c r="E171" s="4">
        <v>0</v>
      </c>
      <c r="F171" s="4">
        <v>872.84226216000002</v>
      </c>
      <c r="G171" s="4">
        <v>2625.9407719199999</v>
      </c>
    </row>
    <row r="172" spans="1:7" x14ac:dyDescent="0.25">
      <c r="A172" s="1" t="s">
        <v>66</v>
      </c>
      <c r="B172" s="1">
        <v>2042</v>
      </c>
      <c r="C172" s="187">
        <f t="shared" si="2"/>
        <v>3498.7830340800001</v>
      </c>
      <c r="D172" s="4">
        <v>0</v>
      </c>
      <c r="E172" s="4">
        <v>0</v>
      </c>
      <c r="F172" s="4">
        <v>872.84226216000002</v>
      </c>
      <c r="G172" s="4">
        <v>2625.9407719199999</v>
      </c>
    </row>
    <row r="173" spans="1:7" x14ac:dyDescent="0.25">
      <c r="A173" s="1" t="s">
        <v>66</v>
      </c>
      <c r="B173" s="1">
        <v>2043</v>
      </c>
      <c r="C173" s="187">
        <f t="shared" si="2"/>
        <v>3498.7830340800001</v>
      </c>
      <c r="D173" s="4">
        <v>0</v>
      </c>
      <c r="E173" s="4">
        <v>0</v>
      </c>
      <c r="F173" s="4">
        <v>872.84226216000002</v>
      </c>
      <c r="G173" s="4">
        <v>2625.9407719199999</v>
      </c>
    </row>
    <row r="174" spans="1:7" x14ac:dyDescent="0.25">
      <c r="A174" s="1" t="s">
        <v>66</v>
      </c>
      <c r="B174" s="1">
        <v>2044</v>
      </c>
      <c r="C174" s="187">
        <f t="shared" si="2"/>
        <v>3498.78303504</v>
      </c>
      <c r="D174" s="4">
        <v>0</v>
      </c>
      <c r="E174" s="4">
        <v>0</v>
      </c>
      <c r="F174" s="4">
        <v>872.84226360000002</v>
      </c>
      <c r="G174" s="4">
        <v>2625.9407714399999</v>
      </c>
    </row>
    <row r="175" spans="1:7" x14ac:dyDescent="0.25">
      <c r="A175" s="1" t="s">
        <v>66</v>
      </c>
      <c r="B175" s="1">
        <v>2045</v>
      </c>
      <c r="C175" s="187">
        <f t="shared" si="2"/>
        <v>3498.7830340800001</v>
      </c>
      <c r="D175" s="4">
        <v>0</v>
      </c>
      <c r="E175" s="4">
        <v>0</v>
      </c>
      <c r="F175" s="4">
        <v>872.84226216000002</v>
      </c>
      <c r="G175" s="4">
        <v>2625.9407719199999</v>
      </c>
    </row>
    <row r="176" spans="1:7" x14ac:dyDescent="0.25">
      <c r="A176" s="1" t="s">
        <v>66</v>
      </c>
      <c r="B176" s="1">
        <v>2046</v>
      </c>
      <c r="C176" s="187">
        <f t="shared" si="2"/>
        <v>3498.7830340800001</v>
      </c>
      <c r="D176" s="4">
        <v>0</v>
      </c>
      <c r="E176" s="4">
        <v>0</v>
      </c>
      <c r="F176" s="4">
        <v>872.84226216000002</v>
      </c>
      <c r="G176" s="4">
        <v>2625.9407719199999</v>
      </c>
    </row>
    <row r="177" spans="1:7" x14ac:dyDescent="0.25">
      <c r="A177" s="1" t="s">
        <v>66</v>
      </c>
      <c r="B177" s="1">
        <v>2047</v>
      </c>
      <c r="C177" s="187">
        <f t="shared" si="2"/>
        <v>3498.7830340800001</v>
      </c>
      <c r="D177" s="4">
        <v>0</v>
      </c>
      <c r="E177" s="4">
        <v>0</v>
      </c>
      <c r="F177" s="4">
        <v>872.84226216000002</v>
      </c>
      <c r="G177" s="4">
        <v>2625.9407719199999</v>
      </c>
    </row>
    <row r="178" spans="1:7" x14ac:dyDescent="0.25">
      <c r="A178" s="1" t="s">
        <v>66</v>
      </c>
      <c r="B178" s="1">
        <v>2048</v>
      </c>
      <c r="C178" s="187">
        <f t="shared" si="2"/>
        <v>3498.78303504</v>
      </c>
      <c r="D178" s="4">
        <v>0</v>
      </c>
      <c r="E178" s="4">
        <v>0</v>
      </c>
      <c r="F178" s="4">
        <v>872.84226360000002</v>
      </c>
      <c r="G178" s="4">
        <v>2625.9407714399999</v>
      </c>
    </row>
    <row r="179" spans="1:7" x14ac:dyDescent="0.25">
      <c r="A179" s="1" t="s">
        <v>66</v>
      </c>
      <c r="B179" s="1">
        <v>2049</v>
      </c>
      <c r="C179" s="187">
        <f t="shared" si="2"/>
        <v>3498.7830340800001</v>
      </c>
      <c r="D179" s="4">
        <v>0</v>
      </c>
      <c r="E179" s="4">
        <v>0</v>
      </c>
      <c r="F179" s="4">
        <v>872.84226216000002</v>
      </c>
      <c r="G179" s="4">
        <v>2625.9407719199999</v>
      </c>
    </row>
    <row r="180" spans="1:7" x14ac:dyDescent="0.25">
      <c r="A180" s="1" t="s">
        <v>66</v>
      </c>
      <c r="B180" s="1">
        <v>2050</v>
      </c>
      <c r="C180" s="187">
        <f t="shared" si="2"/>
        <v>3498.7830340800001</v>
      </c>
      <c r="D180" s="4">
        <v>0</v>
      </c>
      <c r="E180" s="4">
        <v>0</v>
      </c>
      <c r="F180" s="4">
        <v>872.84226216000002</v>
      </c>
      <c r="G180" s="4">
        <v>2625.9407719199999</v>
      </c>
    </row>
    <row r="181" spans="1:7" x14ac:dyDescent="0.25">
      <c r="A181" s="1" t="s">
        <v>66</v>
      </c>
      <c r="B181" s="1">
        <v>2051</v>
      </c>
      <c r="C181" s="187">
        <f t="shared" si="2"/>
        <v>3498.7830340800001</v>
      </c>
      <c r="D181" s="4">
        <v>0</v>
      </c>
      <c r="E181" s="4">
        <v>0</v>
      </c>
      <c r="F181" s="4">
        <v>872.84226216000002</v>
      </c>
      <c r="G181" s="4">
        <v>2625.9407719199999</v>
      </c>
    </row>
    <row r="182" spans="1:7" x14ac:dyDescent="0.25">
      <c r="A182" s="1" t="s">
        <v>67</v>
      </c>
      <c r="B182" s="1">
        <v>2022</v>
      </c>
      <c r="C182" s="187">
        <f t="shared" si="2"/>
        <v>0</v>
      </c>
      <c r="D182" s="4">
        <v>0</v>
      </c>
      <c r="E182" s="4">
        <v>0</v>
      </c>
      <c r="F182" s="4">
        <v>0</v>
      </c>
      <c r="G182" s="4">
        <v>0</v>
      </c>
    </row>
    <row r="183" spans="1:7" x14ac:dyDescent="0.25">
      <c r="A183" s="1" t="s">
        <v>67</v>
      </c>
      <c r="B183" s="1">
        <v>2023</v>
      </c>
      <c r="C183" s="187">
        <f t="shared" si="2"/>
        <v>0</v>
      </c>
      <c r="D183" s="4">
        <v>0</v>
      </c>
      <c r="E183" s="4">
        <v>0</v>
      </c>
      <c r="F183" s="4">
        <v>0</v>
      </c>
      <c r="G183" s="4">
        <v>0</v>
      </c>
    </row>
    <row r="184" spans="1:7" x14ac:dyDescent="0.25">
      <c r="A184" s="1" t="s">
        <v>67</v>
      </c>
      <c r="B184" s="1">
        <v>2024</v>
      </c>
      <c r="C184" s="187">
        <f t="shared" si="2"/>
        <v>0</v>
      </c>
      <c r="D184" s="4">
        <v>0</v>
      </c>
      <c r="E184" s="4">
        <v>0</v>
      </c>
      <c r="F184" s="4">
        <v>0</v>
      </c>
      <c r="G184" s="4">
        <v>0</v>
      </c>
    </row>
    <row r="185" spans="1:7" x14ac:dyDescent="0.25">
      <c r="A185" s="1" t="s">
        <v>67</v>
      </c>
      <c r="B185" s="1">
        <v>2025</v>
      </c>
      <c r="C185" s="187">
        <f t="shared" si="2"/>
        <v>398.25214080000001</v>
      </c>
      <c r="D185" s="4">
        <v>0</v>
      </c>
      <c r="E185" s="4">
        <v>0</v>
      </c>
      <c r="F185" s="4">
        <v>398.25214080000001</v>
      </c>
      <c r="G185" s="4">
        <v>0</v>
      </c>
    </row>
    <row r="186" spans="1:7" x14ac:dyDescent="0.25">
      <c r="A186" s="1" t="s">
        <v>67</v>
      </c>
      <c r="B186" s="1">
        <v>2026</v>
      </c>
      <c r="C186" s="187">
        <f t="shared" si="2"/>
        <v>597.37821120000001</v>
      </c>
      <c r="D186" s="4">
        <v>0</v>
      </c>
      <c r="E186" s="4">
        <v>0</v>
      </c>
      <c r="F186" s="4">
        <v>597.37821120000001</v>
      </c>
      <c r="G186" s="4">
        <v>0</v>
      </c>
    </row>
    <row r="187" spans="1:7" x14ac:dyDescent="0.25">
      <c r="A187" s="1" t="s">
        <v>67</v>
      </c>
      <c r="B187" s="1">
        <v>2027</v>
      </c>
      <c r="C187" s="187">
        <f t="shared" si="2"/>
        <v>597.37821120000001</v>
      </c>
      <c r="D187" s="4">
        <v>0</v>
      </c>
      <c r="E187" s="4">
        <v>0</v>
      </c>
      <c r="F187" s="4">
        <v>597.37821120000001</v>
      </c>
      <c r="G187" s="4">
        <v>0</v>
      </c>
    </row>
    <row r="188" spans="1:7" x14ac:dyDescent="0.25">
      <c r="A188" s="1" t="s">
        <v>67</v>
      </c>
      <c r="B188" s="1">
        <v>2028</v>
      </c>
      <c r="C188" s="187">
        <f t="shared" si="2"/>
        <v>597.37821143999997</v>
      </c>
      <c r="D188" s="4">
        <v>0</v>
      </c>
      <c r="E188" s="4">
        <v>0</v>
      </c>
      <c r="F188" s="4">
        <v>597.37821143999997</v>
      </c>
      <c r="G188" s="4">
        <v>0</v>
      </c>
    </row>
    <row r="189" spans="1:7" x14ac:dyDescent="0.25">
      <c r="A189" s="1" t="s">
        <v>67</v>
      </c>
      <c r="B189" s="1">
        <v>2029</v>
      </c>
      <c r="C189" s="187">
        <f t="shared" si="2"/>
        <v>597.37821120000001</v>
      </c>
      <c r="D189" s="4">
        <v>0</v>
      </c>
      <c r="E189" s="4">
        <v>0</v>
      </c>
      <c r="F189" s="4">
        <v>597.37821120000001</v>
      </c>
      <c r="G189" s="4">
        <v>0</v>
      </c>
    </row>
    <row r="190" spans="1:7" x14ac:dyDescent="0.25">
      <c r="A190" s="1" t="s">
        <v>67</v>
      </c>
      <c r="B190" s="1">
        <v>2030</v>
      </c>
      <c r="C190" s="187">
        <f t="shared" si="2"/>
        <v>597.37821120000001</v>
      </c>
      <c r="D190" s="4">
        <v>0</v>
      </c>
      <c r="E190" s="4">
        <v>0</v>
      </c>
      <c r="F190" s="4">
        <v>597.37821120000001</v>
      </c>
      <c r="G190" s="4">
        <v>0</v>
      </c>
    </row>
    <row r="191" spans="1:7" x14ac:dyDescent="0.25">
      <c r="A191" s="1" t="s">
        <v>67</v>
      </c>
      <c r="B191" s="1">
        <v>2031</v>
      </c>
      <c r="C191" s="187">
        <f t="shared" si="2"/>
        <v>597.37821120000001</v>
      </c>
      <c r="D191" s="4">
        <v>0</v>
      </c>
      <c r="E191" s="4">
        <v>0</v>
      </c>
      <c r="F191" s="4">
        <v>597.37821120000001</v>
      </c>
      <c r="G191" s="4">
        <v>0</v>
      </c>
    </row>
    <row r="192" spans="1:7" x14ac:dyDescent="0.25">
      <c r="A192" s="1" t="s">
        <v>67</v>
      </c>
      <c r="B192" s="1">
        <v>2032</v>
      </c>
      <c r="C192" s="187">
        <f t="shared" si="2"/>
        <v>597.37821143999997</v>
      </c>
      <c r="D192" s="4">
        <v>0</v>
      </c>
      <c r="E192" s="4">
        <v>0</v>
      </c>
      <c r="F192" s="4">
        <v>597.37821143999997</v>
      </c>
      <c r="G192" s="4">
        <v>0</v>
      </c>
    </row>
    <row r="193" spans="1:7" x14ac:dyDescent="0.25">
      <c r="A193" s="1" t="s">
        <v>67</v>
      </c>
      <c r="B193" s="1">
        <v>2033</v>
      </c>
      <c r="C193" s="187">
        <f t="shared" si="2"/>
        <v>597.37821120000001</v>
      </c>
      <c r="D193" s="4">
        <v>0</v>
      </c>
      <c r="E193" s="4">
        <v>0</v>
      </c>
      <c r="F193" s="4">
        <v>597.37821120000001</v>
      </c>
      <c r="G193" s="4">
        <v>0</v>
      </c>
    </row>
    <row r="194" spans="1:7" x14ac:dyDescent="0.25">
      <c r="A194" s="1" t="s">
        <v>67</v>
      </c>
      <c r="B194" s="1">
        <v>2034</v>
      </c>
      <c r="C194" s="187">
        <f t="shared" ref="C194:C257" si="3">SUM(D194:G194)</f>
        <v>597.37821120000001</v>
      </c>
      <c r="D194" s="4">
        <v>0</v>
      </c>
      <c r="E194" s="4">
        <v>0</v>
      </c>
      <c r="F194" s="4">
        <v>597.37821120000001</v>
      </c>
      <c r="G194" s="4">
        <v>0</v>
      </c>
    </row>
    <row r="195" spans="1:7" x14ac:dyDescent="0.25">
      <c r="A195" s="1" t="s">
        <v>67</v>
      </c>
      <c r="B195" s="1">
        <v>2035</v>
      </c>
      <c r="C195" s="187">
        <f t="shared" si="3"/>
        <v>597.37821120000001</v>
      </c>
      <c r="D195" s="4">
        <v>0</v>
      </c>
      <c r="E195" s="4">
        <v>0</v>
      </c>
      <c r="F195" s="4">
        <v>597.37821120000001</v>
      </c>
      <c r="G195" s="4">
        <v>0</v>
      </c>
    </row>
    <row r="196" spans="1:7" x14ac:dyDescent="0.25">
      <c r="A196" s="1" t="s">
        <v>67</v>
      </c>
      <c r="B196" s="1">
        <v>2036</v>
      </c>
      <c r="C196" s="187">
        <f t="shared" si="3"/>
        <v>597.37821143999997</v>
      </c>
      <c r="D196" s="4">
        <v>0</v>
      </c>
      <c r="E196" s="4">
        <v>0</v>
      </c>
      <c r="F196" s="4">
        <v>597.37821143999997</v>
      </c>
      <c r="G196" s="4">
        <v>0</v>
      </c>
    </row>
    <row r="197" spans="1:7" x14ac:dyDescent="0.25">
      <c r="A197" s="1" t="s">
        <v>67</v>
      </c>
      <c r="B197" s="1">
        <v>2037</v>
      </c>
      <c r="C197" s="187">
        <f t="shared" si="3"/>
        <v>597.37821120000001</v>
      </c>
      <c r="D197" s="4">
        <v>0</v>
      </c>
      <c r="E197" s="4">
        <v>0</v>
      </c>
      <c r="F197" s="4">
        <v>597.37821120000001</v>
      </c>
      <c r="G197" s="4">
        <v>0</v>
      </c>
    </row>
    <row r="198" spans="1:7" x14ac:dyDescent="0.25">
      <c r="A198" s="1" t="s">
        <v>67</v>
      </c>
      <c r="B198" s="1">
        <v>2038</v>
      </c>
      <c r="C198" s="187">
        <f t="shared" si="3"/>
        <v>597.37821120000001</v>
      </c>
      <c r="D198" s="4">
        <v>0</v>
      </c>
      <c r="E198" s="4">
        <v>0</v>
      </c>
      <c r="F198" s="4">
        <v>597.37821120000001</v>
      </c>
      <c r="G198" s="4">
        <v>0</v>
      </c>
    </row>
    <row r="199" spans="1:7" x14ac:dyDescent="0.25">
      <c r="A199" s="1" t="s">
        <v>67</v>
      </c>
      <c r="B199" s="1">
        <v>2039</v>
      </c>
      <c r="C199" s="187">
        <f t="shared" si="3"/>
        <v>597.37821120000001</v>
      </c>
      <c r="D199" s="4">
        <v>0</v>
      </c>
      <c r="E199" s="4">
        <v>0</v>
      </c>
      <c r="F199" s="4">
        <v>597.37821120000001</v>
      </c>
      <c r="G199" s="4">
        <v>0</v>
      </c>
    </row>
    <row r="200" spans="1:7" x14ac:dyDescent="0.25">
      <c r="A200" s="1" t="s">
        <v>67</v>
      </c>
      <c r="B200" s="1">
        <v>2040</v>
      </c>
      <c r="C200" s="187">
        <f t="shared" si="3"/>
        <v>597.37821143999997</v>
      </c>
      <c r="D200" s="4">
        <v>0</v>
      </c>
      <c r="E200" s="4">
        <v>0</v>
      </c>
      <c r="F200" s="4">
        <v>597.37821143999997</v>
      </c>
      <c r="G200" s="4">
        <v>0</v>
      </c>
    </row>
    <row r="201" spans="1:7" x14ac:dyDescent="0.25">
      <c r="A201" s="1" t="s">
        <v>67</v>
      </c>
      <c r="B201" s="1">
        <v>2041</v>
      </c>
      <c r="C201" s="187">
        <f t="shared" si="3"/>
        <v>597.37821120000001</v>
      </c>
      <c r="D201" s="4">
        <v>0</v>
      </c>
      <c r="E201" s="4">
        <v>0</v>
      </c>
      <c r="F201" s="4">
        <v>597.37821120000001</v>
      </c>
      <c r="G201" s="4">
        <v>0</v>
      </c>
    </row>
    <row r="202" spans="1:7" x14ac:dyDescent="0.25">
      <c r="A202" s="1" t="s">
        <v>67</v>
      </c>
      <c r="B202" s="1">
        <v>2042</v>
      </c>
      <c r="C202" s="187">
        <f t="shared" si="3"/>
        <v>597.37821120000001</v>
      </c>
      <c r="D202" s="4">
        <v>0</v>
      </c>
      <c r="E202" s="4">
        <v>0</v>
      </c>
      <c r="F202" s="4">
        <v>597.37821120000001</v>
      </c>
      <c r="G202" s="4">
        <v>0</v>
      </c>
    </row>
    <row r="203" spans="1:7" x14ac:dyDescent="0.25">
      <c r="A203" s="1" t="s">
        <v>67</v>
      </c>
      <c r="B203" s="1">
        <v>2043</v>
      </c>
      <c r="C203" s="187">
        <f t="shared" si="3"/>
        <v>597.37821120000001</v>
      </c>
      <c r="D203" s="4">
        <v>0</v>
      </c>
      <c r="E203" s="4">
        <v>0</v>
      </c>
      <c r="F203" s="4">
        <v>597.37821120000001</v>
      </c>
      <c r="G203" s="4">
        <v>0</v>
      </c>
    </row>
    <row r="204" spans="1:7" x14ac:dyDescent="0.25">
      <c r="A204" s="1" t="s">
        <v>67</v>
      </c>
      <c r="B204" s="1">
        <v>2044</v>
      </c>
      <c r="C204" s="187">
        <f t="shared" si="3"/>
        <v>597.37821143999997</v>
      </c>
      <c r="D204" s="4">
        <v>0</v>
      </c>
      <c r="E204" s="4">
        <v>0</v>
      </c>
      <c r="F204" s="4">
        <v>597.37821143999997</v>
      </c>
      <c r="G204" s="4">
        <v>0</v>
      </c>
    </row>
    <row r="205" spans="1:7" x14ac:dyDescent="0.25">
      <c r="A205" s="1" t="s">
        <v>67</v>
      </c>
      <c r="B205" s="1">
        <v>2045</v>
      </c>
      <c r="C205" s="187">
        <f t="shared" si="3"/>
        <v>597.37821120000001</v>
      </c>
      <c r="D205" s="4">
        <v>0</v>
      </c>
      <c r="E205" s="4">
        <v>0</v>
      </c>
      <c r="F205" s="4">
        <v>597.37821120000001</v>
      </c>
      <c r="G205" s="4">
        <v>0</v>
      </c>
    </row>
    <row r="206" spans="1:7" x14ac:dyDescent="0.25">
      <c r="A206" s="1" t="s">
        <v>67</v>
      </c>
      <c r="B206" s="1">
        <v>2046</v>
      </c>
      <c r="C206" s="187">
        <f t="shared" si="3"/>
        <v>597.37821120000001</v>
      </c>
      <c r="D206" s="4">
        <v>0</v>
      </c>
      <c r="E206" s="4">
        <v>0</v>
      </c>
      <c r="F206" s="4">
        <v>597.37821120000001</v>
      </c>
      <c r="G206" s="4">
        <v>0</v>
      </c>
    </row>
    <row r="207" spans="1:7" x14ac:dyDescent="0.25">
      <c r="A207" s="1" t="s">
        <v>67</v>
      </c>
      <c r="B207" s="1">
        <v>2047</v>
      </c>
      <c r="C207" s="187">
        <f t="shared" si="3"/>
        <v>597.37821120000001</v>
      </c>
      <c r="D207" s="4">
        <v>0</v>
      </c>
      <c r="E207" s="4">
        <v>0</v>
      </c>
      <c r="F207" s="4">
        <v>597.37821120000001</v>
      </c>
      <c r="G207" s="4">
        <v>0</v>
      </c>
    </row>
    <row r="208" spans="1:7" x14ac:dyDescent="0.25">
      <c r="A208" s="1" t="s">
        <v>67</v>
      </c>
      <c r="B208" s="1">
        <v>2048</v>
      </c>
      <c r="C208" s="187">
        <f t="shared" si="3"/>
        <v>597.37821143999997</v>
      </c>
      <c r="D208" s="4">
        <v>0</v>
      </c>
      <c r="E208" s="4">
        <v>0</v>
      </c>
      <c r="F208" s="4">
        <v>597.37821143999997</v>
      </c>
      <c r="G208" s="4">
        <v>0</v>
      </c>
    </row>
    <row r="209" spans="1:7" x14ac:dyDescent="0.25">
      <c r="A209" s="1" t="s">
        <v>67</v>
      </c>
      <c r="B209" s="1">
        <v>2049</v>
      </c>
      <c r="C209" s="187">
        <f t="shared" si="3"/>
        <v>597.37821120000001</v>
      </c>
      <c r="D209" s="4">
        <v>0</v>
      </c>
      <c r="E209" s="4">
        <v>0</v>
      </c>
      <c r="F209" s="4">
        <v>597.37821120000001</v>
      </c>
      <c r="G209" s="4">
        <v>0</v>
      </c>
    </row>
    <row r="210" spans="1:7" x14ac:dyDescent="0.25">
      <c r="A210" s="1" t="s">
        <v>67</v>
      </c>
      <c r="B210" s="1">
        <v>2050</v>
      </c>
      <c r="C210" s="187">
        <f t="shared" si="3"/>
        <v>597.37821120000001</v>
      </c>
      <c r="D210" s="4">
        <v>0</v>
      </c>
      <c r="E210" s="4">
        <v>0</v>
      </c>
      <c r="F210" s="4">
        <v>597.37821120000001</v>
      </c>
      <c r="G210" s="4">
        <v>0</v>
      </c>
    </row>
    <row r="211" spans="1:7" x14ac:dyDescent="0.25">
      <c r="A211" s="1" t="s">
        <v>67</v>
      </c>
      <c r="B211" s="1">
        <v>2051</v>
      </c>
      <c r="C211" s="187">
        <f t="shared" si="3"/>
        <v>597.37821120000001</v>
      </c>
      <c r="D211" s="4">
        <v>0</v>
      </c>
      <c r="E211" s="4">
        <v>0</v>
      </c>
      <c r="F211" s="4">
        <v>597.37821120000001</v>
      </c>
      <c r="G211" s="4">
        <v>0</v>
      </c>
    </row>
    <row r="212" spans="1:7" x14ac:dyDescent="0.25">
      <c r="A212" s="1" t="s">
        <v>95</v>
      </c>
      <c r="B212" s="1">
        <v>2022</v>
      </c>
      <c r="C212" s="187">
        <f t="shared" si="3"/>
        <v>0</v>
      </c>
      <c r="D212" s="4">
        <v>0</v>
      </c>
      <c r="E212" s="4">
        <v>0</v>
      </c>
      <c r="F212" s="4">
        <v>0</v>
      </c>
      <c r="G212" s="4">
        <v>0</v>
      </c>
    </row>
    <row r="213" spans="1:7" x14ac:dyDescent="0.25">
      <c r="A213" s="1" t="s">
        <v>95</v>
      </c>
      <c r="B213" s="1">
        <v>2023</v>
      </c>
      <c r="C213" s="187">
        <f t="shared" si="3"/>
        <v>428.48376000000002</v>
      </c>
      <c r="D213" s="4">
        <v>0</v>
      </c>
      <c r="E213" s="4">
        <v>0</v>
      </c>
      <c r="F213" s="4">
        <v>428.48376000000002</v>
      </c>
      <c r="G213" s="4">
        <v>0</v>
      </c>
    </row>
    <row r="214" spans="1:7" x14ac:dyDescent="0.25">
      <c r="A214" s="1" t="s">
        <v>95</v>
      </c>
      <c r="B214" s="1">
        <v>2024</v>
      </c>
      <c r="C214" s="187">
        <f t="shared" si="3"/>
        <v>661.21986503999995</v>
      </c>
      <c r="D214" s="4">
        <v>0</v>
      </c>
      <c r="E214" s="4">
        <v>0</v>
      </c>
      <c r="F214" s="4">
        <v>661.21986503999995</v>
      </c>
      <c r="G214" s="4">
        <v>0</v>
      </c>
    </row>
    <row r="215" spans="1:7" x14ac:dyDescent="0.25">
      <c r="A215" s="1" t="s">
        <v>95</v>
      </c>
      <c r="B215" s="1">
        <v>2025</v>
      </c>
      <c r="C215" s="187">
        <f t="shared" si="3"/>
        <v>1798.4038322399999</v>
      </c>
      <c r="D215" s="4">
        <v>0</v>
      </c>
      <c r="E215" s="4">
        <v>0</v>
      </c>
      <c r="F215" s="4">
        <v>1798.4038322399999</v>
      </c>
      <c r="G215" s="4">
        <v>0</v>
      </c>
    </row>
    <row r="216" spans="1:7" x14ac:dyDescent="0.25">
      <c r="A216" s="1" t="s">
        <v>95</v>
      </c>
      <c r="B216" s="1">
        <v>2026</v>
      </c>
      <c r="C216" s="187">
        <f t="shared" si="3"/>
        <v>2362.3722573599998</v>
      </c>
      <c r="D216" s="4">
        <v>0</v>
      </c>
      <c r="E216" s="4">
        <v>0</v>
      </c>
      <c r="F216" s="4">
        <v>2362.3722573599998</v>
      </c>
      <c r="G216" s="4">
        <v>0</v>
      </c>
    </row>
    <row r="217" spans="1:7" x14ac:dyDescent="0.25">
      <c r="A217" s="1" t="s">
        <v>95</v>
      </c>
      <c r="B217" s="1">
        <v>2027</v>
      </c>
      <c r="C217" s="187">
        <f t="shared" si="3"/>
        <v>4363.1639589599999</v>
      </c>
      <c r="D217" s="4">
        <v>0</v>
      </c>
      <c r="E217" s="4">
        <v>0</v>
      </c>
      <c r="F217" s="4">
        <v>2612.5367793599999</v>
      </c>
      <c r="G217" s="4">
        <v>1750.6271796000001</v>
      </c>
    </row>
    <row r="218" spans="1:7" x14ac:dyDescent="0.25">
      <c r="A218" s="1" t="s">
        <v>95</v>
      </c>
      <c r="B218" s="1">
        <v>2028</v>
      </c>
      <c r="C218" s="187">
        <f t="shared" si="3"/>
        <v>5363.5598128799993</v>
      </c>
      <c r="D218" s="4">
        <v>0</v>
      </c>
      <c r="E218" s="4">
        <v>0</v>
      </c>
      <c r="F218" s="4">
        <v>2737.6190414399998</v>
      </c>
      <c r="G218" s="4">
        <v>2625.9407714399999</v>
      </c>
    </row>
    <row r="219" spans="1:7" x14ac:dyDescent="0.25">
      <c r="A219" s="1" t="s">
        <v>95</v>
      </c>
      <c r="B219" s="1">
        <v>2029</v>
      </c>
      <c r="C219" s="187">
        <f t="shared" si="3"/>
        <v>5363.5598128799993</v>
      </c>
      <c r="D219" s="4">
        <v>0</v>
      </c>
      <c r="E219" s="4">
        <v>0</v>
      </c>
      <c r="F219" s="4">
        <v>2737.6190409599999</v>
      </c>
      <c r="G219" s="4">
        <v>2625.9407719199999</v>
      </c>
    </row>
    <row r="220" spans="1:7" x14ac:dyDescent="0.25">
      <c r="A220" s="1" t="s">
        <v>95</v>
      </c>
      <c r="B220" s="1">
        <v>2030</v>
      </c>
      <c r="C220" s="187">
        <f t="shared" si="3"/>
        <v>5363.5598128799993</v>
      </c>
      <c r="D220" s="4">
        <v>0</v>
      </c>
      <c r="E220" s="4">
        <v>0</v>
      </c>
      <c r="F220" s="4">
        <v>2737.6190409599999</v>
      </c>
      <c r="G220" s="4">
        <v>2625.9407719199999</v>
      </c>
    </row>
    <row r="221" spans="1:7" x14ac:dyDescent="0.25">
      <c r="A221" s="1" t="s">
        <v>95</v>
      </c>
      <c r="B221" s="1">
        <v>2031</v>
      </c>
      <c r="C221" s="187">
        <f t="shared" si="3"/>
        <v>5363.5598128799993</v>
      </c>
      <c r="D221" s="4">
        <v>0</v>
      </c>
      <c r="E221" s="4">
        <v>0</v>
      </c>
      <c r="F221" s="4">
        <v>2737.6190409599999</v>
      </c>
      <c r="G221" s="4">
        <v>2625.9407719199999</v>
      </c>
    </row>
    <row r="222" spans="1:7" x14ac:dyDescent="0.25">
      <c r="A222" s="1" t="s">
        <v>95</v>
      </c>
      <c r="B222" s="1">
        <v>2032</v>
      </c>
      <c r="C222" s="187">
        <f t="shared" si="3"/>
        <v>5363.5598128799993</v>
      </c>
      <c r="D222" s="4">
        <v>0</v>
      </c>
      <c r="E222" s="4">
        <v>0</v>
      </c>
      <c r="F222" s="4">
        <v>2737.6190414399998</v>
      </c>
      <c r="G222" s="4">
        <v>2625.9407714399999</v>
      </c>
    </row>
    <row r="223" spans="1:7" x14ac:dyDescent="0.25">
      <c r="A223" s="1" t="s">
        <v>95</v>
      </c>
      <c r="B223" s="1">
        <v>2033</v>
      </c>
      <c r="C223" s="187">
        <f t="shared" si="3"/>
        <v>5363.5598128799993</v>
      </c>
      <c r="D223" s="4">
        <v>0</v>
      </c>
      <c r="E223" s="4">
        <v>0</v>
      </c>
      <c r="F223" s="4">
        <v>2737.6190409599999</v>
      </c>
      <c r="G223" s="4">
        <v>2625.9407719199999</v>
      </c>
    </row>
    <row r="224" spans="1:7" x14ac:dyDescent="0.25">
      <c r="A224" s="1" t="s">
        <v>95</v>
      </c>
      <c r="B224" s="1">
        <v>2034</v>
      </c>
      <c r="C224" s="187">
        <f t="shared" si="3"/>
        <v>5363.5598128799993</v>
      </c>
      <c r="D224" s="4">
        <v>0</v>
      </c>
      <c r="E224" s="4">
        <v>0</v>
      </c>
      <c r="F224" s="4">
        <v>2737.6190409599999</v>
      </c>
      <c r="G224" s="4">
        <v>2625.9407719199999</v>
      </c>
    </row>
    <row r="225" spans="1:7" x14ac:dyDescent="0.25">
      <c r="A225" s="1" t="s">
        <v>95</v>
      </c>
      <c r="B225" s="1">
        <v>2035</v>
      </c>
      <c r="C225" s="187">
        <f t="shared" si="3"/>
        <v>5363.5598128799993</v>
      </c>
      <c r="D225" s="4">
        <v>0</v>
      </c>
      <c r="E225" s="4">
        <v>0</v>
      </c>
      <c r="F225" s="4">
        <v>2737.6190409599999</v>
      </c>
      <c r="G225" s="4">
        <v>2625.9407719199999</v>
      </c>
    </row>
    <row r="226" spans="1:7" x14ac:dyDescent="0.25">
      <c r="A226" s="1" t="s">
        <v>95</v>
      </c>
      <c r="B226" s="1">
        <v>2036</v>
      </c>
      <c r="C226" s="187">
        <f t="shared" si="3"/>
        <v>5363.5598128799993</v>
      </c>
      <c r="D226" s="4">
        <v>0</v>
      </c>
      <c r="E226" s="4">
        <v>0</v>
      </c>
      <c r="F226" s="4">
        <v>2737.6190414399998</v>
      </c>
      <c r="G226" s="4">
        <v>2625.9407714399999</v>
      </c>
    </row>
    <row r="227" spans="1:7" x14ac:dyDescent="0.25">
      <c r="A227" s="1" t="s">
        <v>95</v>
      </c>
      <c r="B227" s="1">
        <v>2037</v>
      </c>
      <c r="C227" s="187">
        <f t="shared" si="3"/>
        <v>5363.5598128799993</v>
      </c>
      <c r="D227" s="4">
        <v>0</v>
      </c>
      <c r="E227" s="4">
        <v>0</v>
      </c>
      <c r="F227" s="4">
        <v>2737.6190409599999</v>
      </c>
      <c r="G227" s="4">
        <v>2625.9407719199999</v>
      </c>
    </row>
    <row r="228" spans="1:7" x14ac:dyDescent="0.25">
      <c r="A228" s="1" t="s">
        <v>95</v>
      </c>
      <c r="B228" s="1">
        <v>2038</v>
      </c>
      <c r="C228" s="187">
        <f t="shared" si="3"/>
        <v>5363.5598128799993</v>
      </c>
      <c r="D228" s="4">
        <v>0</v>
      </c>
      <c r="E228" s="4">
        <v>0</v>
      </c>
      <c r="F228" s="4">
        <v>2737.6190409599999</v>
      </c>
      <c r="G228" s="4">
        <v>2625.9407719199999</v>
      </c>
    </row>
    <row r="229" spans="1:7" x14ac:dyDescent="0.25">
      <c r="A229" s="1" t="s">
        <v>95</v>
      </c>
      <c r="B229" s="1">
        <v>2039</v>
      </c>
      <c r="C229" s="187">
        <f t="shared" si="3"/>
        <v>5363.5598128799993</v>
      </c>
      <c r="D229" s="4">
        <v>0</v>
      </c>
      <c r="E229" s="4">
        <v>0</v>
      </c>
      <c r="F229" s="4">
        <v>2737.6190409599999</v>
      </c>
      <c r="G229" s="4">
        <v>2625.9407719199999</v>
      </c>
    </row>
    <row r="230" spans="1:7" x14ac:dyDescent="0.25">
      <c r="A230" s="1" t="s">
        <v>95</v>
      </c>
      <c r="B230" s="1">
        <v>2040</v>
      </c>
      <c r="C230" s="187">
        <f t="shared" si="3"/>
        <v>5363.5598128799993</v>
      </c>
      <c r="D230" s="4">
        <v>0</v>
      </c>
      <c r="E230" s="4">
        <v>0</v>
      </c>
      <c r="F230" s="4">
        <v>2737.6190414399998</v>
      </c>
      <c r="G230" s="4">
        <v>2625.9407714399999</v>
      </c>
    </row>
    <row r="231" spans="1:7" x14ac:dyDescent="0.25">
      <c r="A231" s="1" t="s">
        <v>95</v>
      </c>
      <c r="B231" s="1">
        <v>2041</v>
      </c>
      <c r="C231" s="187">
        <f t="shared" si="3"/>
        <v>5363.5598128799993</v>
      </c>
      <c r="D231" s="4">
        <v>0</v>
      </c>
      <c r="E231" s="4">
        <v>0</v>
      </c>
      <c r="F231" s="4">
        <v>2737.6190409599999</v>
      </c>
      <c r="G231" s="4">
        <v>2625.9407719199999</v>
      </c>
    </row>
    <row r="232" spans="1:7" x14ac:dyDescent="0.25">
      <c r="A232" s="1" t="s">
        <v>95</v>
      </c>
      <c r="B232" s="1">
        <v>2042</v>
      </c>
      <c r="C232" s="187">
        <f t="shared" si="3"/>
        <v>5363.5598128799993</v>
      </c>
      <c r="D232" s="4">
        <v>0</v>
      </c>
      <c r="E232" s="4">
        <v>0</v>
      </c>
      <c r="F232" s="4">
        <v>2737.6190409599999</v>
      </c>
      <c r="G232" s="4">
        <v>2625.9407719199999</v>
      </c>
    </row>
    <row r="233" spans="1:7" x14ac:dyDescent="0.25">
      <c r="A233" s="1" t="s">
        <v>95</v>
      </c>
      <c r="B233" s="1">
        <v>2043</v>
      </c>
      <c r="C233" s="187">
        <f t="shared" si="3"/>
        <v>5363.5598128799993</v>
      </c>
      <c r="D233" s="4">
        <v>0</v>
      </c>
      <c r="E233" s="4">
        <v>0</v>
      </c>
      <c r="F233" s="4">
        <v>2737.6190409599999</v>
      </c>
      <c r="G233" s="4">
        <v>2625.9407719199999</v>
      </c>
    </row>
    <row r="234" spans="1:7" x14ac:dyDescent="0.25">
      <c r="A234" s="1" t="s">
        <v>95</v>
      </c>
      <c r="B234" s="1">
        <v>2044</v>
      </c>
      <c r="C234" s="187">
        <f t="shared" si="3"/>
        <v>5363.5598128799993</v>
      </c>
      <c r="D234" s="4">
        <v>0</v>
      </c>
      <c r="E234" s="4">
        <v>0</v>
      </c>
      <c r="F234" s="4">
        <v>2737.6190414399998</v>
      </c>
      <c r="G234" s="4">
        <v>2625.9407714399999</v>
      </c>
    </row>
    <row r="235" spans="1:7" x14ac:dyDescent="0.25">
      <c r="A235" s="1" t="s">
        <v>95</v>
      </c>
      <c r="B235" s="1">
        <v>2045</v>
      </c>
      <c r="C235" s="187">
        <f t="shared" si="3"/>
        <v>5363.5598128799993</v>
      </c>
      <c r="D235" s="4">
        <v>0</v>
      </c>
      <c r="E235" s="4">
        <v>0</v>
      </c>
      <c r="F235" s="4">
        <v>2737.6190409599999</v>
      </c>
      <c r="G235" s="4">
        <v>2625.9407719199999</v>
      </c>
    </row>
    <row r="236" spans="1:7" x14ac:dyDescent="0.25">
      <c r="A236" s="1" t="s">
        <v>95</v>
      </c>
      <c r="B236" s="1">
        <v>2046</v>
      </c>
      <c r="C236" s="187">
        <f t="shared" si="3"/>
        <v>5363.5598128799993</v>
      </c>
      <c r="D236" s="4">
        <v>0</v>
      </c>
      <c r="E236" s="4">
        <v>0</v>
      </c>
      <c r="F236" s="4">
        <v>2737.6190409599999</v>
      </c>
      <c r="G236" s="4">
        <v>2625.9407719199999</v>
      </c>
    </row>
    <row r="237" spans="1:7" x14ac:dyDescent="0.25">
      <c r="A237" s="1" t="s">
        <v>95</v>
      </c>
      <c r="B237" s="1">
        <v>2047</v>
      </c>
      <c r="C237" s="187">
        <f t="shared" si="3"/>
        <v>5363.5598128799993</v>
      </c>
      <c r="D237" s="4">
        <v>0</v>
      </c>
      <c r="E237" s="4">
        <v>0</v>
      </c>
      <c r="F237" s="4">
        <v>2737.6190409599999</v>
      </c>
      <c r="G237" s="4">
        <v>2625.9407719199999</v>
      </c>
    </row>
    <row r="238" spans="1:7" x14ac:dyDescent="0.25">
      <c r="A238" s="1" t="s">
        <v>95</v>
      </c>
      <c r="B238" s="1">
        <v>2048</v>
      </c>
      <c r="C238" s="187">
        <f t="shared" si="3"/>
        <v>5363.5598128799993</v>
      </c>
      <c r="D238" s="4">
        <v>0</v>
      </c>
      <c r="E238" s="4">
        <v>0</v>
      </c>
      <c r="F238" s="4">
        <v>2737.6190414399998</v>
      </c>
      <c r="G238" s="4">
        <v>2625.9407714399999</v>
      </c>
    </row>
    <row r="239" spans="1:7" x14ac:dyDescent="0.25">
      <c r="A239" s="1" t="s">
        <v>95</v>
      </c>
      <c r="B239" s="1">
        <v>2049</v>
      </c>
      <c r="C239" s="187">
        <f t="shared" si="3"/>
        <v>5363.5598128799993</v>
      </c>
      <c r="D239" s="4">
        <v>0</v>
      </c>
      <c r="E239" s="4">
        <v>0</v>
      </c>
      <c r="F239" s="4">
        <v>2737.6190409599999</v>
      </c>
      <c r="G239" s="4">
        <v>2625.9407719199999</v>
      </c>
    </row>
    <row r="240" spans="1:7" x14ac:dyDescent="0.25">
      <c r="A240" s="1" t="s">
        <v>95</v>
      </c>
      <c r="B240" s="1">
        <v>2050</v>
      </c>
      <c r="C240" s="187">
        <f t="shared" si="3"/>
        <v>5363.5598128799993</v>
      </c>
      <c r="D240" s="4">
        <v>0</v>
      </c>
      <c r="E240" s="4">
        <v>0</v>
      </c>
      <c r="F240" s="4">
        <v>2737.6190409599999</v>
      </c>
      <c r="G240" s="4">
        <v>2625.9407719199999</v>
      </c>
    </row>
    <row r="241" spans="1:7" x14ac:dyDescent="0.25">
      <c r="A241" s="1" t="s">
        <v>95</v>
      </c>
      <c r="B241" s="1">
        <v>2051</v>
      </c>
      <c r="C241" s="187">
        <f t="shared" si="3"/>
        <v>5363.5598128799993</v>
      </c>
      <c r="D241" s="4">
        <v>0</v>
      </c>
      <c r="E241" s="4">
        <v>0</v>
      </c>
      <c r="F241" s="4">
        <v>2737.6190409599999</v>
      </c>
      <c r="G241" s="4">
        <v>2625.9407719199999</v>
      </c>
    </row>
    <row r="242" spans="1:7" x14ac:dyDescent="0.25">
      <c r="A242" s="1" t="s">
        <v>96</v>
      </c>
      <c r="B242" s="1">
        <v>2022</v>
      </c>
      <c r="C242" s="187">
        <f t="shared" si="3"/>
        <v>0</v>
      </c>
      <c r="D242" s="4">
        <v>0</v>
      </c>
      <c r="E242" s="4">
        <v>0</v>
      </c>
      <c r="F242" s="4">
        <v>0</v>
      </c>
      <c r="G242" s="4">
        <v>0</v>
      </c>
    </row>
    <row r="243" spans="1:7" x14ac:dyDescent="0.25">
      <c r="A243" s="1" t="s">
        <v>96</v>
      </c>
      <c r="B243" s="1">
        <v>2023</v>
      </c>
      <c r="C243" s="187">
        <f t="shared" si="3"/>
        <v>428.48376000000002</v>
      </c>
      <c r="D243" s="4">
        <v>0</v>
      </c>
      <c r="E243" s="4">
        <v>0</v>
      </c>
      <c r="F243" s="4">
        <v>428.48376000000002</v>
      </c>
      <c r="G243" s="4">
        <v>0</v>
      </c>
    </row>
    <row r="244" spans="1:7" x14ac:dyDescent="0.25">
      <c r="A244" s="1" t="s">
        <v>96</v>
      </c>
      <c r="B244" s="1">
        <v>2024</v>
      </c>
      <c r="C244" s="187">
        <f t="shared" si="3"/>
        <v>661.21986503999995</v>
      </c>
      <c r="D244" s="4">
        <v>0</v>
      </c>
      <c r="E244" s="4">
        <v>0</v>
      </c>
      <c r="F244" s="4">
        <v>661.21986503999995</v>
      </c>
      <c r="G244" s="4">
        <v>0</v>
      </c>
    </row>
    <row r="245" spans="1:7" x14ac:dyDescent="0.25">
      <c r="A245" s="1" t="s">
        <v>96</v>
      </c>
      <c r="B245" s="1">
        <v>2025</v>
      </c>
      <c r="C245" s="187">
        <f t="shared" si="3"/>
        <v>1798.4038322399999</v>
      </c>
      <c r="D245" s="4">
        <v>0</v>
      </c>
      <c r="E245" s="4">
        <v>0</v>
      </c>
      <c r="F245" s="4">
        <v>1798.4038322399999</v>
      </c>
      <c r="G245" s="4">
        <v>0</v>
      </c>
    </row>
    <row r="246" spans="1:7" x14ac:dyDescent="0.25">
      <c r="A246" s="1" t="s">
        <v>96</v>
      </c>
      <c r="B246" s="1">
        <v>2026</v>
      </c>
      <c r="C246" s="187">
        <f t="shared" si="3"/>
        <v>2362.3722573599998</v>
      </c>
      <c r="D246" s="4">
        <v>0</v>
      </c>
      <c r="E246" s="4">
        <v>0</v>
      </c>
      <c r="F246" s="4">
        <v>2362.3722573599998</v>
      </c>
      <c r="G246" s="4">
        <v>0</v>
      </c>
    </row>
    <row r="247" spans="1:7" x14ac:dyDescent="0.25">
      <c r="A247" s="1" t="s">
        <v>96</v>
      </c>
      <c r="B247" s="1">
        <v>2027</v>
      </c>
      <c r="C247" s="187">
        <f t="shared" si="3"/>
        <v>4363.1639589599999</v>
      </c>
      <c r="D247" s="4">
        <v>0</v>
      </c>
      <c r="E247" s="4">
        <v>0</v>
      </c>
      <c r="F247" s="4">
        <v>2612.5367793599999</v>
      </c>
      <c r="G247" s="4">
        <v>1750.6271796000001</v>
      </c>
    </row>
    <row r="248" spans="1:7" x14ac:dyDescent="0.25">
      <c r="A248" s="1" t="s">
        <v>96</v>
      </c>
      <c r="B248" s="1">
        <v>2028</v>
      </c>
      <c r="C248" s="187">
        <f t="shared" si="3"/>
        <v>5363.5598128799993</v>
      </c>
      <c r="D248" s="4">
        <v>0</v>
      </c>
      <c r="E248" s="4">
        <v>0</v>
      </c>
      <c r="F248" s="4">
        <v>2737.6190414399998</v>
      </c>
      <c r="G248" s="4">
        <v>2625.9407714399999</v>
      </c>
    </row>
    <row r="249" spans="1:7" x14ac:dyDescent="0.25">
      <c r="A249" s="1" t="s">
        <v>96</v>
      </c>
      <c r="B249" s="1">
        <v>2029</v>
      </c>
      <c r="C249" s="187">
        <f t="shared" si="3"/>
        <v>5363.5598128799993</v>
      </c>
      <c r="D249" s="4">
        <v>0</v>
      </c>
      <c r="E249" s="4">
        <v>0</v>
      </c>
      <c r="F249" s="4">
        <v>2737.6190409599999</v>
      </c>
      <c r="G249" s="4">
        <v>2625.9407719199999</v>
      </c>
    </row>
    <row r="250" spans="1:7" x14ac:dyDescent="0.25">
      <c r="A250" s="1" t="s">
        <v>96</v>
      </c>
      <c r="B250" s="1">
        <v>2030</v>
      </c>
      <c r="C250" s="187">
        <f t="shared" si="3"/>
        <v>5363.5598128799993</v>
      </c>
      <c r="D250" s="4">
        <v>0</v>
      </c>
      <c r="E250" s="4">
        <v>0</v>
      </c>
      <c r="F250" s="4">
        <v>2737.6190409599999</v>
      </c>
      <c r="G250" s="4">
        <v>2625.9407719199999</v>
      </c>
    </row>
    <row r="251" spans="1:7" x14ac:dyDescent="0.25">
      <c r="A251" s="1" t="s">
        <v>96</v>
      </c>
      <c r="B251" s="1">
        <v>2031</v>
      </c>
      <c r="C251" s="187">
        <f t="shared" si="3"/>
        <v>5363.5598128799993</v>
      </c>
      <c r="D251" s="4">
        <v>0</v>
      </c>
      <c r="E251" s="4">
        <v>0</v>
      </c>
      <c r="F251" s="4">
        <v>2737.6190409599999</v>
      </c>
      <c r="G251" s="4">
        <v>2625.9407719199999</v>
      </c>
    </row>
    <row r="252" spans="1:7" x14ac:dyDescent="0.25">
      <c r="A252" s="1" t="s">
        <v>96</v>
      </c>
      <c r="B252" s="1">
        <v>2032</v>
      </c>
      <c r="C252" s="187">
        <f t="shared" si="3"/>
        <v>5363.5598128799993</v>
      </c>
      <c r="D252" s="4">
        <v>0</v>
      </c>
      <c r="E252" s="4">
        <v>0</v>
      </c>
      <c r="F252" s="4">
        <v>2737.6190414399998</v>
      </c>
      <c r="G252" s="4">
        <v>2625.9407714399999</v>
      </c>
    </row>
    <row r="253" spans="1:7" x14ac:dyDescent="0.25">
      <c r="A253" s="1" t="s">
        <v>96</v>
      </c>
      <c r="B253" s="1">
        <v>2033</v>
      </c>
      <c r="C253" s="187">
        <f t="shared" si="3"/>
        <v>5363.5598128799993</v>
      </c>
      <c r="D253" s="4">
        <v>0</v>
      </c>
      <c r="E253" s="4">
        <v>0</v>
      </c>
      <c r="F253" s="4">
        <v>2737.6190409599999</v>
      </c>
      <c r="G253" s="4">
        <v>2625.9407719199999</v>
      </c>
    </row>
    <row r="254" spans="1:7" x14ac:dyDescent="0.25">
      <c r="A254" s="1" t="s">
        <v>96</v>
      </c>
      <c r="B254" s="1">
        <v>2034</v>
      </c>
      <c r="C254" s="187">
        <f t="shared" si="3"/>
        <v>5363.5598128799993</v>
      </c>
      <c r="D254" s="4">
        <v>0</v>
      </c>
      <c r="E254" s="4">
        <v>0</v>
      </c>
      <c r="F254" s="4">
        <v>2737.6190409599999</v>
      </c>
      <c r="G254" s="4">
        <v>2625.9407719199999</v>
      </c>
    </row>
    <row r="255" spans="1:7" x14ac:dyDescent="0.25">
      <c r="A255" s="1" t="s">
        <v>96</v>
      </c>
      <c r="B255" s="1">
        <v>2035</v>
      </c>
      <c r="C255" s="187">
        <f t="shared" si="3"/>
        <v>5363.5598128799993</v>
      </c>
      <c r="D255" s="4">
        <v>0</v>
      </c>
      <c r="E255" s="4">
        <v>0</v>
      </c>
      <c r="F255" s="4">
        <v>2737.6190409599999</v>
      </c>
      <c r="G255" s="4">
        <v>2625.9407719199999</v>
      </c>
    </row>
    <row r="256" spans="1:7" x14ac:dyDescent="0.25">
      <c r="A256" s="1" t="s">
        <v>96</v>
      </c>
      <c r="B256" s="1">
        <v>2036</v>
      </c>
      <c r="C256" s="187">
        <f t="shared" si="3"/>
        <v>5363.5598128799993</v>
      </c>
      <c r="D256" s="4">
        <v>0</v>
      </c>
      <c r="E256" s="4">
        <v>0</v>
      </c>
      <c r="F256" s="4">
        <v>2737.6190414399998</v>
      </c>
      <c r="G256" s="4">
        <v>2625.9407714399999</v>
      </c>
    </row>
    <row r="257" spans="1:7" x14ac:dyDescent="0.25">
      <c r="A257" s="1" t="s">
        <v>96</v>
      </c>
      <c r="B257" s="1">
        <v>2037</v>
      </c>
      <c r="C257" s="187">
        <f t="shared" si="3"/>
        <v>5363.5598128799993</v>
      </c>
      <c r="D257" s="4">
        <v>0</v>
      </c>
      <c r="E257" s="4">
        <v>0</v>
      </c>
      <c r="F257" s="4">
        <v>2737.6190409599999</v>
      </c>
      <c r="G257" s="4">
        <v>2625.9407719199999</v>
      </c>
    </row>
    <row r="258" spans="1:7" x14ac:dyDescent="0.25">
      <c r="A258" s="1" t="s">
        <v>96</v>
      </c>
      <c r="B258" s="1">
        <v>2038</v>
      </c>
      <c r="C258" s="187">
        <f t="shared" ref="C258:C301" si="4">SUM(D258:G258)</f>
        <v>5363.5598128799993</v>
      </c>
      <c r="D258" s="4">
        <v>0</v>
      </c>
      <c r="E258" s="4">
        <v>0</v>
      </c>
      <c r="F258" s="4">
        <v>2737.6190409599999</v>
      </c>
      <c r="G258" s="4">
        <v>2625.9407719199999</v>
      </c>
    </row>
    <row r="259" spans="1:7" x14ac:dyDescent="0.25">
      <c r="A259" s="1" t="s">
        <v>96</v>
      </c>
      <c r="B259" s="1">
        <v>2039</v>
      </c>
      <c r="C259" s="187">
        <f t="shared" si="4"/>
        <v>5363.5598128799993</v>
      </c>
      <c r="D259" s="4">
        <v>0</v>
      </c>
      <c r="E259" s="4">
        <v>0</v>
      </c>
      <c r="F259" s="4">
        <v>2737.6190409599999</v>
      </c>
      <c r="G259" s="4">
        <v>2625.9407719199999</v>
      </c>
    </row>
    <row r="260" spans="1:7" x14ac:dyDescent="0.25">
      <c r="A260" s="1" t="s">
        <v>96</v>
      </c>
      <c r="B260" s="1">
        <v>2040</v>
      </c>
      <c r="C260" s="187">
        <f t="shared" si="4"/>
        <v>5363.5598128799993</v>
      </c>
      <c r="D260" s="4">
        <v>0</v>
      </c>
      <c r="E260" s="4">
        <v>0</v>
      </c>
      <c r="F260" s="4">
        <v>2737.6190414399998</v>
      </c>
      <c r="G260" s="4">
        <v>2625.9407714399999</v>
      </c>
    </row>
    <row r="261" spans="1:7" x14ac:dyDescent="0.25">
      <c r="A261" s="1" t="s">
        <v>96</v>
      </c>
      <c r="B261" s="1">
        <v>2041</v>
      </c>
      <c r="C261" s="187">
        <f t="shared" si="4"/>
        <v>5363.5598128799993</v>
      </c>
      <c r="D261" s="4">
        <v>0</v>
      </c>
      <c r="E261" s="4">
        <v>0</v>
      </c>
      <c r="F261" s="4">
        <v>2737.6190409599999</v>
      </c>
      <c r="G261" s="4">
        <v>2625.9407719199999</v>
      </c>
    </row>
    <row r="262" spans="1:7" x14ac:dyDescent="0.25">
      <c r="A262" s="1" t="s">
        <v>96</v>
      </c>
      <c r="B262" s="1">
        <v>2042</v>
      </c>
      <c r="C262" s="187">
        <f t="shared" si="4"/>
        <v>5363.5598128799993</v>
      </c>
      <c r="D262" s="4">
        <v>0</v>
      </c>
      <c r="E262" s="4">
        <v>0</v>
      </c>
      <c r="F262" s="4">
        <v>2737.6190409599999</v>
      </c>
      <c r="G262" s="4">
        <v>2625.9407719199999</v>
      </c>
    </row>
    <row r="263" spans="1:7" x14ac:dyDescent="0.25">
      <c r="A263" s="1" t="s">
        <v>96</v>
      </c>
      <c r="B263" s="1">
        <v>2043</v>
      </c>
      <c r="C263" s="187">
        <f t="shared" si="4"/>
        <v>5363.5598128799993</v>
      </c>
      <c r="D263" s="4">
        <v>0</v>
      </c>
      <c r="E263" s="4">
        <v>0</v>
      </c>
      <c r="F263" s="4">
        <v>2737.6190409599999</v>
      </c>
      <c r="G263" s="4">
        <v>2625.9407719199999</v>
      </c>
    </row>
    <row r="264" spans="1:7" x14ac:dyDescent="0.25">
      <c r="A264" s="1" t="s">
        <v>96</v>
      </c>
      <c r="B264" s="1">
        <v>2044</v>
      </c>
      <c r="C264" s="187">
        <f t="shared" si="4"/>
        <v>5363.5598128799993</v>
      </c>
      <c r="D264" s="4">
        <v>0</v>
      </c>
      <c r="E264" s="4">
        <v>0</v>
      </c>
      <c r="F264" s="4">
        <v>2737.6190414399998</v>
      </c>
      <c r="G264" s="4">
        <v>2625.9407714399999</v>
      </c>
    </row>
    <row r="265" spans="1:7" x14ac:dyDescent="0.25">
      <c r="A265" s="1" t="s">
        <v>96</v>
      </c>
      <c r="B265" s="1">
        <v>2045</v>
      </c>
      <c r="C265" s="187">
        <f t="shared" si="4"/>
        <v>5363.5598128799993</v>
      </c>
      <c r="D265" s="4">
        <v>0</v>
      </c>
      <c r="E265" s="4">
        <v>0</v>
      </c>
      <c r="F265" s="4">
        <v>2737.6190409599999</v>
      </c>
      <c r="G265" s="4">
        <v>2625.9407719199999</v>
      </c>
    </row>
    <row r="266" spans="1:7" x14ac:dyDescent="0.25">
      <c r="A266" s="1" t="s">
        <v>96</v>
      </c>
      <c r="B266" s="1">
        <v>2046</v>
      </c>
      <c r="C266" s="187">
        <f t="shared" si="4"/>
        <v>5363.5598128799993</v>
      </c>
      <c r="D266" s="4">
        <v>0</v>
      </c>
      <c r="E266" s="4">
        <v>0</v>
      </c>
      <c r="F266" s="4">
        <v>2737.6190409599999</v>
      </c>
      <c r="G266" s="4">
        <v>2625.9407719199999</v>
      </c>
    </row>
    <row r="267" spans="1:7" x14ac:dyDescent="0.25">
      <c r="A267" s="1" t="s">
        <v>96</v>
      </c>
      <c r="B267" s="1">
        <v>2047</v>
      </c>
      <c r="C267" s="187">
        <f t="shared" si="4"/>
        <v>5363.5598128799993</v>
      </c>
      <c r="D267" s="4">
        <v>0</v>
      </c>
      <c r="E267" s="4">
        <v>0</v>
      </c>
      <c r="F267" s="4">
        <v>2737.6190409599999</v>
      </c>
      <c r="G267" s="4">
        <v>2625.9407719199999</v>
      </c>
    </row>
    <row r="268" spans="1:7" x14ac:dyDescent="0.25">
      <c r="A268" s="1" t="s">
        <v>96</v>
      </c>
      <c r="B268" s="1">
        <v>2048</v>
      </c>
      <c r="C268" s="187">
        <f t="shared" si="4"/>
        <v>5363.5598128799993</v>
      </c>
      <c r="D268" s="4">
        <v>0</v>
      </c>
      <c r="E268" s="4">
        <v>0</v>
      </c>
      <c r="F268" s="4">
        <v>2737.6190414399998</v>
      </c>
      <c r="G268" s="4">
        <v>2625.9407714399999</v>
      </c>
    </row>
    <row r="269" spans="1:7" x14ac:dyDescent="0.25">
      <c r="A269" s="1" t="s">
        <v>96</v>
      </c>
      <c r="B269" s="1">
        <v>2049</v>
      </c>
      <c r="C269" s="187">
        <f t="shared" si="4"/>
        <v>5363.5598128799993</v>
      </c>
      <c r="D269" s="4">
        <v>0</v>
      </c>
      <c r="E269" s="4">
        <v>0</v>
      </c>
      <c r="F269" s="4">
        <v>2737.6190409599999</v>
      </c>
      <c r="G269" s="4">
        <v>2625.9407719199999</v>
      </c>
    </row>
    <row r="270" spans="1:7" x14ac:dyDescent="0.25">
      <c r="A270" s="1" t="s">
        <v>96</v>
      </c>
      <c r="B270" s="1">
        <v>2050</v>
      </c>
      <c r="C270" s="187">
        <f t="shared" si="4"/>
        <v>5363.5598128799993</v>
      </c>
      <c r="D270" s="4">
        <v>0</v>
      </c>
      <c r="E270" s="4">
        <v>0</v>
      </c>
      <c r="F270" s="4">
        <v>2737.6190409599999</v>
      </c>
      <c r="G270" s="4">
        <v>2625.9407719199999</v>
      </c>
    </row>
    <row r="271" spans="1:7" x14ac:dyDescent="0.25">
      <c r="A271" s="1" t="s">
        <v>96</v>
      </c>
      <c r="B271" s="1">
        <v>2051</v>
      </c>
      <c r="C271" s="187">
        <f t="shared" si="4"/>
        <v>5363.5598128799993</v>
      </c>
      <c r="D271" s="4">
        <v>0</v>
      </c>
      <c r="E271" s="4">
        <v>0</v>
      </c>
      <c r="F271" s="4">
        <v>2737.6190409599999</v>
      </c>
      <c r="G271" s="4">
        <v>2625.9407719199999</v>
      </c>
    </row>
    <row r="272" spans="1:7" x14ac:dyDescent="0.25">
      <c r="A272" s="1" t="s">
        <v>97</v>
      </c>
      <c r="B272" s="1">
        <v>2022</v>
      </c>
      <c r="C272" s="187">
        <f t="shared" si="4"/>
        <v>0</v>
      </c>
      <c r="D272" s="4">
        <v>0</v>
      </c>
      <c r="E272" s="4">
        <v>0</v>
      </c>
      <c r="F272" s="4">
        <v>0</v>
      </c>
      <c r="G272" s="4">
        <v>0</v>
      </c>
    </row>
    <row r="273" spans="1:7" x14ac:dyDescent="0.25">
      <c r="A273" s="1" t="s">
        <v>97</v>
      </c>
      <c r="B273" s="1">
        <v>2023</v>
      </c>
      <c r="C273" s="187">
        <f t="shared" si="4"/>
        <v>428.35382279999999</v>
      </c>
      <c r="D273" s="4">
        <v>0</v>
      </c>
      <c r="E273" s="4">
        <v>0</v>
      </c>
      <c r="F273" s="4">
        <v>428.35382279999999</v>
      </c>
      <c r="G273" s="4">
        <v>0</v>
      </c>
    </row>
    <row r="274" spans="1:7" x14ac:dyDescent="0.25">
      <c r="A274" s="1" t="s">
        <v>97</v>
      </c>
      <c r="B274" s="1">
        <v>2024</v>
      </c>
      <c r="C274" s="187">
        <f t="shared" si="4"/>
        <v>675.55613256000004</v>
      </c>
      <c r="D274" s="4">
        <v>0</v>
      </c>
      <c r="E274" s="4">
        <v>0</v>
      </c>
      <c r="F274" s="4">
        <v>675.55613256000004</v>
      </c>
      <c r="G274" s="4">
        <v>0</v>
      </c>
    </row>
    <row r="275" spans="1:7" x14ac:dyDescent="0.25">
      <c r="A275" s="1" t="s">
        <v>97</v>
      </c>
      <c r="B275" s="1">
        <v>2025</v>
      </c>
      <c r="C275" s="187">
        <f t="shared" si="4"/>
        <v>1766.10633072</v>
      </c>
      <c r="D275" s="4">
        <v>0</v>
      </c>
      <c r="E275" s="4">
        <v>0</v>
      </c>
      <c r="F275" s="4">
        <v>1766.10633072</v>
      </c>
      <c r="G275" s="4">
        <v>0</v>
      </c>
    </row>
    <row r="276" spans="1:7" x14ac:dyDescent="0.25">
      <c r="A276" s="1" t="s">
        <v>97</v>
      </c>
      <c r="B276" s="1">
        <v>2026</v>
      </c>
      <c r="C276" s="187">
        <f t="shared" si="4"/>
        <v>2303.1250790399999</v>
      </c>
      <c r="D276" s="4">
        <v>0</v>
      </c>
      <c r="E276" s="4">
        <v>0</v>
      </c>
      <c r="F276" s="4">
        <v>2303.1250790399999</v>
      </c>
      <c r="G276" s="4">
        <v>0</v>
      </c>
    </row>
    <row r="277" spans="1:7" x14ac:dyDescent="0.25">
      <c r="A277" s="1" t="s">
        <v>97</v>
      </c>
      <c r="B277" s="1">
        <v>2027</v>
      </c>
      <c r="C277" s="187">
        <f t="shared" si="4"/>
        <v>4486.0846334400003</v>
      </c>
      <c r="D277" s="4">
        <v>0</v>
      </c>
      <c r="E277" s="4">
        <v>0</v>
      </c>
      <c r="F277" s="4">
        <v>2735.4574538400002</v>
      </c>
      <c r="G277" s="4">
        <v>1750.6271796000001</v>
      </c>
    </row>
    <row r="278" spans="1:7" x14ac:dyDescent="0.25">
      <c r="A278" s="1" t="s">
        <v>97</v>
      </c>
      <c r="B278" s="1">
        <v>2028</v>
      </c>
      <c r="C278" s="187">
        <f t="shared" si="4"/>
        <v>5641.1464288799998</v>
      </c>
      <c r="D278" s="4">
        <v>0</v>
      </c>
      <c r="E278" s="4">
        <v>0</v>
      </c>
      <c r="F278" s="4">
        <v>3015.2056574400003</v>
      </c>
      <c r="G278" s="4">
        <v>2625.9407714399999</v>
      </c>
    </row>
    <row r="279" spans="1:7" x14ac:dyDescent="0.25">
      <c r="A279" s="1" t="s">
        <v>97</v>
      </c>
      <c r="B279" s="1">
        <v>2029</v>
      </c>
      <c r="C279" s="187">
        <f t="shared" si="4"/>
        <v>5675.3845579199997</v>
      </c>
      <c r="D279" s="4">
        <v>0</v>
      </c>
      <c r="E279" s="4">
        <v>0</v>
      </c>
      <c r="F279" s="4">
        <v>3049.4437859999998</v>
      </c>
      <c r="G279" s="4">
        <v>2625.9407719199999</v>
      </c>
    </row>
    <row r="280" spans="1:7" x14ac:dyDescent="0.25">
      <c r="A280" s="1" t="s">
        <v>97</v>
      </c>
      <c r="B280" s="1">
        <v>2030</v>
      </c>
      <c r="C280" s="187">
        <f t="shared" si="4"/>
        <v>5707.4029682399996</v>
      </c>
      <c r="D280" s="4">
        <v>0</v>
      </c>
      <c r="E280" s="4">
        <v>0</v>
      </c>
      <c r="F280" s="4">
        <v>3081.4621963199997</v>
      </c>
      <c r="G280" s="4">
        <v>2625.9407719199999</v>
      </c>
    </row>
    <row r="281" spans="1:7" x14ac:dyDescent="0.25">
      <c r="A281" s="1" t="s">
        <v>97</v>
      </c>
      <c r="B281" s="1">
        <v>2031</v>
      </c>
      <c r="C281" s="187">
        <f t="shared" si="4"/>
        <v>5750.4551136</v>
      </c>
      <c r="D281" s="4">
        <v>0</v>
      </c>
      <c r="E281" s="4">
        <v>0</v>
      </c>
      <c r="F281" s="4">
        <v>3124.5143416800001</v>
      </c>
      <c r="G281" s="4">
        <v>2625.9407719199999</v>
      </c>
    </row>
    <row r="282" spans="1:7" x14ac:dyDescent="0.25">
      <c r="A282" s="1" t="s">
        <v>97</v>
      </c>
      <c r="B282" s="1">
        <v>2032</v>
      </c>
      <c r="C282" s="187">
        <f t="shared" si="4"/>
        <v>5766.9461184000002</v>
      </c>
      <c r="D282" s="4">
        <v>0</v>
      </c>
      <c r="E282" s="4">
        <v>0</v>
      </c>
      <c r="F282" s="4">
        <v>3141.0053469600002</v>
      </c>
      <c r="G282" s="4">
        <v>2625.9407714399999</v>
      </c>
    </row>
    <row r="283" spans="1:7" x14ac:dyDescent="0.25">
      <c r="A283" s="1" t="s">
        <v>97</v>
      </c>
      <c r="B283" s="1">
        <v>2033</v>
      </c>
      <c r="C283" s="187">
        <f t="shared" si="4"/>
        <v>5771.5696874400001</v>
      </c>
      <c r="D283" s="4">
        <v>0</v>
      </c>
      <c r="E283" s="4">
        <v>0</v>
      </c>
      <c r="F283" s="4">
        <v>3145.6289155200002</v>
      </c>
      <c r="G283" s="4">
        <v>2625.9407719199999</v>
      </c>
    </row>
    <row r="284" spans="1:7" x14ac:dyDescent="0.25">
      <c r="A284" s="1" t="s">
        <v>97</v>
      </c>
      <c r="B284" s="1">
        <v>2034</v>
      </c>
      <c r="C284" s="187">
        <f t="shared" si="4"/>
        <v>5773.21555704</v>
      </c>
      <c r="D284" s="4">
        <v>0</v>
      </c>
      <c r="E284" s="4">
        <v>0</v>
      </c>
      <c r="F284" s="4">
        <v>3147.2747851200002</v>
      </c>
      <c r="G284" s="4">
        <v>2625.9407719199999</v>
      </c>
    </row>
    <row r="285" spans="1:7" x14ac:dyDescent="0.25">
      <c r="A285" s="1" t="s">
        <v>97</v>
      </c>
      <c r="B285" s="1">
        <v>2035</v>
      </c>
      <c r="C285" s="187">
        <f t="shared" si="4"/>
        <v>5776.8753902400003</v>
      </c>
      <c r="D285" s="4">
        <v>0</v>
      </c>
      <c r="E285" s="4">
        <v>0</v>
      </c>
      <c r="F285" s="4">
        <v>3150.93461832</v>
      </c>
      <c r="G285" s="4">
        <v>2625.9407719199999</v>
      </c>
    </row>
    <row r="286" spans="1:7" x14ac:dyDescent="0.25">
      <c r="A286" s="1" t="s">
        <v>97</v>
      </c>
      <c r="B286" s="1">
        <v>2036</v>
      </c>
      <c r="C286" s="187">
        <f t="shared" si="4"/>
        <v>5778.7053105600007</v>
      </c>
      <c r="D286" s="4">
        <v>0</v>
      </c>
      <c r="E286" s="4">
        <v>0</v>
      </c>
      <c r="F286" s="4">
        <v>3152.7645391200003</v>
      </c>
      <c r="G286" s="4">
        <v>2625.9407714399999</v>
      </c>
    </row>
    <row r="287" spans="1:7" x14ac:dyDescent="0.25">
      <c r="A287" s="1" t="s">
        <v>97</v>
      </c>
      <c r="B287" s="1">
        <v>2037</v>
      </c>
      <c r="C287" s="187">
        <f t="shared" si="4"/>
        <v>5778.7053115199997</v>
      </c>
      <c r="D287" s="4">
        <v>0</v>
      </c>
      <c r="E287" s="4">
        <v>0</v>
      </c>
      <c r="F287" s="4">
        <v>3152.7645395999998</v>
      </c>
      <c r="G287" s="4">
        <v>2625.9407719199999</v>
      </c>
    </row>
    <row r="288" spans="1:7" x14ac:dyDescent="0.25">
      <c r="A288" s="1" t="s">
        <v>97</v>
      </c>
      <c r="B288" s="1">
        <v>2038</v>
      </c>
      <c r="C288" s="187">
        <f t="shared" si="4"/>
        <v>5778.7053115199997</v>
      </c>
      <c r="D288" s="4">
        <v>0</v>
      </c>
      <c r="E288" s="4">
        <v>0</v>
      </c>
      <c r="F288" s="4">
        <v>3152.7645395999998</v>
      </c>
      <c r="G288" s="4">
        <v>2625.9407719199999</v>
      </c>
    </row>
    <row r="289" spans="1:7" x14ac:dyDescent="0.25">
      <c r="A289" s="1" t="s">
        <v>97</v>
      </c>
      <c r="B289" s="1">
        <v>2039</v>
      </c>
      <c r="C289" s="187">
        <f t="shared" si="4"/>
        <v>5778.7053115199997</v>
      </c>
      <c r="D289" s="4">
        <v>0</v>
      </c>
      <c r="E289" s="4">
        <v>0</v>
      </c>
      <c r="F289" s="4">
        <v>3152.7645395999998</v>
      </c>
      <c r="G289" s="4">
        <v>2625.9407719199999</v>
      </c>
    </row>
    <row r="290" spans="1:7" x14ac:dyDescent="0.25">
      <c r="A290" s="1" t="s">
        <v>97</v>
      </c>
      <c r="B290" s="1">
        <v>2040</v>
      </c>
      <c r="C290" s="187">
        <f t="shared" si="4"/>
        <v>5778.7053105600007</v>
      </c>
      <c r="D290" s="4">
        <v>0</v>
      </c>
      <c r="E290" s="4">
        <v>0</v>
      </c>
      <c r="F290" s="4">
        <v>3152.7645391200003</v>
      </c>
      <c r="G290" s="4">
        <v>2625.9407714399999</v>
      </c>
    </row>
    <row r="291" spans="1:7" x14ac:dyDescent="0.25">
      <c r="A291" s="1" t="s">
        <v>97</v>
      </c>
      <c r="B291" s="1">
        <v>2041</v>
      </c>
      <c r="C291" s="187">
        <f t="shared" si="4"/>
        <v>5778.7053115199997</v>
      </c>
      <c r="D291" s="4">
        <v>0</v>
      </c>
      <c r="E291" s="4">
        <v>0</v>
      </c>
      <c r="F291" s="4">
        <v>3152.7645395999998</v>
      </c>
      <c r="G291" s="4">
        <v>2625.9407719199999</v>
      </c>
    </row>
    <row r="292" spans="1:7" x14ac:dyDescent="0.25">
      <c r="A292" s="1" t="s">
        <v>97</v>
      </c>
      <c r="B292" s="1">
        <v>2042</v>
      </c>
      <c r="C292" s="187">
        <f t="shared" si="4"/>
        <v>5778.7053115199997</v>
      </c>
      <c r="D292" s="4">
        <v>0</v>
      </c>
      <c r="E292" s="4">
        <v>0</v>
      </c>
      <c r="F292" s="4">
        <v>3152.7645395999998</v>
      </c>
      <c r="G292" s="4">
        <v>2625.9407719199999</v>
      </c>
    </row>
    <row r="293" spans="1:7" x14ac:dyDescent="0.25">
      <c r="A293" s="1" t="s">
        <v>97</v>
      </c>
      <c r="B293" s="1">
        <v>2043</v>
      </c>
      <c r="C293" s="187">
        <f t="shared" si="4"/>
        <v>5778.7053115199997</v>
      </c>
      <c r="D293" s="4">
        <v>0</v>
      </c>
      <c r="E293" s="4">
        <v>0</v>
      </c>
      <c r="F293" s="4">
        <v>3152.7645395999998</v>
      </c>
      <c r="G293" s="4">
        <v>2625.9407719199999</v>
      </c>
    </row>
    <row r="294" spans="1:7" x14ac:dyDescent="0.25">
      <c r="A294" s="1" t="s">
        <v>97</v>
      </c>
      <c r="B294" s="1">
        <v>2044</v>
      </c>
      <c r="C294" s="187">
        <f t="shared" si="4"/>
        <v>5778.7053105600007</v>
      </c>
      <c r="D294" s="4">
        <v>0</v>
      </c>
      <c r="E294" s="4">
        <v>0</v>
      </c>
      <c r="F294" s="4">
        <v>3152.7645391200003</v>
      </c>
      <c r="G294" s="4">
        <v>2625.9407714399999</v>
      </c>
    </row>
    <row r="295" spans="1:7" x14ac:dyDescent="0.25">
      <c r="A295" s="1" t="s">
        <v>97</v>
      </c>
      <c r="B295" s="1">
        <v>2045</v>
      </c>
      <c r="C295" s="187">
        <f t="shared" si="4"/>
        <v>5778.7053115199997</v>
      </c>
      <c r="D295" s="4">
        <v>0</v>
      </c>
      <c r="E295" s="4">
        <v>0</v>
      </c>
      <c r="F295" s="4">
        <v>3152.7645395999998</v>
      </c>
      <c r="G295" s="4">
        <v>2625.9407719199999</v>
      </c>
    </row>
    <row r="296" spans="1:7" x14ac:dyDescent="0.25">
      <c r="A296" s="1" t="s">
        <v>97</v>
      </c>
      <c r="B296" s="1">
        <v>2046</v>
      </c>
      <c r="C296" s="187">
        <f t="shared" si="4"/>
        <v>5778.7053115199997</v>
      </c>
      <c r="D296" s="4">
        <v>0</v>
      </c>
      <c r="E296" s="4">
        <v>0</v>
      </c>
      <c r="F296" s="4">
        <v>3152.7645395999998</v>
      </c>
      <c r="G296" s="4">
        <v>2625.9407719199999</v>
      </c>
    </row>
    <row r="297" spans="1:7" x14ac:dyDescent="0.25">
      <c r="A297" s="1" t="s">
        <v>97</v>
      </c>
      <c r="B297" s="1">
        <v>2047</v>
      </c>
      <c r="C297" s="187">
        <f t="shared" si="4"/>
        <v>5778.7053115199997</v>
      </c>
      <c r="D297" s="4">
        <v>0</v>
      </c>
      <c r="E297" s="4">
        <v>0</v>
      </c>
      <c r="F297" s="4">
        <v>3152.7645395999998</v>
      </c>
      <c r="G297" s="4">
        <v>2625.9407719199999</v>
      </c>
    </row>
    <row r="298" spans="1:7" x14ac:dyDescent="0.25">
      <c r="A298" s="1" t="s">
        <v>97</v>
      </c>
      <c r="B298" s="1">
        <v>2048</v>
      </c>
      <c r="C298" s="187">
        <f t="shared" si="4"/>
        <v>5778.7053105600007</v>
      </c>
      <c r="D298" s="4">
        <v>0</v>
      </c>
      <c r="E298" s="4">
        <v>0</v>
      </c>
      <c r="F298" s="4">
        <v>3152.7645391200003</v>
      </c>
      <c r="G298" s="4">
        <v>2625.9407714399999</v>
      </c>
    </row>
    <row r="299" spans="1:7" x14ac:dyDescent="0.25">
      <c r="A299" s="1" t="s">
        <v>97</v>
      </c>
      <c r="B299" s="1">
        <v>2049</v>
      </c>
      <c r="C299" s="187">
        <f t="shared" si="4"/>
        <v>5778.7053115199997</v>
      </c>
      <c r="D299" s="4">
        <v>0</v>
      </c>
      <c r="E299" s="4">
        <v>0</v>
      </c>
      <c r="F299" s="4">
        <v>3152.7645395999998</v>
      </c>
      <c r="G299" s="4">
        <v>2625.9407719199999</v>
      </c>
    </row>
    <row r="300" spans="1:7" x14ac:dyDescent="0.25">
      <c r="A300" s="1" t="s">
        <v>97</v>
      </c>
      <c r="B300" s="1">
        <v>2050</v>
      </c>
      <c r="C300" s="187">
        <f t="shared" si="4"/>
        <v>5778.7053115199997</v>
      </c>
      <c r="D300" s="4">
        <v>0</v>
      </c>
      <c r="E300" s="4">
        <v>0</v>
      </c>
      <c r="F300" s="4">
        <v>3152.7645395999998</v>
      </c>
      <c r="G300" s="4">
        <v>2625.9407719199999</v>
      </c>
    </row>
    <row r="301" spans="1:7" x14ac:dyDescent="0.25">
      <c r="A301" s="1" t="s">
        <v>97</v>
      </c>
      <c r="B301" s="1">
        <v>2051</v>
      </c>
      <c r="C301" s="187">
        <f t="shared" si="4"/>
        <v>5778.7053115199997</v>
      </c>
      <c r="D301" s="4">
        <v>0</v>
      </c>
      <c r="E301" s="4">
        <v>0</v>
      </c>
      <c r="F301" s="4">
        <v>3152.7645395999998</v>
      </c>
      <c r="G301" s="4">
        <v>2625.9407719199999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C5ACA-E631-489F-8EAA-626A5DD05D67}">
  <sheetPr>
    <tabColor rgb="FF00B0F0"/>
  </sheetPr>
  <dimension ref="A1:D301"/>
  <sheetViews>
    <sheetView workbookViewId="0">
      <selection sqref="A1:A2"/>
    </sheetView>
  </sheetViews>
  <sheetFormatPr defaultRowHeight="15" x14ac:dyDescent="0.25"/>
  <cols>
    <col min="2" max="2" width="38.5703125" customWidth="1"/>
  </cols>
  <sheetData>
    <row r="1" spans="1:4" x14ac:dyDescent="0.25">
      <c r="A1" t="s">
        <v>242</v>
      </c>
      <c r="B1" t="s">
        <v>30</v>
      </c>
      <c r="C1" t="s">
        <v>46</v>
      </c>
      <c r="D1" t="s">
        <v>31</v>
      </c>
    </row>
    <row r="2" spans="1:4" x14ac:dyDescent="0.25">
      <c r="A2">
        <f>VALUE(RIGHT(B2,4))</f>
        <v>2022</v>
      </c>
      <c r="B2" t="s">
        <v>149</v>
      </c>
      <c r="C2">
        <v>1</v>
      </c>
      <c r="D2">
        <v>9.1859999999999999</v>
      </c>
    </row>
    <row r="3" spans="1:4" x14ac:dyDescent="0.25">
      <c r="A3">
        <f t="shared" ref="A3:A66" si="0">VALUE(RIGHT(B3,4))</f>
        <v>2022</v>
      </c>
      <c r="B3" t="s">
        <v>149</v>
      </c>
      <c r="C3">
        <v>2</v>
      </c>
      <c r="D3">
        <v>9.1859999999999999</v>
      </c>
    </row>
    <row r="4" spans="1:4" x14ac:dyDescent="0.25">
      <c r="A4">
        <f t="shared" si="0"/>
        <v>2022</v>
      </c>
      <c r="B4" t="s">
        <v>149</v>
      </c>
      <c r="C4">
        <v>3</v>
      </c>
      <c r="D4">
        <v>9.1859999999999999</v>
      </c>
    </row>
    <row r="5" spans="1:4" x14ac:dyDescent="0.25">
      <c r="A5">
        <f t="shared" si="0"/>
        <v>2022</v>
      </c>
      <c r="B5" t="s">
        <v>149</v>
      </c>
      <c r="C5">
        <v>4</v>
      </c>
      <c r="D5">
        <v>9.1859999999999999</v>
      </c>
    </row>
    <row r="6" spans="1:4" x14ac:dyDescent="0.25">
      <c r="A6">
        <f t="shared" si="0"/>
        <v>2022</v>
      </c>
      <c r="B6" t="s">
        <v>149</v>
      </c>
      <c r="C6">
        <v>5</v>
      </c>
      <c r="D6">
        <v>9.1859999999999999</v>
      </c>
    </row>
    <row r="7" spans="1:4" x14ac:dyDescent="0.25">
      <c r="A7">
        <f t="shared" si="0"/>
        <v>2022</v>
      </c>
      <c r="B7" t="s">
        <v>149</v>
      </c>
      <c r="C7">
        <v>6</v>
      </c>
      <c r="D7">
        <v>9.1859999999999999</v>
      </c>
    </row>
    <row r="8" spans="1:4" x14ac:dyDescent="0.25">
      <c r="A8">
        <f t="shared" si="0"/>
        <v>2022</v>
      </c>
      <c r="B8" t="s">
        <v>149</v>
      </c>
      <c r="C8">
        <v>7</v>
      </c>
      <c r="D8">
        <v>9.1859999999999999</v>
      </c>
    </row>
    <row r="9" spans="1:4" x14ac:dyDescent="0.25">
      <c r="A9">
        <f t="shared" si="0"/>
        <v>2022</v>
      </c>
      <c r="B9" t="s">
        <v>149</v>
      </c>
      <c r="C9">
        <v>8</v>
      </c>
      <c r="D9">
        <v>4.6360000000000001</v>
      </c>
    </row>
    <row r="10" spans="1:4" x14ac:dyDescent="0.25">
      <c r="A10">
        <f t="shared" si="0"/>
        <v>2022</v>
      </c>
      <c r="B10" t="s">
        <v>149</v>
      </c>
      <c r="C10">
        <v>9</v>
      </c>
      <c r="D10">
        <v>14.186</v>
      </c>
    </row>
    <row r="11" spans="1:4" x14ac:dyDescent="0.25">
      <c r="A11">
        <f t="shared" si="0"/>
        <v>2022</v>
      </c>
      <c r="B11" t="s">
        <v>149</v>
      </c>
      <c r="C11">
        <v>10</v>
      </c>
      <c r="D11">
        <v>9.1859999999999999</v>
      </c>
    </row>
    <row r="12" spans="1:4" x14ac:dyDescent="0.25">
      <c r="A12">
        <f t="shared" si="0"/>
        <v>2023</v>
      </c>
      <c r="B12" t="s">
        <v>150</v>
      </c>
      <c r="C12">
        <v>1</v>
      </c>
      <c r="D12">
        <v>10.097</v>
      </c>
    </row>
    <row r="13" spans="1:4" x14ac:dyDescent="0.25">
      <c r="A13">
        <f t="shared" si="0"/>
        <v>2023</v>
      </c>
      <c r="B13" t="s">
        <v>150</v>
      </c>
      <c r="C13">
        <v>2</v>
      </c>
      <c r="D13">
        <v>10.097</v>
      </c>
    </row>
    <row r="14" spans="1:4" x14ac:dyDescent="0.25">
      <c r="A14">
        <f t="shared" si="0"/>
        <v>2023</v>
      </c>
      <c r="B14" t="s">
        <v>150</v>
      </c>
      <c r="C14">
        <v>3</v>
      </c>
      <c r="D14">
        <v>10.097</v>
      </c>
    </row>
    <row r="15" spans="1:4" x14ac:dyDescent="0.25">
      <c r="A15">
        <f t="shared" si="0"/>
        <v>2023</v>
      </c>
      <c r="B15" t="s">
        <v>150</v>
      </c>
      <c r="C15">
        <v>4</v>
      </c>
      <c r="D15">
        <v>10.097</v>
      </c>
    </row>
    <row r="16" spans="1:4" x14ac:dyDescent="0.25">
      <c r="A16">
        <f t="shared" si="0"/>
        <v>2023</v>
      </c>
      <c r="B16" t="s">
        <v>150</v>
      </c>
      <c r="C16">
        <v>5</v>
      </c>
      <c r="D16">
        <v>10.097</v>
      </c>
    </row>
    <row r="17" spans="1:4" x14ac:dyDescent="0.25">
      <c r="A17">
        <f t="shared" si="0"/>
        <v>2023</v>
      </c>
      <c r="B17" t="s">
        <v>150</v>
      </c>
      <c r="C17">
        <v>6</v>
      </c>
      <c r="D17">
        <v>10.097</v>
      </c>
    </row>
    <row r="18" spans="1:4" x14ac:dyDescent="0.25">
      <c r="A18">
        <f t="shared" si="0"/>
        <v>2023</v>
      </c>
      <c r="B18" t="s">
        <v>150</v>
      </c>
      <c r="C18">
        <v>7</v>
      </c>
      <c r="D18">
        <v>10.097</v>
      </c>
    </row>
    <row r="19" spans="1:4" x14ac:dyDescent="0.25">
      <c r="A19">
        <f t="shared" si="0"/>
        <v>2023</v>
      </c>
      <c r="B19" t="s">
        <v>150</v>
      </c>
      <c r="C19">
        <v>8</v>
      </c>
      <c r="D19">
        <v>5.5469999999999997</v>
      </c>
    </row>
    <row r="20" spans="1:4" x14ac:dyDescent="0.25">
      <c r="A20">
        <f t="shared" si="0"/>
        <v>2023</v>
      </c>
      <c r="B20" t="s">
        <v>150</v>
      </c>
      <c r="C20">
        <v>9</v>
      </c>
      <c r="D20">
        <v>15.097</v>
      </c>
    </row>
    <row r="21" spans="1:4" x14ac:dyDescent="0.25">
      <c r="A21">
        <f t="shared" si="0"/>
        <v>2023</v>
      </c>
      <c r="B21" t="s">
        <v>150</v>
      </c>
      <c r="C21">
        <v>10</v>
      </c>
      <c r="D21">
        <v>10.097</v>
      </c>
    </row>
    <row r="22" spans="1:4" x14ac:dyDescent="0.25">
      <c r="A22">
        <f t="shared" si="0"/>
        <v>2024</v>
      </c>
      <c r="B22" t="s">
        <v>151</v>
      </c>
      <c r="C22">
        <v>1</v>
      </c>
      <c r="D22">
        <v>11.236000000000001</v>
      </c>
    </row>
    <row r="23" spans="1:4" x14ac:dyDescent="0.25">
      <c r="A23">
        <f t="shared" si="0"/>
        <v>2024</v>
      </c>
      <c r="B23" t="s">
        <v>151</v>
      </c>
      <c r="C23">
        <v>2</v>
      </c>
      <c r="D23">
        <v>11.236000000000001</v>
      </c>
    </row>
    <row r="24" spans="1:4" x14ac:dyDescent="0.25">
      <c r="A24">
        <f t="shared" si="0"/>
        <v>2024</v>
      </c>
      <c r="B24" t="s">
        <v>151</v>
      </c>
      <c r="C24">
        <v>3</v>
      </c>
      <c r="D24">
        <v>11.236000000000001</v>
      </c>
    </row>
    <row r="25" spans="1:4" x14ac:dyDescent="0.25">
      <c r="A25">
        <f t="shared" si="0"/>
        <v>2024</v>
      </c>
      <c r="B25" t="s">
        <v>151</v>
      </c>
      <c r="C25">
        <v>4</v>
      </c>
      <c r="D25">
        <v>11.236000000000001</v>
      </c>
    </row>
    <row r="26" spans="1:4" x14ac:dyDescent="0.25">
      <c r="A26">
        <f t="shared" si="0"/>
        <v>2024</v>
      </c>
      <c r="B26" t="s">
        <v>151</v>
      </c>
      <c r="C26">
        <v>5</v>
      </c>
      <c r="D26">
        <v>11.236000000000001</v>
      </c>
    </row>
    <row r="27" spans="1:4" x14ac:dyDescent="0.25">
      <c r="A27">
        <f t="shared" si="0"/>
        <v>2024</v>
      </c>
      <c r="B27" t="s">
        <v>151</v>
      </c>
      <c r="C27">
        <v>6</v>
      </c>
      <c r="D27">
        <v>11.236000000000001</v>
      </c>
    </row>
    <row r="28" spans="1:4" x14ac:dyDescent="0.25">
      <c r="A28">
        <f t="shared" si="0"/>
        <v>2024</v>
      </c>
      <c r="B28" t="s">
        <v>151</v>
      </c>
      <c r="C28">
        <v>7</v>
      </c>
      <c r="D28">
        <v>11.236000000000001</v>
      </c>
    </row>
    <row r="29" spans="1:4" x14ac:dyDescent="0.25">
      <c r="A29">
        <f t="shared" si="0"/>
        <v>2024</v>
      </c>
      <c r="B29" t="s">
        <v>151</v>
      </c>
      <c r="C29">
        <v>8</v>
      </c>
      <c r="D29">
        <v>6.6859999999999999</v>
      </c>
    </row>
    <row r="30" spans="1:4" x14ac:dyDescent="0.25">
      <c r="A30">
        <f t="shared" si="0"/>
        <v>2024</v>
      </c>
      <c r="B30" t="s">
        <v>151</v>
      </c>
      <c r="C30">
        <v>9</v>
      </c>
      <c r="D30">
        <v>16.236000000000001</v>
      </c>
    </row>
    <row r="31" spans="1:4" x14ac:dyDescent="0.25">
      <c r="A31">
        <f t="shared" si="0"/>
        <v>2024</v>
      </c>
      <c r="B31" t="s">
        <v>151</v>
      </c>
      <c r="C31">
        <v>10</v>
      </c>
      <c r="D31">
        <v>11.236000000000001</v>
      </c>
    </row>
    <row r="32" spans="1:4" x14ac:dyDescent="0.25">
      <c r="A32">
        <f t="shared" si="0"/>
        <v>2025</v>
      </c>
      <c r="B32" t="s">
        <v>152</v>
      </c>
      <c r="C32">
        <v>1</v>
      </c>
      <c r="D32">
        <v>10.804</v>
      </c>
    </row>
    <row r="33" spans="1:4" x14ac:dyDescent="0.25">
      <c r="A33">
        <f t="shared" si="0"/>
        <v>2025</v>
      </c>
      <c r="B33" t="s">
        <v>152</v>
      </c>
      <c r="C33">
        <v>2</v>
      </c>
      <c r="D33">
        <v>10.804</v>
      </c>
    </row>
    <row r="34" spans="1:4" x14ac:dyDescent="0.25">
      <c r="A34">
        <f t="shared" si="0"/>
        <v>2025</v>
      </c>
      <c r="B34" t="s">
        <v>152</v>
      </c>
      <c r="C34">
        <v>3</v>
      </c>
      <c r="D34">
        <v>10.804</v>
      </c>
    </row>
    <row r="35" spans="1:4" x14ac:dyDescent="0.25">
      <c r="A35">
        <f t="shared" si="0"/>
        <v>2025</v>
      </c>
      <c r="B35" t="s">
        <v>152</v>
      </c>
      <c r="C35">
        <v>4</v>
      </c>
      <c r="D35">
        <v>10.804</v>
      </c>
    </row>
    <row r="36" spans="1:4" x14ac:dyDescent="0.25">
      <c r="A36">
        <f t="shared" si="0"/>
        <v>2025</v>
      </c>
      <c r="B36" t="s">
        <v>152</v>
      </c>
      <c r="C36">
        <v>5</v>
      </c>
      <c r="D36">
        <v>10.804</v>
      </c>
    </row>
    <row r="37" spans="1:4" x14ac:dyDescent="0.25">
      <c r="A37">
        <f t="shared" si="0"/>
        <v>2025</v>
      </c>
      <c r="B37" t="s">
        <v>152</v>
      </c>
      <c r="C37">
        <v>6</v>
      </c>
      <c r="D37">
        <v>10.804</v>
      </c>
    </row>
    <row r="38" spans="1:4" x14ac:dyDescent="0.25">
      <c r="A38">
        <f t="shared" si="0"/>
        <v>2025</v>
      </c>
      <c r="B38" t="s">
        <v>152</v>
      </c>
      <c r="C38">
        <v>7</v>
      </c>
      <c r="D38">
        <v>10.804</v>
      </c>
    </row>
    <row r="39" spans="1:4" x14ac:dyDescent="0.25">
      <c r="A39">
        <f t="shared" si="0"/>
        <v>2025</v>
      </c>
      <c r="B39" t="s">
        <v>152</v>
      </c>
      <c r="C39">
        <v>8</v>
      </c>
      <c r="D39">
        <v>6.2539999999999996</v>
      </c>
    </row>
    <row r="40" spans="1:4" x14ac:dyDescent="0.25">
      <c r="A40">
        <f t="shared" si="0"/>
        <v>2025</v>
      </c>
      <c r="B40" t="s">
        <v>152</v>
      </c>
      <c r="C40">
        <v>9</v>
      </c>
      <c r="D40">
        <v>15.804</v>
      </c>
    </row>
    <row r="41" spans="1:4" x14ac:dyDescent="0.25">
      <c r="A41">
        <f t="shared" si="0"/>
        <v>2025</v>
      </c>
      <c r="B41" t="s">
        <v>152</v>
      </c>
      <c r="C41">
        <v>10</v>
      </c>
      <c r="D41">
        <v>10.804</v>
      </c>
    </row>
    <row r="42" spans="1:4" x14ac:dyDescent="0.25">
      <c r="A42">
        <f t="shared" si="0"/>
        <v>2026</v>
      </c>
      <c r="B42" t="s">
        <v>153</v>
      </c>
      <c r="C42">
        <v>1</v>
      </c>
      <c r="D42">
        <v>11.374000000000001</v>
      </c>
    </row>
    <row r="43" spans="1:4" x14ac:dyDescent="0.25">
      <c r="A43">
        <f t="shared" si="0"/>
        <v>2026</v>
      </c>
      <c r="B43" t="s">
        <v>153</v>
      </c>
      <c r="C43">
        <v>2</v>
      </c>
      <c r="D43">
        <v>11.374000000000001</v>
      </c>
    </row>
    <row r="44" spans="1:4" x14ac:dyDescent="0.25">
      <c r="A44">
        <f t="shared" si="0"/>
        <v>2026</v>
      </c>
      <c r="B44" t="s">
        <v>153</v>
      </c>
      <c r="C44">
        <v>3</v>
      </c>
      <c r="D44">
        <v>11.374000000000001</v>
      </c>
    </row>
    <row r="45" spans="1:4" x14ac:dyDescent="0.25">
      <c r="A45">
        <f t="shared" si="0"/>
        <v>2026</v>
      </c>
      <c r="B45" t="s">
        <v>153</v>
      </c>
      <c r="C45">
        <v>4</v>
      </c>
      <c r="D45">
        <v>11.374000000000001</v>
      </c>
    </row>
    <row r="46" spans="1:4" x14ac:dyDescent="0.25">
      <c r="A46">
        <f t="shared" si="0"/>
        <v>2026</v>
      </c>
      <c r="B46" t="s">
        <v>153</v>
      </c>
      <c r="C46">
        <v>5</v>
      </c>
      <c r="D46">
        <v>11.374000000000001</v>
      </c>
    </row>
    <row r="47" spans="1:4" x14ac:dyDescent="0.25">
      <c r="A47">
        <f t="shared" si="0"/>
        <v>2026</v>
      </c>
      <c r="B47" t="s">
        <v>153</v>
      </c>
      <c r="C47">
        <v>6</v>
      </c>
      <c r="D47">
        <v>11.374000000000001</v>
      </c>
    </row>
    <row r="48" spans="1:4" x14ac:dyDescent="0.25">
      <c r="A48">
        <f t="shared" si="0"/>
        <v>2026</v>
      </c>
      <c r="B48" t="s">
        <v>153</v>
      </c>
      <c r="C48">
        <v>7</v>
      </c>
      <c r="D48">
        <v>11.374000000000001</v>
      </c>
    </row>
    <row r="49" spans="1:4" x14ac:dyDescent="0.25">
      <c r="A49">
        <f t="shared" si="0"/>
        <v>2026</v>
      </c>
      <c r="B49" t="s">
        <v>153</v>
      </c>
      <c r="C49">
        <v>8</v>
      </c>
      <c r="D49">
        <v>6.8239999999999998</v>
      </c>
    </row>
    <row r="50" spans="1:4" x14ac:dyDescent="0.25">
      <c r="A50">
        <f t="shared" si="0"/>
        <v>2026</v>
      </c>
      <c r="B50" t="s">
        <v>153</v>
      </c>
      <c r="C50">
        <v>9</v>
      </c>
      <c r="D50">
        <v>16.373999999999999</v>
      </c>
    </row>
    <row r="51" spans="1:4" x14ac:dyDescent="0.25">
      <c r="A51">
        <f t="shared" si="0"/>
        <v>2026</v>
      </c>
      <c r="B51" t="s">
        <v>153</v>
      </c>
      <c r="C51">
        <v>10</v>
      </c>
      <c r="D51">
        <v>11.374000000000001</v>
      </c>
    </row>
    <row r="52" spans="1:4" x14ac:dyDescent="0.25">
      <c r="A52">
        <f t="shared" si="0"/>
        <v>2027</v>
      </c>
      <c r="B52" t="s">
        <v>154</v>
      </c>
      <c r="C52">
        <v>1</v>
      </c>
      <c r="D52">
        <v>11.423999999999999</v>
      </c>
    </row>
    <row r="53" spans="1:4" x14ac:dyDescent="0.25">
      <c r="A53">
        <f t="shared" si="0"/>
        <v>2027</v>
      </c>
      <c r="B53" t="s">
        <v>154</v>
      </c>
      <c r="C53">
        <v>2</v>
      </c>
      <c r="D53">
        <v>11.423999999999999</v>
      </c>
    </row>
    <row r="54" spans="1:4" x14ac:dyDescent="0.25">
      <c r="A54">
        <f t="shared" si="0"/>
        <v>2027</v>
      </c>
      <c r="B54" t="s">
        <v>154</v>
      </c>
      <c r="C54">
        <v>3</v>
      </c>
      <c r="D54">
        <v>11.423999999999999</v>
      </c>
    </row>
    <row r="55" spans="1:4" x14ac:dyDescent="0.25">
      <c r="A55">
        <f t="shared" si="0"/>
        <v>2027</v>
      </c>
      <c r="B55" t="s">
        <v>154</v>
      </c>
      <c r="C55">
        <v>4</v>
      </c>
      <c r="D55">
        <v>11.423999999999999</v>
      </c>
    </row>
    <row r="56" spans="1:4" x14ac:dyDescent="0.25">
      <c r="A56">
        <f t="shared" si="0"/>
        <v>2027</v>
      </c>
      <c r="B56" t="s">
        <v>154</v>
      </c>
      <c r="C56">
        <v>5</v>
      </c>
      <c r="D56">
        <v>11.423999999999999</v>
      </c>
    </row>
    <row r="57" spans="1:4" x14ac:dyDescent="0.25">
      <c r="A57">
        <f t="shared" si="0"/>
        <v>2027</v>
      </c>
      <c r="B57" t="s">
        <v>154</v>
      </c>
      <c r="C57">
        <v>6</v>
      </c>
      <c r="D57">
        <v>11.423999999999999</v>
      </c>
    </row>
    <row r="58" spans="1:4" x14ac:dyDescent="0.25">
      <c r="A58">
        <f t="shared" si="0"/>
        <v>2027</v>
      </c>
      <c r="B58" t="s">
        <v>154</v>
      </c>
      <c r="C58">
        <v>7</v>
      </c>
      <c r="D58">
        <v>11.423999999999999</v>
      </c>
    </row>
    <row r="59" spans="1:4" x14ac:dyDescent="0.25">
      <c r="A59">
        <f t="shared" si="0"/>
        <v>2027</v>
      </c>
      <c r="B59" t="s">
        <v>154</v>
      </c>
      <c r="C59">
        <v>8</v>
      </c>
      <c r="D59">
        <v>6.8739999999999997</v>
      </c>
    </row>
    <row r="60" spans="1:4" x14ac:dyDescent="0.25">
      <c r="A60">
        <f t="shared" si="0"/>
        <v>2027</v>
      </c>
      <c r="B60" t="s">
        <v>154</v>
      </c>
      <c r="C60">
        <v>9</v>
      </c>
      <c r="D60">
        <v>16.423999999999999</v>
      </c>
    </row>
    <row r="61" spans="1:4" x14ac:dyDescent="0.25">
      <c r="A61">
        <f t="shared" si="0"/>
        <v>2027</v>
      </c>
      <c r="B61" t="s">
        <v>154</v>
      </c>
      <c r="C61">
        <v>10</v>
      </c>
      <c r="D61">
        <v>11.423999999999999</v>
      </c>
    </row>
    <row r="62" spans="1:4" x14ac:dyDescent="0.25">
      <c r="A62">
        <f t="shared" si="0"/>
        <v>2028</v>
      </c>
      <c r="B62" t="s">
        <v>155</v>
      </c>
      <c r="C62">
        <v>1</v>
      </c>
      <c r="D62">
        <v>11.368</v>
      </c>
    </row>
    <row r="63" spans="1:4" x14ac:dyDescent="0.25">
      <c r="A63">
        <f t="shared" si="0"/>
        <v>2028</v>
      </c>
      <c r="B63" t="s">
        <v>155</v>
      </c>
      <c r="C63">
        <v>2</v>
      </c>
      <c r="D63">
        <v>11.368</v>
      </c>
    </row>
    <row r="64" spans="1:4" x14ac:dyDescent="0.25">
      <c r="A64">
        <f t="shared" si="0"/>
        <v>2028</v>
      </c>
      <c r="B64" t="s">
        <v>155</v>
      </c>
      <c r="C64">
        <v>3</v>
      </c>
      <c r="D64">
        <v>11.368</v>
      </c>
    </row>
    <row r="65" spans="1:4" x14ac:dyDescent="0.25">
      <c r="A65">
        <f t="shared" si="0"/>
        <v>2028</v>
      </c>
      <c r="B65" t="s">
        <v>155</v>
      </c>
      <c r="C65">
        <v>4</v>
      </c>
      <c r="D65">
        <v>11.368</v>
      </c>
    </row>
    <row r="66" spans="1:4" x14ac:dyDescent="0.25">
      <c r="A66">
        <f t="shared" si="0"/>
        <v>2028</v>
      </c>
      <c r="B66" t="s">
        <v>155</v>
      </c>
      <c r="C66">
        <v>5</v>
      </c>
      <c r="D66">
        <v>11.368</v>
      </c>
    </row>
    <row r="67" spans="1:4" x14ac:dyDescent="0.25">
      <c r="A67">
        <f t="shared" ref="A67:A130" si="1">VALUE(RIGHT(B67,4))</f>
        <v>2028</v>
      </c>
      <c r="B67" t="s">
        <v>155</v>
      </c>
      <c r="C67">
        <v>6</v>
      </c>
      <c r="D67">
        <v>11.368</v>
      </c>
    </row>
    <row r="68" spans="1:4" x14ac:dyDescent="0.25">
      <c r="A68">
        <f t="shared" si="1"/>
        <v>2028</v>
      </c>
      <c r="B68" t="s">
        <v>155</v>
      </c>
      <c r="C68">
        <v>7</v>
      </c>
      <c r="D68">
        <v>11.368</v>
      </c>
    </row>
    <row r="69" spans="1:4" x14ac:dyDescent="0.25">
      <c r="A69">
        <f t="shared" si="1"/>
        <v>2028</v>
      </c>
      <c r="B69" t="s">
        <v>155</v>
      </c>
      <c r="C69">
        <v>8</v>
      </c>
      <c r="D69">
        <v>6.8179999999999996</v>
      </c>
    </row>
    <row r="70" spans="1:4" x14ac:dyDescent="0.25">
      <c r="A70">
        <f t="shared" si="1"/>
        <v>2028</v>
      </c>
      <c r="B70" t="s">
        <v>155</v>
      </c>
      <c r="C70">
        <v>9</v>
      </c>
      <c r="D70">
        <v>16.367999999999999</v>
      </c>
    </row>
    <row r="71" spans="1:4" x14ac:dyDescent="0.25">
      <c r="A71">
        <f t="shared" si="1"/>
        <v>2028</v>
      </c>
      <c r="B71" t="s">
        <v>155</v>
      </c>
      <c r="C71">
        <v>10</v>
      </c>
      <c r="D71">
        <v>11.368</v>
      </c>
    </row>
    <row r="72" spans="1:4" x14ac:dyDescent="0.25">
      <c r="A72">
        <f t="shared" si="1"/>
        <v>2029</v>
      </c>
      <c r="B72" t="s">
        <v>156</v>
      </c>
      <c r="C72">
        <v>1</v>
      </c>
      <c r="D72">
        <v>11.327999999999999</v>
      </c>
    </row>
    <row r="73" spans="1:4" x14ac:dyDescent="0.25">
      <c r="A73">
        <f t="shared" si="1"/>
        <v>2029</v>
      </c>
      <c r="B73" t="s">
        <v>156</v>
      </c>
      <c r="C73">
        <v>2</v>
      </c>
      <c r="D73">
        <v>11.327999999999999</v>
      </c>
    </row>
    <row r="74" spans="1:4" x14ac:dyDescent="0.25">
      <c r="A74">
        <f t="shared" si="1"/>
        <v>2029</v>
      </c>
      <c r="B74" t="s">
        <v>156</v>
      </c>
      <c r="C74">
        <v>3</v>
      </c>
      <c r="D74">
        <v>11.327999999999999</v>
      </c>
    </row>
    <row r="75" spans="1:4" x14ac:dyDescent="0.25">
      <c r="A75">
        <f t="shared" si="1"/>
        <v>2029</v>
      </c>
      <c r="B75" t="s">
        <v>156</v>
      </c>
      <c r="C75">
        <v>4</v>
      </c>
      <c r="D75">
        <v>11.327999999999999</v>
      </c>
    </row>
    <row r="76" spans="1:4" x14ac:dyDescent="0.25">
      <c r="A76">
        <f t="shared" si="1"/>
        <v>2029</v>
      </c>
      <c r="B76" t="s">
        <v>156</v>
      </c>
      <c r="C76">
        <v>5</v>
      </c>
      <c r="D76">
        <v>11.327999999999999</v>
      </c>
    </row>
    <row r="77" spans="1:4" x14ac:dyDescent="0.25">
      <c r="A77">
        <f t="shared" si="1"/>
        <v>2029</v>
      </c>
      <c r="B77" t="s">
        <v>156</v>
      </c>
      <c r="C77">
        <v>6</v>
      </c>
      <c r="D77">
        <v>11.327999999999999</v>
      </c>
    </row>
    <row r="78" spans="1:4" x14ac:dyDescent="0.25">
      <c r="A78">
        <f t="shared" si="1"/>
        <v>2029</v>
      </c>
      <c r="B78" t="s">
        <v>156</v>
      </c>
      <c r="C78">
        <v>7</v>
      </c>
      <c r="D78">
        <v>11.327999999999999</v>
      </c>
    </row>
    <row r="79" spans="1:4" x14ac:dyDescent="0.25">
      <c r="A79">
        <f t="shared" si="1"/>
        <v>2029</v>
      </c>
      <c r="B79" t="s">
        <v>156</v>
      </c>
      <c r="C79">
        <v>8</v>
      </c>
      <c r="D79">
        <v>6.7779999999999996</v>
      </c>
    </row>
    <row r="80" spans="1:4" x14ac:dyDescent="0.25">
      <c r="A80">
        <f t="shared" si="1"/>
        <v>2029</v>
      </c>
      <c r="B80" t="s">
        <v>156</v>
      </c>
      <c r="C80">
        <v>9</v>
      </c>
      <c r="D80">
        <v>16.327999999999999</v>
      </c>
    </row>
    <row r="81" spans="1:4" x14ac:dyDescent="0.25">
      <c r="A81">
        <f t="shared" si="1"/>
        <v>2029</v>
      </c>
      <c r="B81" t="s">
        <v>156</v>
      </c>
      <c r="C81">
        <v>10</v>
      </c>
      <c r="D81">
        <v>11.327999999999999</v>
      </c>
    </row>
    <row r="82" spans="1:4" x14ac:dyDescent="0.25">
      <c r="A82">
        <f t="shared" si="1"/>
        <v>2030</v>
      </c>
      <c r="B82" t="s">
        <v>157</v>
      </c>
      <c r="C82">
        <v>1</v>
      </c>
      <c r="D82">
        <v>11.337</v>
      </c>
    </row>
    <row r="83" spans="1:4" x14ac:dyDescent="0.25">
      <c r="A83">
        <f t="shared" si="1"/>
        <v>2030</v>
      </c>
      <c r="B83" t="s">
        <v>157</v>
      </c>
      <c r="C83">
        <v>2</v>
      </c>
      <c r="D83">
        <v>11.337</v>
      </c>
    </row>
    <row r="84" spans="1:4" x14ac:dyDescent="0.25">
      <c r="A84">
        <f t="shared" si="1"/>
        <v>2030</v>
      </c>
      <c r="B84" t="s">
        <v>157</v>
      </c>
      <c r="C84">
        <v>3</v>
      </c>
      <c r="D84">
        <v>11.337</v>
      </c>
    </row>
    <row r="85" spans="1:4" x14ac:dyDescent="0.25">
      <c r="A85">
        <f t="shared" si="1"/>
        <v>2030</v>
      </c>
      <c r="B85" t="s">
        <v>157</v>
      </c>
      <c r="C85">
        <v>4</v>
      </c>
      <c r="D85">
        <v>11.337</v>
      </c>
    </row>
    <row r="86" spans="1:4" x14ac:dyDescent="0.25">
      <c r="A86">
        <f t="shared" si="1"/>
        <v>2030</v>
      </c>
      <c r="B86" t="s">
        <v>157</v>
      </c>
      <c r="C86">
        <v>5</v>
      </c>
      <c r="D86">
        <v>11.337</v>
      </c>
    </row>
    <row r="87" spans="1:4" x14ac:dyDescent="0.25">
      <c r="A87">
        <f t="shared" si="1"/>
        <v>2030</v>
      </c>
      <c r="B87" t="s">
        <v>157</v>
      </c>
      <c r="C87">
        <v>6</v>
      </c>
      <c r="D87">
        <v>11.337</v>
      </c>
    </row>
    <row r="88" spans="1:4" x14ac:dyDescent="0.25">
      <c r="A88">
        <f t="shared" si="1"/>
        <v>2030</v>
      </c>
      <c r="B88" t="s">
        <v>157</v>
      </c>
      <c r="C88">
        <v>7</v>
      </c>
      <c r="D88">
        <v>11.337</v>
      </c>
    </row>
    <row r="89" spans="1:4" x14ac:dyDescent="0.25">
      <c r="A89">
        <f t="shared" si="1"/>
        <v>2030</v>
      </c>
      <c r="B89" t="s">
        <v>157</v>
      </c>
      <c r="C89">
        <v>8</v>
      </c>
      <c r="D89">
        <v>6.7869999999999999</v>
      </c>
    </row>
    <row r="90" spans="1:4" x14ac:dyDescent="0.25">
      <c r="A90">
        <f t="shared" si="1"/>
        <v>2030</v>
      </c>
      <c r="B90" t="s">
        <v>157</v>
      </c>
      <c r="C90">
        <v>9</v>
      </c>
      <c r="D90">
        <v>16.337</v>
      </c>
    </row>
    <row r="91" spans="1:4" x14ac:dyDescent="0.25">
      <c r="A91">
        <f t="shared" si="1"/>
        <v>2030</v>
      </c>
      <c r="B91" t="s">
        <v>157</v>
      </c>
      <c r="C91">
        <v>10</v>
      </c>
      <c r="D91">
        <v>11.337</v>
      </c>
    </row>
    <row r="92" spans="1:4" x14ac:dyDescent="0.25">
      <c r="A92">
        <f t="shared" si="1"/>
        <v>2031</v>
      </c>
      <c r="B92" t="s">
        <v>158</v>
      </c>
      <c r="C92">
        <v>1</v>
      </c>
      <c r="D92">
        <v>11.319000000000001</v>
      </c>
    </row>
    <row r="93" spans="1:4" x14ac:dyDescent="0.25">
      <c r="A93">
        <f t="shared" si="1"/>
        <v>2031</v>
      </c>
      <c r="B93" t="s">
        <v>158</v>
      </c>
      <c r="C93">
        <v>2</v>
      </c>
      <c r="D93">
        <v>11.319000000000001</v>
      </c>
    </row>
    <row r="94" spans="1:4" x14ac:dyDescent="0.25">
      <c r="A94">
        <f t="shared" si="1"/>
        <v>2031</v>
      </c>
      <c r="B94" t="s">
        <v>158</v>
      </c>
      <c r="C94">
        <v>3</v>
      </c>
      <c r="D94">
        <v>11.319000000000001</v>
      </c>
    </row>
    <row r="95" spans="1:4" x14ac:dyDescent="0.25">
      <c r="A95">
        <f t="shared" si="1"/>
        <v>2031</v>
      </c>
      <c r="B95" t="s">
        <v>158</v>
      </c>
      <c r="C95">
        <v>4</v>
      </c>
      <c r="D95">
        <v>11.319000000000001</v>
      </c>
    </row>
    <row r="96" spans="1:4" x14ac:dyDescent="0.25">
      <c r="A96">
        <f t="shared" si="1"/>
        <v>2031</v>
      </c>
      <c r="B96" t="s">
        <v>158</v>
      </c>
      <c r="C96">
        <v>5</v>
      </c>
      <c r="D96">
        <v>11.319000000000001</v>
      </c>
    </row>
    <row r="97" spans="1:4" x14ac:dyDescent="0.25">
      <c r="A97">
        <f t="shared" si="1"/>
        <v>2031</v>
      </c>
      <c r="B97" t="s">
        <v>158</v>
      </c>
      <c r="C97">
        <v>6</v>
      </c>
      <c r="D97">
        <v>11.319000000000001</v>
      </c>
    </row>
    <row r="98" spans="1:4" x14ac:dyDescent="0.25">
      <c r="A98">
        <f t="shared" si="1"/>
        <v>2031</v>
      </c>
      <c r="B98" t="s">
        <v>158</v>
      </c>
      <c r="C98">
        <v>7</v>
      </c>
      <c r="D98">
        <v>11.319000000000001</v>
      </c>
    </row>
    <row r="99" spans="1:4" x14ac:dyDescent="0.25">
      <c r="A99">
        <f t="shared" si="1"/>
        <v>2031</v>
      </c>
      <c r="B99" t="s">
        <v>158</v>
      </c>
      <c r="C99">
        <v>8</v>
      </c>
      <c r="D99">
        <v>6.7690000000000001</v>
      </c>
    </row>
    <row r="100" spans="1:4" x14ac:dyDescent="0.25">
      <c r="A100">
        <f t="shared" si="1"/>
        <v>2031</v>
      </c>
      <c r="B100" t="s">
        <v>158</v>
      </c>
      <c r="C100">
        <v>9</v>
      </c>
      <c r="D100">
        <v>16.318999999999999</v>
      </c>
    </row>
    <row r="101" spans="1:4" x14ac:dyDescent="0.25">
      <c r="A101">
        <f t="shared" si="1"/>
        <v>2031</v>
      </c>
      <c r="B101" t="s">
        <v>158</v>
      </c>
      <c r="C101">
        <v>10</v>
      </c>
      <c r="D101">
        <v>11.319000000000001</v>
      </c>
    </row>
    <row r="102" spans="1:4" x14ac:dyDescent="0.25">
      <c r="A102">
        <f t="shared" si="1"/>
        <v>2032</v>
      </c>
      <c r="B102" t="s">
        <v>159</v>
      </c>
      <c r="C102">
        <v>1</v>
      </c>
      <c r="D102">
        <v>11.303000000000001</v>
      </c>
    </row>
    <row r="103" spans="1:4" x14ac:dyDescent="0.25">
      <c r="A103">
        <f t="shared" si="1"/>
        <v>2032</v>
      </c>
      <c r="B103" t="s">
        <v>159</v>
      </c>
      <c r="C103">
        <v>2</v>
      </c>
      <c r="D103">
        <v>11.303000000000001</v>
      </c>
    </row>
    <row r="104" spans="1:4" x14ac:dyDescent="0.25">
      <c r="A104">
        <f t="shared" si="1"/>
        <v>2032</v>
      </c>
      <c r="B104" t="s">
        <v>159</v>
      </c>
      <c r="C104">
        <v>3</v>
      </c>
      <c r="D104">
        <v>11.303000000000001</v>
      </c>
    </row>
    <row r="105" spans="1:4" x14ac:dyDescent="0.25">
      <c r="A105">
        <f t="shared" si="1"/>
        <v>2032</v>
      </c>
      <c r="B105" t="s">
        <v>159</v>
      </c>
      <c r="C105">
        <v>4</v>
      </c>
      <c r="D105">
        <v>11.303000000000001</v>
      </c>
    </row>
    <row r="106" spans="1:4" x14ac:dyDescent="0.25">
      <c r="A106">
        <f t="shared" si="1"/>
        <v>2032</v>
      </c>
      <c r="B106" t="s">
        <v>159</v>
      </c>
      <c r="C106">
        <v>5</v>
      </c>
      <c r="D106">
        <v>11.303000000000001</v>
      </c>
    </row>
    <row r="107" spans="1:4" x14ac:dyDescent="0.25">
      <c r="A107">
        <f t="shared" si="1"/>
        <v>2032</v>
      </c>
      <c r="B107" t="s">
        <v>159</v>
      </c>
      <c r="C107">
        <v>6</v>
      </c>
      <c r="D107">
        <v>11.303000000000001</v>
      </c>
    </row>
    <row r="108" spans="1:4" x14ac:dyDescent="0.25">
      <c r="A108">
        <f t="shared" si="1"/>
        <v>2032</v>
      </c>
      <c r="B108" t="s">
        <v>159</v>
      </c>
      <c r="C108">
        <v>7</v>
      </c>
      <c r="D108">
        <v>11.303000000000001</v>
      </c>
    </row>
    <row r="109" spans="1:4" x14ac:dyDescent="0.25">
      <c r="A109">
        <f t="shared" si="1"/>
        <v>2032</v>
      </c>
      <c r="B109" t="s">
        <v>159</v>
      </c>
      <c r="C109">
        <v>8</v>
      </c>
      <c r="D109">
        <v>6.7530000000000001</v>
      </c>
    </row>
    <row r="110" spans="1:4" x14ac:dyDescent="0.25">
      <c r="A110">
        <f t="shared" si="1"/>
        <v>2032</v>
      </c>
      <c r="B110" t="s">
        <v>159</v>
      </c>
      <c r="C110">
        <v>9</v>
      </c>
      <c r="D110">
        <v>16.303000000000001</v>
      </c>
    </row>
    <row r="111" spans="1:4" x14ac:dyDescent="0.25">
      <c r="A111">
        <f t="shared" si="1"/>
        <v>2032</v>
      </c>
      <c r="B111" t="s">
        <v>159</v>
      </c>
      <c r="C111">
        <v>10</v>
      </c>
      <c r="D111">
        <v>11.303000000000001</v>
      </c>
    </row>
    <row r="112" spans="1:4" x14ac:dyDescent="0.25">
      <c r="A112">
        <f t="shared" si="1"/>
        <v>2033</v>
      </c>
      <c r="B112" t="s">
        <v>160</v>
      </c>
      <c r="C112">
        <v>1</v>
      </c>
      <c r="D112">
        <v>11.204000000000001</v>
      </c>
    </row>
    <row r="113" spans="1:4" x14ac:dyDescent="0.25">
      <c r="A113">
        <f t="shared" si="1"/>
        <v>2033</v>
      </c>
      <c r="B113" t="s">
        <v>160</v>
      </c>
      <c r="C113">
        <v>2</v>
      </c>
      <c r="D113">
        <v>11.204000000000001</v>
      </c>
    </row>
    <row r="114" spans="1:4" x14ac:dyDescent="0.25">
      <c r="A114">
        <f t="shared" si="1"/>
        <v>2033</v>
      </c>
      <c r="B114" t="s">
        <v>160</v>
      </c>
      <c r="C114">
        <v>3</v>
      </c>
      <c r="D114">
        <v>11.204000000000001</v>
      </c>
    </row>
    <row r="115" spans="1:4" x14ac:dyDescent="0.25">
      <c r="A115">
        <f t="shared" si="1"/>
        <v>2033</v>
      </c>
      <c r="B115" t="s">
        <v>160</v>
      </c>
      <c r="C115">
        <v>4</v>
      </c>
      <c r="D115">
        <v>11.204000000000001</v>
      </c>
    </row>
    <row r="116" spans="1:4" x14ac:dyDescent="0.25">
      <c r="A116">
        <f t="shared" si="1"/>
        <v>2033</v>
      </c>
      <c r="B116" t="s">
        <v>160</v>
      </c>
      <c r="C116">
        <v>5</v>
      </c>
      <c r="D116">
        <v>11.204000000000001</v>
      </c>
    </row>
    <row r="117" spans="1:4" x14ac:dyDescent="0.25">
      <c r="A117">
        <f t="shared" si="1"/>
        <v>2033</v>
      </c>
      <c r="B117" t="s">
        <v>160</v>
      </c>
      <c r="C117">
        <v>6</v>
      </c>
      <c r="D117">
        <v>11.204000000000001</v>
      </c>
    </row>
    <row r="118" spans="1:4" x14ac:dyDescent="0.25">
      <c r="A118">
        <f t="shared" si="1"/>
        <v>2033</v>
      </c>
      <c r="B118" t="s">
        <v>160</v>
      </c>
      <c r="C118">
        <v>7</v>
      </c>
      <c r="D118">
        <v>11.204000000000001</v>
      </c>
    </row>
    <row r="119" spans="1:4" x14ac:dyDescent="0.25">
      <c r="A119">
        <f t="shared" si="1"/>
        <v>2033</v>
      </c>
      <c r="B119" t="s">
        <v>160</v>
      </c>
      <c r="C119">
        <v>8</v>
      </c>
      <c r="D119">
        <v>6.6539999999999999</v>
      </c>
    </row>
    <row r="120" spans="1:4" x14ac:dyDescent="0.25">
      <c r="A120">
        <f t="shared" si="1"/>
        <v>2033</v>
      </c>
      <c r="B120" t="s">
        <v>160</v>
      </c>
      <c r="C120">
        <v>9</v>
      </c>
      <c r="D120">
        <v>16.204000000000001</v>
      </c>
    </row>
    <row r="121" spans="1:4" x14ac:dyDescent="0.25">
      <c r="A121">
        <f t="shared" si="1"/>
        <v>2033</v>
      </c>
      <c r="B121" t="s">
        <v>160</v>
      </c>
      <c r="C121">
        <v>10</v>
      </c>
      <c r="D121">
        <v>11.204000000000001</v>
      </c>
    </row>
    <row r="122" spans="1:4" x14ac:dyDescent="0.25">
      <c r="A122">
        <f t="shared" si="1"/>
        <v>2034</v>
      </c>
      <c r="B122" t="s">
        <v>161</v>
      </c>
      <c r="C122">
        <v>1</v>
      </c>
      <c r="D122">
        <v>11.250999999999999</v>
      </c>
    </row>
    <row r="123" spans="1:4" x14ac:dyDescent="0.25">
      <c r="A123">
        <f t="shared" si="1"/>
        <v>2034</v>
      </c>
      <c r="B123" t="s">
        <v>161</v>
      </c>
      <c r="C123">
        <v>2</v>
      </c>
      <c r="D123">
        <v>11.250999999999999</v>
      </c>
    </row>
    <row r="124" spans="1:4" x14ac:dyDescent="0.25">
      <c r="A124">
        <f t="shared" si="1"/>
        <v>2034</v>
      </c>
      <c r="B124" t="s">
        <v>161</v>
      </c>
      <c r="C124">
        <v>3</v>
      </c>
      <c r="D124">
        <v>11.250999999999999</v>
      </c>
    </row>
    <row r="125" spans="1:4" x14ac:dyDescent="0.25">
      <c r="A125">
        <f t="shared" si="1"/>
        <v>2034</v>
      </c>
      <c r="B125" t="s">
        <v>161</v>
      </c>
      <c r="C125">
        <v>4</v>
      </c>
      <c r="D125">
        <v>11.250999999999999</v>
      </c>
    </row>
    <row r="126" spans="1:4" x14ac:dyDescent="0.25">
      <c r="A126">
        <f t="shared" si="1"/>
        <v>2034</v>
      </c>
      <c r="B126" t="s">
        <v>161</v>
      </c>
      <c r="C126">
        <v>5</v>
      </c>
      <c r="D126">
        <v>11.250999999999999</v>
      </c>
    </row>
    <row r="127" spans="1:4" x14ac:dyDescent="0.25">
      <c r="A127">
        <f t="shared" si="1"/>
        <v>2034</v>
      </c>
      <c r="B127" t="s">
        <v>161</v>
      </c>
      <c r="C127">
        <v>6</v>
      </c>
      <c r="D127">
        <v>11.250999999999999</v>
      </c>
    </row>
    <row r="128" spans="1:4" x14ac:dyDescent="0.25">
      <c r="A128">
        <f t="shared" si="1"/>
        <v>2034</v>
      </c>
      <c r="B128" t="s">
        <v>161</v>
      </c>
      <c r="C128">
        <v>7</v>
      </c>
      <c r="D128">
        <v>11.250999999999999</v>
      </c>
    </row>
    <row r="129" spans="1:4" x14ac:dyDescent="0.25">
      <c r="A129">
        <f t="shared" si="1"/>
        <v>2034</v>
      </c>
      <c r="B129" t="s">
        <v>161</v>
      </c>
      <c r="C129">
        <v>8</v>
      </c>
      <c r="D129">
        <v>6.7009999999999996</v>
      </c>
    </row>
    <row r="130" spans="1:4" x14ac:dyDescent="0.25">
      <c r="A130">
        <f t="shared" si="1"/>
        <v>2034</v>
      </c>
      <c r="B130" t="s">
        <v>161</v>
      </c>
      <c r="C130">
        <v>9</v>
      </c>
      <c r="D130">
        <v>16.251000000000001</v>
      </c>
    </row>
    <row r="131" spans="1:4" x14ac:dyDescent="0.25">
      <c r="A131">
        <f t="shared" ref="A131:A194" si="2">VALUE(RIGHT(B131,4))</f>
        <v>2034</v>
      </c>
      <c r="B131" t="s">
        <v>161</v>
      </c>
      <c r="C131">
        <v>10</v>
      </c>
      <c r="D131">
        <v>11.250999999999999</v>
      </c>
    </row>
    <row r="132" spans="1:4" x14ac:dyDescent="0.25">
      <c r="A132">
        <f t="shared" si="2"/>
        <v>2035</v>
      </c>
      <c r="B132" t="s">
        <v>162</v>
      </c>
      <c r="C132">
        <v>1</v>
      </c>
      <c r="D132">
        <v>11.278</v>
      </c>
    </row>
    <row r="133" spans="1:4" x14ac:dyDescent="0.25">
      <c r="A133">
        <f t="shared" si="2"/>
        <v>2035</v>
      </c>
      <c r="B133" t="s">
        <v>162</v>
      </c>
      <c r="C133">
        <v>2</v>
      </c>
      <c r="D133">
        <v>11.278</v>
      </c>
    </row>
    <row r="134" spans="1:4" x14ac:dyDescent="0.25">
      <c r="A134">
        <f t="shared" si="2"/>
        <v>2035</v>
      </c>
      <c r="B134" t="s">
        <v>162</v>
      </c>
      <c r="C134">
        <v>3</v>
      </c>
      <c r="D134">
        <v>11.278</v>
      </c>
    </row>
    <row r="135" spans="1:4" x14ac:dyDescent="0.25">
      <c r="A135">
        <f t="shared" si="2"/>
        <v>2035</v>
      </c>
      <c r="B135" t="s">
        <v>162</v>
      </c>
      <c r="C135">
        <v>4</v>
      </c>
      <c r="D135">
        <v>11.278</v>
      </c>
    </row>
    <row r="136" spans="1:4" x14ac:dyDescent="0.25">
      <c r="A136">
        <f t="shared" si="2"/>
        <v>2035</v>
      </c>
      <c r="B136" t="s">
        <v>162</v>
      </c>
      <c r="C136">
        <v>5</v>
      </c>
      <c r="D136">
        <v>11.278</v>
      </c>
    </row>
    <row r="137" spans="1:4" x14ac:dyDescent="0.25">
      <c r="A137">
        <f t="shared" si="2"/>
        <v>2035</v>
      </c>
      <c r="B137" t="s">
        <v>162</v>
      </c>
      <c r="C137">
        <v>6</v>
      </c>
      <c r="D137">
        <v>11.278</v>
      </c>
    </row>
    <row r="138" spans="1:4" x14ac:dyDescent="0.25">
      <c r="A138">
        <f t="shared" si="2"/>
        <v>2035</v>
      </c>
      <c r="B138" t="s">
        <v>162</v>
      </c>
      <c r="C138">
        <v>7</v>
      </c>
      <c r="D138">
        <v>11.278</v>
      </c>
    </row>
    <row r="139" spans="1:4" x14ac:dyDescent="0.25">
      <c r="A139">
        <f t="shared" si="2"/>
        <v>2035</v>
      </c>
      <c r="B139" t="s">
        <v>162</v>
      </c>
      <c r="C139">
        <v>8</v>
      </c>
      <c r="D139">
        <v>6.7279999999999998</v>
      </c>
    </row>
    <row r="140" spans="1:4" x14ac:dyDescent="0.25">
      <c r="A140">
        <f t="shared" si="2"/>
        <v>2035</v>
      </c>
      <c r="B140" t="s">
        <v>162</v>
      </c>
      <c r="C140">
        <v>9</v>
      </c>
      <c r="D140">
        <v>16.277999999999999</v>
      </c>
    </row>
    <row r="141" spans="1:4" x14ac:dyDescent="0.25">
      <c r="A141">
        <f t="shared" si="2"/>
        <v>2035</v>
      </c>
      <c r="B141" t="s">
        <v>162</v>
      </c>
      <c r="C141">
        <v>10</v>
      </c>
      <c r="D141">
        <v>11.278</v>
      </c>
    </row>
    <row r="142" spans="1:4" x14ac:dyDescent="0.25">
      <c r="A142">
        <f t="shared" si="2"/>
        <v>2036</v>
      </c>
      <c r="B142" t="s">
        <v>163</v>
      </c>
      <c r="C142">
        <v>1</v>
      </c>
      <c r="D142">
        <v>11.257999999999999</v>
      </c>
    </row>
    <row r="143" spans="1:4" x14ac:dyDescent="0.25">
      <c r="A143">
        <f t="shared" si="2"/>
        <v>2036</v>
      </c>
      <c r="B143" t="s">
        <v>163</v>
      </c>
      <c r="C143">
        <v>2</v>
      </c>
      <c r="D143">
        <v>11.257999999999999</v>
      </c>
    </row>
    <row r="144" spans="1:4" x14ac:dyDescent="0.25">
      <c r="A144">
        <f t="shared" si="2"/>
        <v>2036</v>
      </c>
      <c r="B144" t="s">
        <v>163</v>
      </c>
      <c r="C144">
        <v>3</v>
      </c>
      <c r="D144">
        <v>11.257999999999999</v>
      </c>
    </row>
    <row r="145" spans="1:4" x14ac:dyDescent="0.25">
      <c r="A145">
        <f t="shared" si="2"/>
        <v>2036</v>
      </c>
      <c r="B145" t="s">
        <v>163</v>
      </c>
      <c r="C145">
        <v>4</v>
      </c>
      <c r="D145">
        <v>11.257999999999999</v>
      </c>
    </row>
    <row r="146" spans="1:4" x14ac:dyDescent="0.25">
      <c r="A146">
        <f t="shared" si="2"/>
        <v>2036</v>
      </c>
      <c r="B146" t="s">
        <v>163</v>
      </c>
      <c r="C146">
        <v>5</v>
      </c>
      <c r="D146">
        <v>11.257999999999999</v>
      </c>
    </row>
    <row r="147" spans="1:4" x14ac:dyDescent="0.25">
      <c r="A147">
        <f t="shared" si="2"/>
        <v>2036</v>
      </c>
      <c r="B147" t="s">
        <v>163</v>
      </c>
      <c r="C147">
        <v>6</v>
      </c>
      <c r="D147">
        <v>11.257999999999999</v>
      </c>
    </row>
    <row r="148" spans="1:4" x14ac:dyDescent="0.25">
      <c r="A148">
        <f t="shared" si="2"/>
        <v>2036</v>
      </c>
      <c r="B148" t="s">
        <v>163</v>
      </c>
      <c r="C148">
        <v>7</v>
      </c>
      <c r="D148">
        <v>11.257999999999999</v>
      </c>
    </row>
    <row r="149" spans="1:4" x14ac:dyDescent="0.25">
      <c r="A149">
        <f t="shared" si="2"/>
        <v>2036</v>
      </c>
      <c r="B149" t="s">
        <v>163</v>
      </c>
      <c r="C149">
        <v>8</v>
      </c>
      <c r="D149">
        <v>6.7080000000000002</v>
      </c>
    </row>
    <row r="150" spans="1:4" x14ac:dyDescent="0.25">
      <c r="A150">
        <f t="shared" si="2"/>
        <v>2036</v>
      </c>
      <c r="B150" t="s">
        <v>163</v>
      </c>
      <c r="C150">
        <v>9</v>
      </c>
      <c r="D150">
        <v>16.257999999999999</v>
      </c>
    </row>
    <row r="151" spans="1:4" x14ac:dyDescent="0.25">
      <c r="A151">
        <f t="shared" si="2"/>
        <v>2036</v>
      </c>
      <c r="B151" t="s">
        <v>163</v>
      </c>
      <c r="C151">
        <v>10</v>
      </c>
      <c r="D151">
        <v>11.257999999999999</v>
      </c>
    </row>
    <row r="152" spans="1:4" x14ac:dyDescent="0.25">
      <c r="A152">
        <f t="shared" si="2"/>
        <v>2037</v>
      </c>
      <c r="B152" t="s">
        <v>164</v>
      </c>
      <c r="C152">
        <v>1</v>
      </c>
      <c r="D152">
        <v>11.252000000000001</v>
      </c>
    </row>
    <row r="153" spans="1:4" x14ac:dyDescent="0.25">
      <c r="A153">
        <f t="shared" si="2"/>
        <v>2037</v>
      </c>
      <c r="B153" t="s">
        <v>164</v>
      </c>
      <c r="C153">
        <v>2</v>
      </c>
      <c r="D153">
        <v>11.252000000000001</v>
      </c>
    </row>
    <row r="154" spans="1:4" x14ac:dyDescent="0.25">
      <c r="A154">
        <f t="shared" si="2"/>
        <v>2037</v>
      </c>
      <c r="B154" t="s">
        <v>164</v>
      </c>
      <c r="C154">
        <v>3</v>
      </c>
      <c r="D154">
        <v>11.252000000000001</v>
      </c>
    </row>
    <row r="155" spans="1:4" x14ac:dyDescent="0.25">
      <c r="A155">
        <f t="shared" si="2"/>
        <v>2037</v>
      </c>
      <c r="B155" t="s">
        <v>164</v>
      </c>
      <c r="C155">
        <v>4</v>
      </c>
      <c r="D155">
        <v>11.252000000000001</v>
      </c>
    </row>
    <row r="156" spans="1:4" x14ac:dyDescent="0.25">
      <c r="A156">
        <f t="shared" si="2"/>
        <v>2037</v>
      </c>
      <c r="B156" t="s">
        <v>164</v>
      </c>
      <c r="C156">
        <v>5</v>
      </c>
      <c r="D156">
        <v>11.252000000000001</v>
      </c>
    </row>
    <row r="157" spans="1:4" x14ac:dyDescent="0.25">
      <c r="A157">
        <f t="shared" si="2"/>
        <v>2037</v>
      </c>
      <c r="B157" t="s">
        <v>164</v>
      </c>
      <c r="C157">
        <v>6</v>
      </c>
      <c r="D157">
        <v>11.252000000000001</v>
      </c>
    </row>
    <row r="158" spans="1:4" x14ac:dyDescent="0.25">
      <c r="A158">
        <f t="shared" si="2"/>
        <v>2037</v>
      </c>
      <c r="B158" t="s">
        <v>164</v>
      </c>
      <c r="C158">
        <v>7</v>
      </c>
      <c r="D158">
        <v>11.252000000000001</v>
      </c>
    </row>
    <row r="159" spans="1:4" x14ac:dyDescent="0.25">
      <c r="A159">
        <f t="shared" si="2"/>
        <v>2037</v>
      </c>
      <c r="B159" t="s">
        <v>164</v>
      </c>
      <c r="C159">
        <v>8</v>
      </c>
      <c r="D159">
        <v>6.702</v>
      </c>
    </row>
    <row r="160" spans="1:4" x14ac:dyDescent="0.25">
      <c r="A160">
        <f t="shared" si="2"/>
        <v>2037</v>
      </c>
      <c r="B160" t="s">
        <v>164</v>
      </c>
      <c r="C160">
        <v>9</v>
      </c>
      <c r="D160">
        <v>16.251999999999999</v>
      </c>
    </row>
    <row r="161" spans="1:4" x14ac:dyDescent="0.25">
      <c r="A161">
        <f t="shared" si="2"/>
        <v>2037</v>
      </c>
      <c r="B161" t="s">
        <v>164</v>
      </c>
      <c r="C161">
        <v>10</v>
      </c>
      <c r="D161">
        <v>11.252000000000001</v>
      </c>
    </row>
    <row r="162" spans="1:4" x14ac:dyDescent="0.25">
      <c r="A162">
        <f t="shared" si="2"/>
        <v>2038</v>
      </c>
      <c r="B162" t="s">
        <v>165</v>
      </c>
      <c r="C162">
        <v>1</v>
      </c>
      <c r="D162">
        <v>11.255000000000001</v>
      </c>
    </row>
    <row r="163" spans="1:4" x14ac:dyDescent="0.25">
      <c r="A163">
        <f t="shared" si="2"/>
        <v>2038</v>
      </c>
      <c r="B163" t="s">
        <v>165</v>
      </c>
      <c r="C163">
        <v>2</v>
      </c>
      <c r="D163">
        <v>11.255000000000001</v>
      </c>
    </row>
    <row r="164" spans="1:4" x14ac:dyDescent="0.25">
      <c r="A164">
        <f t="shared" si="2"/>
        <v>2038</v>
      </c>
      <c r="B164" t="s">
        <v>165</v>
      </c>
      <c r="C164">
        <v>3</v>
      </c>
      <c r="D164">
        <v>11.255000000000001</v>
      </c>
    </row>
    <row r="165" spans="1:4" x14ac:dyDescent="0.25">
      <c r="A165">
        <f t="shared" si="2"/>
        <v>2038</v>
      </c>
      <c r="B165" t="s">
        <v>165</v>
      </c>
      <c r="C165">
        <v>4</v>
      </c>
      <c r="D165">
        <v>11.255000000000001</v>
      </c>
    </row>
    <row r="166" spans="1:4" x14ac:dyDescent="0.25">
      <c r="A166">
        <f t="shared" si="2"/>
        <v>2038</v>
      </c>
      <c r="B166" t="s">
        <v>165</v>
      </c>
      <c r="C166">
        <v>5</v>
      </c>
      <c r="D166">
        <v>11.255000000000001</v>
      </c>
    </row>
    <row r="167" spans="1:4" x14ac:dyDescent="0.25">
      <c r="A167">
        <f t="shared" si="2"/>
        <v>2038</v>
      </c>
      <c r="B167" t="s">
        <v>165</v>
      </c>
      <c r="C167">
        <v>6</v>
      </c>
      <c r="D167">
        <v>11.255000000000001</v>
      </c>
    </row>
    <row r="168" spans="1:4" x14ac:dyDescent="0.25">
      <c r="A168">
        <f t="shared" si="2"/>
        <v>2038</v>
      </c>
      <c r="B168" t="s">
        <v>165</v>
      </c>
      <c r="C168">
        <v>7</v>
      </c>
      <c r="D168">
        <v>11.255000000000001</v>
      </c>
    </row>
    <row r="169" spans="1:4" x14ac:dyDescent="0.25">
      <c r="A169">
        <f t="shared" si="2"/>
        <v>2038</v>
      </c>
      <c r="B169" t="s">
        <v>165</v>
      </c>
      <c r="C169">
        <v>8</v>
      </c>
      <c r="D169">
        <v>6.7050000000000001</v>
      </c>
    </row>
    <row r="170" spans="1:4" x14ac:dyDescent="0.25">
      <c r="A170">
        <f t="shared" si="2"/>
        <v>2038</v>
      </c>
      <c r="B170" t="s">
        <v>165</v>
      </c>
      <c r="C170">
        <v>9</v>
      </c>
      <c r="D170">
        <v>16.254999999999999</v>
      </c>
    </row>
    <row r="171" spans="1:4" x14ac:dyDescent="0.25">
      <c r="A171">
        <f t="shared" si="2"/>
        <v>2038</v>
      </c>
      <c r="B171" t="s">
        <v>165</v>
      </c>
      <c r="C171">
        <v>10</v>
      </c>
      <c r="D171">
        <v>11.255000000000001</v>
      </c>
    </row>
    <row r="172" spans="1:4" x14ac:dyDescent="0.25">
      <c r="A172">
        <f t="shared" si="2"/>
        <v>2039</v>
      </c>
      <c r="B172" t="s">
        <v>166</v>
      </c>
      <c r="C172">
        <v>1</v>
      </c>
      <c r="D172">
        <v>11.231</v>
      </c>
    </row>
    <row r="173" spans="1:4" x14ac:dyDescent="0.25">
      <c r="A173">
        <f t="shared" si="2"/>
        <v>2039</v>
      </c>
      <c r="B173" t="s">
        <v>166</v>
      </c>
      <c r="C173">
        <v>2</v>
      </c>
      <c r="D173">
        <v>11.231</v>
      </c>
    </row>
    <row r="174" spans="1:4" x14ac:dyDescent="0.25">
      <c r="A174">
        <f t="shared" si="2"/>
        <v>2039</v>
      </c>
      <c r="B174" t="s">
        <v>166</v>
      </c>
      <c r="C174">
        <v>3</v>
      </c>
      <c r="D174">
        <v>11.231</v>
      </c>
    </row>
    <row r="175" spans="1:4" x14ac:dyDescent="0.25">
      <c r="A175">
        <f t="shared" si="2"/>
        <v>2039</v>
      </c>
      <c r="B175" t="s">
        <v>166</v>
      </c>
      <c r="C175">
        <v>4</v>
      </c>
      <c r="D175">
        <v>11.231</v>
      </c>
    </row>
    <row r="176" spans="1:4" x14ac:dyDescent="0.25">
      <c r="A176">
        <f t="shared" si="2"/>
        <v>2039</v>
      </c>
      <c r="B176" t="s">
        <v>166</v>
      </c>
      <c r="C176">
        <v>5</v>
      </c>
      <c r="D176">
        <v>11.231</v>
      </c>
    </row>
    <row r="177" spans="1:4" x14ac:dyDescent="0.25">
      <c r="A177">
        <f t="shared" si="2"/>
        <v>2039</v>
      </c>
      <c r="B177" t="s">
        <v>166</v>
      </c>
      <c r="C177">
        <v>6</v>
      </c>
      <c r="D177">
        <v>11.231</v>
      </c>
    </row>
    <row r="178" spans="1:4" x14ac:dyDescent="0.25">
      <c r="A178">
        <f t="shared" si="2"/>
        <v>2039</v>
      </c>
      <c r="B178" t="s">
        <v>166</v>
      </c>
      <c r="C178">
        <v>7</v>
      </c>
      <c r="D178">
        <v>11.231</v>
      </c>
    </row>
    <row r="179" spans="1:4" x14ac:dyDescent="0.25">
      <c r="A179">
        <f t="shared" si="2"/>
        <v>2039</v>
      </c>
      <c r="B179" t="s">
        <v>166</v>
      </c>
      <c r="C179">
        <v>8</v>
      </c>
      <c r="D179">
        <v>6.681</v>
      </c>
    </row>
    <row r="180" spans="1:4" x14ac:dyDescent="0.25">
      <c r="A180">
        <f t="shared" si="2"/>
        <v>2039</v>
      </c>
      <c r="B180" t="s">
        <v>166</v>
      </c>
      <c r="C180">
        <v>9</v>
      </c>
      <c r="D180">
        <v>16.231000000000002</v>
      </c>
    </row>
    <row r="181" spans="1:4" x14ac:dyDescent="0.25">
      <c r="A181">
        <f t="shared" si="2"/>
        <v>2039</v>
      </c>
      <c r="B181" t="s">
        <v>166</v>
      </c>
      <c r="C181">
        <v>10</v>
      </c>
      <c r="D181">
        <v>11.231</v>
      </c>
    </row>
    <row r="182" spans="1:4" x14ac:dyDescent="0.25">
      <c r="A182">
        <f t="shared" si="2"/>
        <v>2040</v>
      </c>
      <c r="B182" t="s">
        <v>167</v>
      </c>
      <c r="C182">
        <v>1</v>
      </c>
      <c r="D182">
        <v>11.090999999999999</v>
      </c>
    </row>
    <row r="183" spans="1:4" x14ac:dyDescent="0.25">
      <c r="A183">
        <f t="shared" si="2"/>
        <v>2040</v>
      </c>
      <c r="B183" t="s">
        <v>167</v>
      </c>
      <c r="C183">
        <v>2</v>
      </c>
      <c r="D183">
        <v>11.090999999999999</v>
      </c>
    </row>
    <row r="184" spans="1:4" x14ac:dyDescent="0.25">
      <c r="A184">
        <f t="shared" si="2"/>
        <v>2040</v>
      </c>
      <c r="B184" t="s">
        <v>167</v>
      </c>
      <c r="C184">
        <v>3</v>
      </c>
      <c r="D184">
        <v>11.090999999999999</v>
      </c>
    </row>
    <row r="185" spans="1:4" x14ac:dyDescent="0.25">
      <c r="A185">
        <f t="shared" si="2"/>
        <v>2040</v>
      </c>
      <c r="B185" t="s">
        <v>167</v>
      </c>
      <c r="C185">
        <v>4</v>
      </c>
      <c r="D185">
        <v>11.090999999999999</v>
      </c>
    </row>
    <row r="186" spans="1:4" x14ac:dyDescent="0.25">
      <c r="A186">
        <f t="shared" si="2"/>
        <v>2040</v>
      </c>
      <c r="B186" t="s">
        <v>167</v>
      </c>
      <c r="C186">
        <v>5</v>
      </c>
      <c r="D186">
        <v>11.090999999999999</v>
      </c>
    </row>
    <row r="187" spans="1:4" x14ac:dyDescent="0.25">
      <c r="A187">
        <f t="shared" si="2"/>
        <v>2040</v>
      </c>
      <c r="B187" t="s">
        <v>167</v>
      </c>
      <c r="C187">
        <v>6</v>
      </c>
      <c r="D187">
        <v>11.090999999999999</v>
      </c>
    </row>
    <row r="188" spans="1:4" x14ac:dyDescent="0.25">
      <c r="A188">
        <f t="shared" si="2"/>
        <v>2040</v>
      </c>
      <c r="B188" t="s">
        <v>167</v>
      </c>
      <c r="C188">
        <v>7</v>
      </c>
      <c r="D188">
        <v>11.090999999999999</v>
      </c>
    </row>
    <row r="189" spans="1:4" x14ac:dyDescent="0.25">
      <c r="A189">
        <f t="shared" si="2"/>
        <v>2040</v>
      </c>
      <c r="B189" t="s">
        <v>167</v>
      </c>
      <c r="C189">
        <v>8</v>
      </c>
      <c r="D189">
        <v>6.5410000000000004</v>
      </c>
    </row>
    <row r="190" spans="1:4" x14ac:dyDescent="0.25">
      <c r="A190">
        <f t="shared" si="2"/>
        <v>2040</v>
      </c>
      <c r="B190" t="s">
        <v>167</v>
      </c>
      <c r="C190">
        <v>9</v>
      </c>
      <c r="D190">
        <v>17.091000000000001</v>
      </c>
    </row>
    <row r="191" spans="1:4" x14ac:dyDescent="0.25">
      <c r="A191">
        <f t="shared" si="2"/>
        <v>2040</v>
      </c>
      <c r="B191" t="s">
        <v>167</v>
      </c>
      <c r="C191">
        <v>10</v>
      </c>
      <c r="D191">
        <v>11.090999999999999</v>
      </c>
    </row>
    <row r="192" spans="1:4" x14ac:dyDescent="0.25">
      <c r="A192">
        <f t="shared" si="2"/>
        <v>2041</v>
      </c>
      <c r="B192" t="s">
        <v>168</v>
      </c>
      <c r="C192">
        <v>1</v>
      </c>
      <c r="D192">
        <v>11.041</v>
      </c>
    </row>
    <row r="193" spans="1:4" x14ac:dyDescent="0.25">
      <c r="A193">
        <f t="shared" si="2"/>
        <v>2041</v>
      </c>
      <c r="B193" t="s">
        <v>168</v>
      </c>
      <c r="C193">
        <v>2</v>
      </c>
      <c r="D193">
        <v>11.041</v>
      </c>
    </row>
    <row r="194" spans="1:4" x14ac:dyDescent="0.25">
      <c r="A194">
        <f t="shared" si="2"/>
        <v>2041</v>
      </c>
      <c r="B194" t="s">
        <v>168</v>
      </c>
      <c r="C194">
        <v>3</v>
      </c>
      <c r="D194">
        <v>11.041</v>
      </c>
    </row>
    <row r="195" spans="1:4" x14ac:dyDescent="0.25">
      <c r="A195">
        <f t="shared" ref="A195:A258" si="3">VALUE(RIGHT(B195,4))</f>
        <v>2041</v>
      </c>
      <c r="B195" t="s">
        <v>168</v>
      </c>
      <c r="C195">
        <v>4</v>
      </c>
      <c r="D195">
        <v>11.041</v>
      </c>
    </row>
    <row r="196" spans="1:4" x14ac:dyDescent="0.25">
      <c r="A196">
        <f t="shared" si="3"/>
        <v>2041</v>
      </c>
      <c r="B196" t="s">
        <v>168</v>
      </c>
      <c r="C196">
        <v>5</v>
      </c>
      <c r="D196">
        <v>11.041</v>
      </c>
    </row>
    <row r="197" spans="1:4" x14ac:dyDescent="0.25">
      <c r="A197">
        <f t="shared" si="3"/>
        <v>2041</v>
      </c>
      <c r="B197" t="s">
        <v>168</v>
      </c>
      <c r="C197">
        <v>6</v>
      </c>
      <c r="D197">
        <v>11.041</v>
      </c>
    </row>
    <row r="198" spans="1:4" x14ac:dyDescent="0.25">
      <c r="A198">
        <f t="shared" si="3"/>
        <v>2041</v>
      </c>
      <c r="B198" t="s">
        <v>168</v>
      </c>
      <c r="C198">
        <v>7</v>
      </c>
      <c r="D198">
        <v>11.041</v>
      </c>
    </row>
    <row r="199" spans="1:4" x14ac:dyDescent="0.25">
      <c r="A199">
        <f t="shared" si="3"/>
        <v>2041</v>
      </c>
      <c r="B199" t="s">
        <v>168</v>
      </c>
      <c r="C199">
        <v>8</v>
      </c>
      <c r="D199">
        <v>6.4909999999999997</v>
      </c>
    </row>
    <row r="200" spans="1:4" x14ac:dyDescent="0.25">
      <c r="A200">
        <f t="shared" si="3"/>
        <v>2041</v>
      </c>
      <c r="B200" t="s">
        <v>168</v>
      </c>
      <c r="C200">
        <v>9</v>
      </c>
      <c r="D200">
        <v>17.041</v>
      </c>
    </row>
    <row r="201" spans="1:4" x14ac:dyDescent="0.25">
      <c r="A201">
        <f t="shared" si="3"/>
        <v>2041</v>
      </c>
      <c r="B201" t="s">
        <v>168</v>
      </c>
      <c r="C201">
        <v>10</v>
      </c>
      <c r="D201">
        <v>11.041</v>
      </c>
    </row>
    <row r="202" spans="1:4" x14ac:dyDescent="0.25">
      <c r="A202">
        <f t="shared" si="3"/>
        <v>2042</v>
      </c>
      <c r="B202" t="s">
        <v>169</v>
      </c>
      <c r="C202">
        <v>1</v>
      </c>
      <c r="D202">
        <v>11.015000000000001</v>
      </c>
    </row>
    <row r="203" spans="1:4" x14ac:dyDescent="0.25">
      <c r="A203">
        <f t="shared" si="3"/>
        <v>2042</v>
      </c>
      <c r="B203" t="s">
        <v>169</v>
      </c>
      <c r="C203">
        <v>2</v>
      </c>
      <c r="D203">
        <v>11.015000000000001</v>
      </c>
    </row>
    <row r="204" spans="1:4" x14ac:dyDescent="0.25">
      <c r="A204">
        <f t="shared" si="3"/>
        <v>2042</v>
      </c>
      <c r="B204" t="s">
        <v>169</v>
      </c>
      <c r="C204">
        <v>3</v>
      </c>
      <c r="D204">
        <v>11.015000000000001</v>
      </c>
    </row>
    <row r="205" spans="1:4" x14ac:dyDescent="0.25">
      <c r="A205">
        <f t="shared" si="3"/>
        <v>2042</v>
      </c>
      <c r="B205" t="s">
        <v>169</v>
      </c>
      <c r="C205">
        <v>4</v>
      </c>
      <c r="D205">
        <v>11.015000000000001</v>
      </c>
    </row>
    <row r="206" spans="1:4" x14ac:dyDescent="0.25">
      <c r="A206">
        <f t="shared" si="3"/>
        <v>2042</v>
      </c>
      <c r="B206" t="s">
        <v>169</v>
      </c>
      <c r="C206">
        <v>5</v>
      </c>
      <c r="D206">
        <v>11.015000000000001</v>
      </c>
    </row>
    <row r="207" spans="1:4" x14ac:dyDescent="0.25">
      <c r="A207">
        <f t="shared" si="3"/>
        <v>2042</v>
      </c>
      <c r="B207" t="s">
        <v>169</v>
      </c>
      <c r="C207">
        <v>6</v>
      </c>
      <c r="D207">
        <v>11.015000000000001</v>
      </c>
    </row>
    <row r="208" spans="1:4" x14ac:dyDescent="0.25">
      <c r="A208">
        <f t="shared" si="3"/>
        <v>2042</v>
      </c>
      <c r="B208" t="s">
        <v>169</v>
      </c>
      <c r="C208">
        <v>7</v>
      </c>
      <c r="D208">
        <v>11.015000000000001</v>
      </c>
    </row>
    <row r="209" spans="1:4" x14ac:dyDescent="0.25">
      <c r="A209">
        <f t="shared" si="3"/>
        <v>2042</v>
      </c>
      <c r="B209" t="s">
        <v>169</v>
      </c>
      <c r="C209">
        <v>8</v>
      </c>
      <c r="D209">
        <v>6.4649999999999999</v>
      </c>
    </row>
    <row r="210" spans="1:4" x14ac:dyDescent="0.25">
      <c r="A210">
        <f t="shared" si="3"/>
        <v>2042</v>
      </c>
      <c r="B210" t="s">
        <v>169</v>
      </c>
      <c r="C210">
        <v>9</v>
      </c>
      <c r="D210">
        <v>17.015000000000001</v>
      </c>
    </row>
    <row r="211" spans="1:4" x14ac:dyDescent="0.25">
      <c r="A211">
        <f t="shared" si="3"/>
        <v>2042</v>
      </c>
      <c r="B211" t="s">
        <v>169</v>
      </c>
      <c r="C211">
        <v>10</v>
      </c>
      <c r="D211">
        <v>11.015000000000001</v>
      </c>
    </row>
    <row r="212" spans="1:4" x14ac:dyDescent="0.25">
      <c r="A212">
        <f t="shared" si="3"/>
        <v>2043</v>
      </c>
      <c r="B212" t="s">
        <v>170</v>
      </c>
      <c r="C212">
        <v>1</v>
      </c>
      <c r="D212">
        <v>10.9</v>
      </c>
    </row>
    <row r="213" spans="1:4" x14ac:dyDescent="0.25">
      <c r="A213">
        <f t="shared" si="3"/>
        <v>2043</v>
      </c>
      <c r="B213" t="s">
        <v>170</v>
      </c>
      <c r="C213">
        <v>2</v>
      </c>
      <c r="D213">
        <v>10.9</v>
      </c>
    </row>
    <row r="214" spans="1:4" x14ac:dyDescent="0.25">
      <c r="A214">
        <f t="shared" si="3"/>
        <v>2043</v>
      </c>
      <c r="B214" t="s">
        <v>170</v>
      </c>
      <c r="C214">
        <v>3</v>
      </c>
      <c r="D214">
        <v>10.9</v>
      </c>
    </row>
    <row r="215" spans="1:4" x14ac:dyDescent="0.25">
      <c r="A215">
        <f t="shared" si="3"/>
        <v>2043</v>
      </c>
      <c r="B215" t="s">
        <v>170</v>
      </c>
      <c r="C215">
        <v>4</v>
      </c>
      <c r="D215">
        <v>10.9</v>
      </c>
    </row>
    <row r="216" spans="1:4" x14ac:dyDescent="0.25">
      <c r="A216">
        <f t="shared" si="3"/>
        <v>2043</v>
      </c>
      <c r="B216" t="s">
        <v>170</v>
      </c>
      <c r="C216">
        <v>5</v>
      </c>
      <c r="D216">
        <v>10.9</v>
      </c>
    </row>
    <row r="217" spans="1:4" x14ac:dyDescent="0.25">
      <c r="A217">
        <f t="shared" si="3"/>
        <v>2043</v>
      </c>
      <c r="B217" t="s">
        <v>170</v>
      </c>
      <c r="C217">
        <v>6</v>
      </c>
      <c r="D217">
        <v>10.9</v>
      </c>
    </row>
    <row r="218" spans="1:4" x14ac:dyDescent="0.25">
      <c r="A218">
        <f t="shared" si="3"/>
        <v>2043</v>
      </c>
      <c r="B218" t="s">
        <v>170</v>
      </c>
      <c r="C218">
        <v>7</v>
      </c>
      <c r="D218">
        <v>10.9</v>
      </c>
    </row>
    <row r="219" spans="1:4" x14ac:dyDescent="0.25">
      <c r="A219">
        <f t="shared" si="3"/>
        <v>2043</v>
      </c>
      <c r="B219" t="s">
        <v>170</v>
      </c>
      <c r="C219">
        <v>8</v>
      </c>
      <c r="D219">
        <v>6.35</v>
      </c>
    </row>
    <row r="220" spans="1:4" x14ac:dyDescent="0.25">
      <c r="A220">
        <f t="shared" si="3"/>
        <v>2043</v>
      </c>
      <c r="B220" t="s">
        <v>170</v>
      </c>
      <c r="C220">
        <v>9</v>
      </c>
      <c r="D220">
        <v>16.899999999999999</v>
      </c>
    </row>
    <row r="221" spans="1:4" x14ac:dyDescent="0.25">
      <c r="A221">
        <f t="shared" si="3"/>
        <v>2043</v>
      </c>
      <c r="B221" t="s">
        <v>170</v>
      </c>
      <c r="C221">
        <v>10</v>
      </c>
      <c r="D221">
        <v>10.9</v>
      </c>
    </row>
    <row r="222" spans="1:4" x14ac:dyDescent="0.25">
      <c r="A222">
        <f t="shared" si="3"/>
        <v>2044</v>
      </c>
      <c r="B222" t="s">
        <v>171</v>
      </c>
      <c r="C222">
        <v>1</v>
      </c>
      <c r="D222">
        <v>10.872999999999999</v>
      </c>
    </row>
    <row r="223" spans="1:4" x14ac:dyDescent="0.25">
      <c r="A223">
        <f t="shared" si="3"/>
        <v>2044</v>
      </c>
      <c r="B223" t="s">
        <v>171</v>
      </c>
      <c r="C223">
        <v>2</v>
      </c>
      <c r="D223">
        <v>10.872999999999999</v>
      </c>
    </row>
    <row r="224" spans="1:4" x14ac:dyDescent="0.25">
      <c r="A224">
        <f t="shared" si="3"/>
        <v>2044</v>
      </c>
      <c r="B224" t="s">
        <v>171</v>
      </c>
      <c r="C224">
        <v>3</v>
      </c>
      <c r="D224">
        <v>10.872999999999999</v>
      </c>
    </row>
    <row r="225" spans="1:4" x14ac:dyDescent="0.25">
      <c r="A225">
        <f t="shared" si="3"/>
        <v>2044</v>
      </c>
      <c r="B225" t="s">
        <v>171</v>
      </c>
      <c r="C225">
        <v>4</v>
      </c>
      <c r="D225">
        <v>10.872999999999999</v>
      </c>
    </row>
    <row r="226" spans="1:4" x14ac:dyDescent="0.25">
      <c r="A226">
        <f t="shared" si="3"/>
        <v>2044</v>
      </c>
      <c r="B226" t="s">
        <v>171</v>
      </c>
      <c r="C226">
        <v>5</v>
      </c>
      <c r="D226">
        <v>10.872999999999999</v>
      </c>
    </row>
    <row r="227" spans="1:4" x14ac:dyDescent="0.25">
      <c r="A227">
        <f t="shared" si="3"/>
        <v>2044</v>
      </c>
      <c r="B227" t="s">
        <v>171</v>
      </c>
      <c r="C227">
        <v>6</v>
      </c>
      <c r="D227">
        <v>10.872999999999999</v>
      </c>
    </row>
    <row r="228" spans="1:4" x14ac:dyDescent="0.25">
      <c r="A228">
        <f t="shared" si="3"/>
        <v>2044</v>
      </c>
      <c r="B228" t="s">
        <v>171</v>
      </c>
      <c r="C228">
        <v>7</v>
      </c>
      <c r="D228">
        <v>10.872999999999999</v>
      </c>
    </row>
    <row r="229" spans="1:4" x14ac:dyDescent="0.25">
      <c r="A229">
        <f t="shared" si="3"/>
        <v>2044</v>
      </c>
      <c r="B229" t="s">
        <v>171</v>
      </c>
      <c r="C229">
        <v>8</v>
      </c>
      <c r="D229">
        <v>6.3230000000000004</v>
      </c>
    </row>
    <row r="230" spans="1:4" x14ac:dyDescent="0.25">
      <c r="A230">
        <f t="shared" si="3"/>
        <v>2044</v>
      </c>
      <c r="B230" t="s">
        <v>171</v>
      </c>
      <c r="C230">
        <v>9</v>
      </c>
      <c r="D230">
        <v>16.873000000000001</v>
      </c>
    </row>
    <row r="231" spans="1:4" x14ac:dyDescent="0.25">
      <c r="A231">
        <f t="shared" si="3"/>
        <v>2044</v>
      </c>
      <c r="B231" t="s">
        <v>171</v>
      </c>
      <c r="C231">
        <v>10</v>
      </c>
      <c r="D231">
        <v>10.872999999999999</v>
      </c>
    </row>
    <row r="232" spans="1:4" x14ac:dyDescent="0.25">
      <c r="A232">
        <f t="shared" si="3"/>
        <v>2045</v>
      </c>
      <c r="B232" t="s">
        <v>172</v>
      </c>
      <c r="C232">
        <v>1</v>
      </c>
      <c r="D232">
        <v>10.722</v>
      </c>
    </row>
    <row r="233" spans="1:4" x14ac:dyDescent="0.25">
      <c r="A233">
        <f t="shared" si="3"/>
        <v>2045</v>
      </c>
      <c r="B233" t="s">
        <v>172</v>
      </c>
      <c r="C233">
        <v>2</v>
      </c>
      <c r="D233">
        <v>10.722</v>
      </c>
    </row>
    <row r="234" spans="1:4" x14ac:dyDescent="0.25">
      <c r="A234">
        <f t="shared" si="3"/>
        <v>2045</v>
      </c>
      <c r="B234" t="s">
        <v>172</v>
      </c>
      <c r="C234">
        <v>3</v>
      </c>
      <c r="D234">
        <v>10.722</v>
      </c>
    </row>
    <row r="235" spans="1:4" x14ac:dyDescent="0.25">
      <c r="A235">
        <f t="shared" si="3"/>
        <v>2045</v>
      </c>
      <c r="B235" t="s">
        <v>172</v>
      </c>
      <c r="C235">
        <v>4</v>
      </c>
      <c r="D235">
        <v>10.722</v>
      </c>
    </row>
    <row r="236" spans="1:4" x14ac:dyDescent="0.25">
      <c r="A236">
        <f t="shared" si="3"/>
        <v>2045</v>
      </c>
      <c r="B236" t="s">
        <v>172</v>
      </c>
      <c r="C236">
        <v>5</v>
      </c>
      <c r="D236">
        <v>10.722</v>
      </c>
    </row>
    <row r="237" spans="1:4" x14ac:dyDescent="0.25">
      <c r="A237">
        <f t="shared" si="3"/>
        <v>2045</v>
      </c>
      <c r="B237" t="s">
        <v>172</v>
      </c>
      <c r="C237">
        <v>6</v>
      </c>
      <c r="D237">
        <v>10.722</v>
      </c>
    </row>
    <row r="238" spans="1:4" x14ac:dyDescent="0.25">
      <c r="A238">
        <f t="shared" si="3"/>
        <v>2045</v>
      </c>
      <c r="B238" t="s">
        <v>172</v>
      </c>
      <c r="C238">
        <v>7</v>
      </c>
      <c r="D238">
        <v>10.722</v>
      </c>
    </row>
    <row r="239" spans="1:4" x14ac:dyDescent="0.25">
      <c r="A239">
        <f t="shared" si="3"/>
        <v>2045</v>
      </c>
      <c r="B239" t="s">
        <v>172</v>
      </c>
      <c r="C239">
        <v>8</v>
      </c>
      <c r="D239">
        <v>6.1719999999999997</v>
      </c>
    </row>
    <row r="240" spans="1:4" x14ac:dyDescent="0.25">
      <c r="A240">
        <f t="shared" si="3"/>
        <v>2045</v>
      </c>
      <c r="B240" t="s">
        <v>172</v>
      </c>
      <c r="C240">
        <v>9</v>
      </c>
      <c r="D240">
        <v>16.722000000000001</v>
      </c>
    </row>
    <row r="241" spans="1:4" x14ac:dyDescent="0.25">
      <c r="A241">
        <f t="shared" si="3"/>
        <v>2045</v>
      </c>
      <c r="B241" t="s">
        <v>172</v>
      </c>
      <c r="C241">
        <v>10</v>
      </c>
      <c r="D241">
        <v>10.722</v>
      </c>
    </row>
    <row r="242" spans="1:4" x14ac:dyDescent="0.25">
      <c r="A242">
        <f t="shared" si="3"/>
        <v>2046</v>
      </c>
      <c r="B242" t="s">
        <v>173</v>
      </c>
      <c r="C242">
        <v>1</v>
      </c>
      <c r="D242">
        <v>10.581</v>
      </c>
    </row>
    <row r="243" spans="1:4" x14ac:dyDescent="0.25">
      <c r="A243">
        <f t="shared" si="3"/>
        <v>2046</v>
      </c>
      <c r="B243" t="s">
        <v>173</v>
      </c>
      <c r="C243">
        <v>2</v>
      </c>
      <c r="D243">
        <v>10.581</v>
      </c>
    </row>
    <row r="244" spans="1:4" x14ac:dyDescent="0.25">
      <c r="A244">
        <f t="shared" si="3"/>
        <v>2046</v>
      </c>
      <c r="B244" t="s">
        <v>173</v>
      </c>
      <c r="C244">
        <v>3</v>
      </c>
      <c r="D244">
        <v>10.581</v>
      </c>
    </row>
    <row r="245" spans="1:4" x14ac:dyDescent="0.25">
      <c r="A245">
        <f t="shared" si="3"/>
        <v>2046</v>
      </c>
      <c r="B245" t="s">
        <v>173</v>
      </c>
      <c r="C245">
        <v>4</v>
      </c>
      <c r="D245">
        <v>10.581</v>
      </c>
    </row>
    <row r="246" spans="1:4" x14ac:dyDescent="0.25">
      <c r="A246">
        <f t="shared" si="3"/>
        <v>2046</v>
      </c>
      <c r="B246" t="s">
        <v>173</v>
      </c>
      <c r="C246">
        <v>5</v>
      </c>
      <c r="D246">
        <v>10.581</v>
      </c>
    </row>
    <row r="247" spans="1:4" x14ac:dyDescent="0.25">
      <c r="A247">
        <f t="shared" si="3"/>
        <v>2046</v>
      </c>
      <c r="B247" t="s">
        <v>173</v>
      </c>
      <c r="C247">
        <v>6</v>
      </c>
      <c r="D247">
        <v>10.581</v>
      </c>
    </row>
    <row r="248" spans="1:4" x14ac:dyDescent="0.25">
      <c r="A248">
        <f t="shared" si="3"/>
        <v>2046</v>
      </c>
      <c r="B248" t="s">
        <v>173</v>
      </c>
      <c r="C248">
        <v>7</v>
      </c>
      <c r="D248">
        <v>10.581</v>
      </c>
    </row>
    <row r="249" spans="1:4" x14ac:dyDescent="0.25">
      <c r="A249">
        <f t="shared" si="3"/>
        <v>2046</v>
      </c>
      <c r="B249" t="s">
        <v>173</v>
      </c>
      <c r="C249">
        <v>8</v>
      </c>
      <c r="D249">
        <v>6.0309999999999997</v>
      </c>
    </row>
    <row r="250" spans="1:4" x14ac:dyDescent="0.25">
      <c r="A250">
        <f t="shared" si="3"/>
        <v>2046</v>
      </c>
      <c r="B250" t="s">
        <v>173</v>
      </c>
      <c r="C250">
        <v>9</v>
      </c>
      <c r="D250">
        <v>16.581</v>
      </c>
    </row>
    <row r="251" spans="1:4" x14ac:dyDescent="0.25">
      <c r="A251">
        <f t="shared" si="3"/>
        <v>2046</v>
      </c>
      <c r="B251" t="s">
        <v>173</v>
      </c>
      <c r="C251">
        <v>10</v>
      </c>
      <c r="D251">
        <v>10.581</v>
      </c>
    </row>
    <row r="252" spans="1:4" x14ac:dyDescent="0.25">
      <c r="A252">
        <f t="shared" si="3"/>
        <v>2047</v>
      </c>
      <c r="B252" t="s">
        <v>174</v>
      </c>
      <c r="C252">
        <v>1</v>
      </c>
      <c r="D252">
        <v>10.574</v>
      </c>
    </row>
    <row r="253" spans="1:4" x14ac:dyDescent="0.25">
      <c r="A253">
        <f t="shared" si="3"/>
        <v>2047</v>
      </c>
      <c r="B253" t="s">
        <v>174</v>
      </c>
      <c r="C253">
        <v>2</v>
      </c>
      <c r="D253">
        <v>10.574</v>
      </c>
    </row>
    <row r="254" spans="1:4" x14ac:dyDescent="0.25">
      <c r="A254">
        <f t="shared" si="3"/>
        <v>2047</v>
      </c>
      <c r="B254" t="s">
        <v>174</v>
      </c>
      <c r="C254">
        <v>3</v>
      </c>
      <c r="D254">
        <v>10.574</v>
      </c>
    </row>
    <row r="255" spans="1:4" x14ac:dyDescent="0.25">
      <c r="A255">
        <f t="shared" si="3"/>
        <v>2047</v>
      </c>
      <c r="B255" t="s">
        <v>174</v>
      </c>
      <c r="C255">
        <v>4</v>
      </c>
      <c r="D255">
        <v>10.574</v>
      </c>
    </row>
    <row r="256" spans="1:4" x14ac:dyDescent="0.25">
      <c r="A256">
        <f t="shared" si="3"/>
        <v>2047</v>
      </c>
      <c r="B256" t="s">
        <v>174</v>
      </c>
      <c r="C256">
        <v>5</v>
      </c>
      <c r="D256">
        <v>10.574</v>
      </c>
    </row>
    <row r="257" spans="1:4" x14ac:dyDescent="0.25">
      <c r="A257">
        <f t="shared" si="3"/>
        <v>2047</v>
      </c>
      <c r="B257" t="s">
        <v>174</v>
      </c>
      <c r="C257">
        <v>6</v>
      </c>
      <c r="D257">
        <v>10.574</v>
      </c>
    </row>
    <row r="258" spans="1:4" x14ac:dyDescent="0.25">
      <c r="A258">
        <f t="shared" si="3"/>
        <v>2047</v>
      </c>
      <c r="B258" t="s">
        <v>174</v>
      </c>
      <c r="C258">
        <v>7</v>
      </c>
      <c r="D258">
        <v>10.574</v>
      </c>
    </row>
    <row r="259" spans="1:4" x14ac:dyDescent="0.25">
      <c r="A259">
        <f t="shared" ref="A259:A301" si="4">VALUE(RIGHT(B259,4))</f>
        <v>2047</v>
      </c>
      <c r="B259" t="s">
        <v>174</v>
      </c>
      <c r="C259">
        <v>8</v>
      </c>
      <c r="D259">
        <v>6.024</v>
      </c>
    </row>
    <row r="260" spans="1:4" x14ac:dyDescent="0.25">
      <c r="A260">
        <f t="shared" si="4"/>
        <v>2047</v>
      </c>
      <c r="B260" t="s">
        <v>174</v>
      </c>
      <c r="C260">
        <v>9</v>
      </c>
      <c r="D260">
        <v>16.574000000000002</v>
      </c>
    </row>
    <row r="261" spans="1:4" x14ac:dyDescent="0.25">
      <c r="A261">
        <f t="shared" si="4"/>
        <v>2047</v>
      </c>
      <c r="B261" t="s">
        <v>174</v>
      </c>
      <c r="C261">
        <v>10</v>
      </c>
      <c r="D261">
        <v>10.574</v>
      </c>
    </row>
    <row r="262" spans="1:4" x14ac:dyDescent="0.25">
      <c r="A262">
        <f t="shared" si="4"/>
        <v>2048</v>
      </c>
      <c r="B262" t="s">
        <v>175</v>
      </c>
      <c r="C262">
        <v>1</v>
      </c>
      <c r="D262">
        <v>10.573</v>
      </c>
    </row>
    <row r="263" spans="1:4" x14ac:dyDescent="0.25">
      <c r="A263">
        <f t="shared" si="4"/>
        <v>2048</v>
      </c>
      <c r="B263" t="s">
        <v>175</v>
      </c>
      <c r="C263">
        <v>2</v>
      </c>
      <c r="D263">
        <v>10.573</v>
      </c>
    </row>
    <row r="264" spans="1:4" x14ac:dyDescent="0.25">
      <c r="A264">
        <f t="shared" si="4"/>
        <v>2048</v>
      </c>
      <c r="B264" t="s">
        <v>175</v>
      </c>
      <c r="C264">
        <v>3</v>
      </c>
      <c r="D264">
        <v>10.573</v>
      </c>
    </row>
    <row r="265" spans="1:4" x14ac:dyDescent="0.25">
      <c r="A265">
        <f t="shared" si="4"/>
        <v>2048</v>
      </c>
      <c r="B265" t="s">
        <v>175</v>
      </c>
      <c r="C265">
        <v>4</v>
      </c>
      <c r="D265">
        <v>10.573</v>
      </c>
    </row>
    <row r="266" spans="1:4" x14ac:dyDescent="0.25">
      <c r="A266">
        <f t="shared" si="4"/>
        <v>2048</v>
      </c>
      <c r="B266" t="s">
        <v>175</v>
      </c>
      <c r="C266">
        <v>5</v>
      </c>
      <c r="D266">
        <v>10.573</v>
      </c>
    </row>
    <row r="267" spans="1:4" x14ac:dyDescent="0.25">
      <c r="A267">
        <f t="shared" si="4"/>
        <v>2048</v>
      </c>
      <c r="B267" t="s">
        <v>175</v>
      </c>
      <c r="C267">
        <v>6</v>
      </c>
      <c r="D267">
        <v>10.573</v>
      </c>
    </row>
    <row r="268" spans="1:4" x14ac:dyDescent="0.25">
      <c r="A268">
        <f t="shared" si="4"/>
        <v>2048</v>
      </c>
      <c r="B268" t="s">
        <v>175</v>
      </c>
      <c r="C268">
        <v>7</v>
      </c>
      <c r="D268">
        <v>10.573</v>
      </c>
    </row>
    <row r="269" spans="1:4" x14ac:dyDescent="0.25">
      <c r="A269">
        <f t="shared" si="4"/>
        <v>2048</v>
      </c>
      <c r="B269" t="s">
        <v>175</v>
      </c>
      <c r="C269">
        <v>8</v>
      </c>
      <c r="D269">
        <v>6.0229999999999997</v>
      </c>
    </row>
    <row r="270" spans="1:4" x14ac:dyDescent="0.25">
      <c r="A270">
        <f t="shared" si="4"/>
        <v>2048</v>
      </c>
      <c r="B270" t="s">
        <v>175</v>
      </c>
      <c r="C270">
        <v>9</v>
      </c>
      <c r="D270">
        <v>16.573</v>
      </c>
    </row>
    <row r="271" spans="1:4" x14ac:dyDescent="0.25">
      <c r="A271">
        <f t="shared" si="4"/>
        <v>2048</v>
      </c>
      <c r="B271" t="s">
        <v>175</v>
      </c>
      <c r="C271">
        <v>10</v>
      </c>
      <c r="D271">
        <v>10.573</v>
      </c>
    </row>
    <row r="272" spans="1:4" x14ac:dyDescent="0.25">
      <c r="A272">
        <f t="shared" si="4"/>
        <v>2049</v>
      </c>
      <c r="B272" t="s">
        <v>176</v>
      </c>
      <c r="C272">
        <v>1</v>
      </c>
      <c r="D272">
        <v>10.522</v>
      </c>
    </row>
    <row r="273" spans="1:4" x14ac:dyDescent="0.25">
      <c r="A273">
        <f t="shared" si="4"/>
        <v>2049</v>
      </c>
      <c r="B273" t="s">
        <v>176</v>
      </c>
      <c r="C273">
        <v>2</v>
      </c>
      <c r="D273">
        <v>10.522</v>
      </c>
    </row>
    <row r="274" spans="1:4" x14ac:dyDescent="0.25">
      <c r="A274">
        <f t="shared" si="4"/>
        <v>2049</v>
      </c>
      <c r="B274" t="s">
        <v>176</v>
      </c>
      <c r="C274">
        <v>3</v>
      </c>
      <c r="D274">
        <v>10.522</v>
      </c>
    </row>
    <row r="275" spans="1:4" x14ac:dyDescent="0.25">
      <c r="A275">
        <f t="shared" si="4"/>
        <v>2049</v>
      </c>
      <c r="B275" t="s">
        <v>176</v>
      </c>
      <c r="C275">
        <v>4</v>
      </c>
      <c r="D275">
        <v>10.522</v>
      </c>
    </row>
    <row r="276" spans="1:4" x14ac:dyDescent="0.25">
      <c r="A276">
        <f t="shared" si="4"/>
        <v>2049</v>
      </c>
      <c r="B276" t="s">
        <v>176</v>
      </c>
      <c r="C276">
        <v>5</v>
      </c>
      <c r="D276">
        <v>10.522</v>
      </c>
    </row>
    <row r="277" spans="1:4" x14ac:dyDescent="0.25">
      <c r="A277">
        <f t="shared" si="4"/>
        <v>2049</v>
      </c>
      <c r="B277" t="s">
        <v>176</v>
      </c>
      <c r="C277">
        <v>6</v>
      </c>
      <c r="D277">
        <v>10.522</v>
      </c>
    </row>
    <row r="278" spans="1:4" x14ac:dyDescent="0.25">
      <c r="A278">
        <f t="shared" si="4"/>
        <v>2049</v>
      </c>
      <c r="B278" t="s">
        <v>176</v>
      </c>
      <c r="C278">
        <v>7</v>
      </c>
      <c r="D278">
        <v>10.522</v>
      </c>
    </row>
    <row r="279" spans="1:4" x14ac:dyDescent="0.25">
      <c r="A279">
        <f t="shared" si="4"/>
        <v>2049</v>
      </c>
      <c r="B279" t="s">
        <v>176</v>
      </c>
      <c r="C279">
        <v>8</v>
      </c>
      <c r="D279">
        <v>5.9720000000000004</v>
      </c>
    </row>
    <row r="280" spans="1:4" x14ac:dyDescent="0.25">
      <c r="A280">
        <f t="shared" si="4"/>
        <v>2049</v>
      </c>
      <c r="B280" t="s">
        <v>176</v>
      </c>
      <c r="C280">
        <v>9</v>
      </c>
      <c r="D280">
        <v>16.521999999999998</v>
      </c>
    </row>
    <row r="281" spans="1:4" x14ac:dyDescent="0.25">
      <c r="A281">
        <f t="shared" si="4"/>
        <v>2049</v>
      </c>
      <c r="B281" t="s">
        <v>176</v>
      </c>
      <c r="C281">
        <v>10</v>
      </c>
      <c r="D281">
        <v>10.522</v>
      </c>
    </row>
    <row r="282" spans="1:4" x14ac:dyDescent="0.25">
      <c r="A282">
        <f t="shared" si="4"/>
        <v>2050</v>
      </c>
      <c r="B282" t="s">
        <v>177</v>
      </c>
      <c r="C282">
        <v>1</v>
      </c>
      <c r="D282">
        <v>10.455</v>
      </c>
    </row>
    <row r="283" spans="1:4" x14ac:dyDescent="0.25">
      <c r="A283">
        <f t="shared" si="4"/>
        <v>2050</v>
      </c>
      <c r="B283" t="s">
        <v>177</v>
      </c>
      <c r="C283">
        <v>2</v>
      </c>
      <c r="D283">
        <v>10.455</v>
      </c>
    </row>
    <row r="284" spans="1:4" x14ac:dyDescent="0.25">
      <c r="A284">
        <f t="shared" si="4"/>
        <v>2050</v>
      </c>
      <c r="B284" t="s">
        <v>177</v>
      </c>
      <c r="C284">
        <v>3</v>
      </c>
      <c r="D284">
        <v>10.455</v>
      </c>
    </row>
    <row r="285" spans="1:4" x14ac:dyDescent="0.25">
      <c r="A285">
        <f t="shared" si="4"/>
        <v>2050</v>
      </c>
      <c r="B285" t="s">
        <v>177</v>
      </c>
      <c r="C285">
        <v>4</v>
      </c>
      <c r="D285">
        <v>10.455</v>
      </c>
    </row>
    <row r="286" spans="1:4" x14ac:dyDescent="0.25">
      <c r="A286">
        <f t="shared" si="4"/>
        <v>2050</v>
      </c>
      <c r="B286" t="s">
        <v>177</v>
      </c>
      <c r="C286">
        <v>5</v>
      </c>
      <c r="D286">
        <v>10.455</v>
      </c>
    </row>
    <row r="287" spans="1:4" x14ac:dyDescent="0.25">
      <c r="A287">
        <f t="shared" si="4"/>
        <v>2050</v>
      </c>
      <c r="B287" t="s">
        <v>177</v>
      </c>
      <c r="C287">
        <v>6</v>
      </c>
      <c r="D287">
        <v>10.455</v>
      </c>
    </row>
    <row r="288" spans="1:4" x14ac:dyDescent="0.25">
      <c r="A288">
        <f t="shared" si="4"/>
        <v>2050</v>
      </c>
      <c r="B288" t="s">
        <v>177</v>
      </c>
      <c r="C288">
        <v>7</v>
      </c>
      <c r="D288">
        <v>10.455</v>
      </c>
    </row>
    <row r="289" spans="1:4" x14ac:dyDescent="0.25">
      <c r="A289">
        <f t="shared" si="4"/>
        <v>2050</v>
      </c>
      <c r="B289" t="s">
        <v>177</v>
      </c>
      <c r="C289">
        <v>8</v>
      </c>
      <c r="D289">
        <v>5.9050000000000002</v>
      </c>
    </row>
    <row r="290" spans="1:4" x14ac:dyDescent="0.25">
      <c r="A290">
        <f t="shared" si="4"/>
        <v>2050</v>
      </c>
      <c r="B290" t="s">
        <v>177</v>
      </c>
      <c r="C290">
        <v>9</v>
      </c>
      <c r="D290">
        <v>16.454999999999998</v>
      </c>
    </row>
    <row r="291" spans="1:4" x14ac:dyDescent="0.25">
      <c r="A291">
        <f t="shared" si="4"/>
        <v>2050</v>
      </c>
      <c r="B291" t="s">
        <v>177</v>
      </c>
      <c r="C291">
        <v>10</v>
      </c>
      <c r="D291">
        <v>10.455</v>
      </c>
    </row>
    <row r="292" spans="1:4" x14ac:dyDescent="0.25">
      <c r="A292">
        <f t="shared" si="4"/>
        <v>2051</v>
      </c>
      <c r="B292" t="s">
        <v>178</v>
      </c>
      <c r="C292">
        <v>1</v>
      </c>
      <c r="D292">
        <v>10.455</v>
      </c>
    </row>
    <row r="293" spans="1:4" x14ac:dyDescent="0.25">
      <c r="A293">
        <f t="shared" si="4"/>
        <v>2051</v>
      </c>
      <c r="B293" t="s">
        <v>178</v>
      </c>
      <c r="C293">
        <v>2</v>
      </c>
      <c r="D293">
        <v>10.455</v>
      </c>
    </row>
    <row r="294" spans="1:4" x14ac:dyDescent="0.25">
      <c r="A294">
        <f t="shared" si="4"/>
        <v>2051</v>
      </c>
      <c r="B294" t="s">
        <v>178</v>
      </c>
      <c r="C294">
        <v>3</v>
      </c>
      <c r="D294">
        <v>10.455</v>
      </c>
    </row>
    <row r="295" spans="1:4" x14ac:dyDescent="0.25">
      <c r="A295">
        <f t="shared" si="4"/>
        <v>2051</v>
      </c>
      <c r="B295" t="s">
        <v>178</v>
      </c>
      <c r="C295">
        <v>4</v>
      </c>
      <c r="D295">
        <v>10.455</v>
      </c>
    </row>
    <row r="296" spans="1:4" x14ac:dyDescent="0.25">
      <c r="A296">
        <f t="shared" si="4"/>
        <v>2051</v>
      </c>
      <c r="B296" t="s">
        <v>178</v>
      </c>
      <c r="C296">
        <v>5</v>
      </c>
      <c r="D296">
        <v>10.455</v>
      </c>
    </row>
    <row r="297" spans="1:4" x14ac:dyDescent="0.25">
      <c r="A297">
        <f t="shared" si="4"/>
        <v>2051</v>
      </c>
      <c r="B297" t="s">
        <v>178</v>
      </c>
      <c r="C297">
        <v>6</v>
      </c>
      <c r="D297">
        <v>10.455</v>
      </c>
    </row>
    <row r="298" spans="1:4" x14ac:dyDescent="0.25">
      <c r="A298">
        <f t="shared" si="4"/>
        <v>2051</v>
      </c>
      <c r="B298" t="s">
        <v>178</v>
      </c>
      <c r="C298">
        <v>7</v>
      </c>
      <c r="D298">
        <v>10.455</v>
      </c>
    </row>
    <row r="299" spans="1:4" x14ac:dyDescent="0.25">
      <c r="A299">
        <f t="shared" si="4"/>
        <v>2051</v>
      </c>
      <c r="B299" t="s">
        <v>178</v>
      </c>
      <c r="C299">
        <v>8</v>
      </c>
      <c r="D299">
        <v>5.9050000000000002</v>
      </c>
    </row>
    <row r="300" spans="1:4" x14ac:dyDescent="0.25">
      <c r="A300">
        <f t="shared" si="4"/>
        <v>2051</v>
      </c>
      <c r="B300" t="s">
        <v>178</v>
      </c>
      <c r="C300">
        <v>9</v>
      </c>
      <c r="D300">
        <v>16.454999999999998</v>
      </c>
    </row>
    <row r="301" spans="1:4" x14ac:dyDescent="0.25">
      <c r="A301">
        <f t="shared" si="4"/>
        <v>2051</v>
      </c>
      <c r="B301" t="s">
        <v>178</v>
      </c>
      <c r="C301">
        <v>10</v>
      </c>
      <c r="D301">
        <v>10.455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4801C-A012-4D25-A350-4CBE41BA7C65}">
  <sheetPr>
    <tabColor theme="9"/>
  </sheetPr>
  <dimension ref="B1:AA15"/>
  <sheetViews>
    <sheetView topLeftCell="A4" zoomScale="70" zoomScaleNormal="70" workbookViewId="0">
      <selection activeCell="AA11" sqref="AA11"/>
    </sheetView>
  </sheetViews>
  <sheetFormatPr defaultRowHeight="15" x14ac:dyDescent="0.25"/>
  <cols>
    <col min="1" max="1" width="2.7109375" customWidth="1"/>
    <col min="2" max="2" width="33.140625" customWidth="1"/>
    <col min="3" max="3" width="20" customWidth="1"/>
    <col min="4" max="5" width="26.7109375" customWidth="1"/>
    <col min="19" max="20" width="28.140625" customWidth="1"/>
  </cols>
  <sheetData>
    <row r="1" spans="2:27" ht="9.75" customHeight="1" thickBot="1" x14ac:dyDescent="0.3"/>
    <row r="2" spans="2:27" x14ac:dyDescent="0.25">
      <c r="B2" s="72" t="s">
        <v>447</v>
      </c>
      <c r="C2" s="281" t="s">
        <v>446</v>
      </c>
      <c r="D2" s="282"/>
      <c r="E2" s="283"/>
    </row>
    <row r="3" spans="2:27" ht="271.5" customHeight="1" thickBot="1" x14ac:dyDescent="0.3">
      <c r="B3" s="169" t="s">
        <v>102</v>
      </c>
      <c r="C3" s="284" t="str">
        <f>INDEX('Notes and Scenario Inputs'!$L$32:$L$41,MATCH($B$3,'Notes and Scenario Inputs'!$B$19:$B$28,0),1)</f>
        <v>Scenario 5 helps to answer the question “What would it mean if policy prohibited new customers from connecting to the natural gas grid and many existing customers also left the gas system to electrify?” Scenario 5 assumes the same cost and availability of renewable supply as Scenario 1 but assumes no new customers are added to the system starting in 2025, and that half of the customers who replace their existing gas heating equipment in a given year choose to electrify their homes upon that decision and leave the gas system.</v>
      </c>
      <c r="D3" s="285"/>
      <c r="E3" s="286"/>
    </row>
    <row r="4" spans="2:27" ht="19.5" thickBot="1" x14ac:dyDescent="0.3">
      <c r="S4" s="228" t="s">
        <v>585</v>
      </c>
      <c r="T4" s="229"/>
      <c r="V4" s="277" t="s">
        <v>600</v>
      </c>
      <c r="W4" s="278"/>
      <c r="X4" s="278"/>
      <c r="Y4" s="278"/>
      <c r="Z4" s="278"/>
      <c r="AA4" s="278"/>
    </row>
    <row r="5" spans="2:27" ht="19.5" thickBot="1" x14ac:dyDescent="0.3">
      <c r="D5" s="279" t="s">
        <v>502</v>
      </c>
      <c r="E5" s="280"/>
      <c r="S5" s="242" t="s">
        <v>586</v>
      </c>
      <c r="T5" s="243" t="s">
        <v>587</v>
      </c>
    </row>
    <row r="6" spans="2:27" ht="69" customHeight="1" thickBot="1" x14ac:dyDescent="0.3">
      <c r="D6" s="217" t="s">
        <v>503</v>
      </c>
      <c r="E6" s="216" t="str" cm="1">
        <f t="array" aca="1" ref="E6" ca="1">INDIRECT("'Notes and Scenario Inputs'!C"&amp;MATCH('Scenario Selection and Summary'!$B$3,'Notes and Scenario Inputs'!$B$32:$B$41,0)+29)</f>
        <v>Energy Trust of Oregon projection of savings, at $5.06/therm of first year savings</v>
      </c>
      <c r="S6" s="244" t="s">
        <v>588</v>
      </c>
      <c r="T6" s="249" t="str" cm="1">
        <f t="array" ref="T6">INDEX('Notes and Scenario Inputs'!$I$32:$I$41,VLOOKUP('Scenario Selection and Summary'!$B$3,'Notes and Scenario Inputs'!$B$19:$D$282,3,FALSE),1)&amp;" Dth / year"</f>
        <v>13000000 Dth / year</v>
      </c>
    </row>
    <row r="7" spans="2:27" ht="69.599999999999994" customHeight="1" thickBot="1" x14ac:dyDescent="0.3">
      <c r="D7" s="217" t="s">
        <v>505</v>
      </c>
      <c r="E7" s="216" t="str" cm="1">
        <f t="array" aca="1" ref="E7" ca="1">INDIRECT("'Notes and Scenario Inputs'!D"&amp;MATCH('Scenario Selection and Summary'!$B$3,'Notes and Scenario Inputs'!$B$32:$B$41,0)+29)</f>
        <v>30% more than ETO projection of savings at $1.79/therm of first year savings</v>
      </c>
      <c r="S7" s="244" t="s">
        <v>589</v>
      </c>
      <c r="T7" s="249" t="str" cm="1">
        <f t="array" ref="T7">INDEX('Notes and Scenario Inputs'!$J$32:$J$41,VLOOKUP('Scenario Selection and Summary'!$B$3,'Notes and Scenario Inputs'!$B$19:$D$282,3,FALSE),1)&amp;" Dth / year"</f>
        <v>27000000 Dth / year</v>
      </c>
    </row>
    <row r="8" spans="2:27" ht="65.45" customHeight="1" thickBot="1" x14ac:dyDescent="0.3">
      <c r="D8" s="218" t="s">
        <v>507</v>
      </c>
      <c r="E8" s="216" t="str" cm="1">
        <f t="array" aca="1" ref="E8" ca="1">INDIRECT("'Notes and Scenario Inputs'!E"&amp;MATCH('Scenario Selection and Summary'!$B$3,'Notes and Scenario Inputs'!$B$32:$B$41,0)+29)</f>
        <v>$4,000 total cost to utility for a residential heating system, $13,000 for a Commercial heating System; $1600 for residential water heater</v>
      </c>
      <c r="S8" s="244" t="s">
        <v>590</v>
      </c>
      <c r="T8" s="245" t="str" cm="1">
        <f t="array" ref="T8">INDEX('Notes and Scenario Inputs'!$H$32:$H$41,VLOOKUP('Scenario Selection and Summary'!$B$3,'Notes and Scenario Inputs'!$B$19:$D$282,3,FALSE),1)*100&amp;"% of Deliveries by Energy"</f>
        <v>20% of Deliveries by Energy</v>
      </c>
    </row>
    <row r="9" spans="2:27" ht="72" customHeight="1" thickBot="1" x14ac:dyDescent="0.3">
      <c r="D9" s="218" t="s">
        <v>509</v>
      </c>
      <c r="E9" s="216" t="str" cm="1">
        <f t="array" aca="1" ref="E9" ca="1">INDIRECT("'Notes and Scenario Inputs'!F"&amp;MATCH('Scenario Selection and Summary'!$B$3,'Notes and Scenario Inputs'!$B$32:$B$41,0)+29)</f>
        <v>Net cost of $400 to utility</v>
      </c>
      <c r="S9" s="244" t="s">
        <v>591</v>
      </c>
      <c r="T9" s="245" t="s">
        <v>592</v>
      </c>
    </row>
    <row r="10" spans="2:27" x14ac:dyDescent="0.25">
      <c r="S10" s="248" t="s">
        <v>593</v>
      </c>
      <c r="T10" s="247" t="s">
        <v>594</v>
      </c>
    </row>
    <row r="11" spans="2:27" x14ac:dyDescent="0.25">
      <c r="S11" s="246"/>
      <c r="T11" s="247" t="s">
        <v>595</v>
      </c>
      <c r="X11" s="6"/>
    </row>
    <row r="12" spans="2:27" ht="15.75" thickBot="1" x14ac:dyDescent="0.3">
      <c r="S12" s="244"/>
      <c r="T12" s="245" t="s">
        <v>596</v>
      </c>
      <c r="X12" s="252"/>
    </row>
    <row r="13" spans="2:27" ht="15.75" thickBot="1" x14ac:dyDescent="0.3">
      <c r="S13" s="244" t="s">
        <v>597</v>
      </c>
      <c r="T13" s="245" t="s">
        <v>592</v>
      </c>
      <c r="X13" s="6"/>
    </row>
    <row r="14" spans="2:27" x14ac:dyDescent="0.25">
      <c r="S14" s="275" t="s">
        <v>87</v>
      </c>
      <c r="T14" s="247" t="s">
        <v>598</v>
      </c>
    </row>
    <row r="15" spans="2:27" ht="15.75" thickBot="1" x14ac:dyDescent="0.3">
      <c r="S15" s="276"/>
      <c r="T15" s="245" t="s">
        <v>599</v>
      </c>
    </row>
  </sheetData>
  <mergeCells count="5">
    <mergeCell ref="S14:S15"/>
    <mergeCell ref="V4:AA4"/>
    <mergeCell ref="D5:E5"/>
    <mergeCell ref="C2:E2"/>
    <mergeCell ref="C3:E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87B6DF-426C-452D-B9C5-69F87F1169AF}">
          <x14:formula1>
            <xm:f>'Notes and Scenario Inputs'!$B$19:$B$28</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D6DED-F08B-4FDA-AA0F-8C6288734163}">
  <sheetPr>
    <tabColor rgb="FF00B0F0"/>
  </sheetPr>
  <dimension ref="A1:D301"/>
  <sheetViews>
    <sheetView workbookViewId="0">
      <selection sqref="A1:A2"/>
    </sheetView>
  </sheetViews>
  <sheetFormatPr defaultRowHeight="15" x14ac:dyDescent="0.25"/>
  <sheetData>
    <row r="1" spans="1:4" x14ac:dyDescent="0.25">
      <c r="A1" t="s">
        <v>242</v>
      </c>
      <c r="B1" t="s">
        <v>30</v>
      </c>
      <c r="C1" t="s">
        <v>46</v>
      </c>
      <c r="D1" t="s">
        <v>31</v>
      </c>
    </row>
    <row r="2" spans="1:4" x14ac:dyDescent="0.25">
      <c r="A2">
        <f>VALUE(RIGHT(B2,4))</f>
        <v>2022</v>
      </c>
      <c r="B2" t="s">
        <v>179</v>
      </c>
      <c r="C2">
        <v>1</v>
      </c>
      <c r="D2">
        <v>14.186</v>
      </c>
    </row>
    <row r="3" spans="1:4" x14ac:dyDescent="0.25">
      <c r="A3">
        <f t="shared" ref="A3:A66" si="0">VALUE(RIGHT(B3,4))</f>
        <v>2022</v>
      </c>
      <c r="B3" t="s">
        <v>179</v>
      </c>
      <c r="C3">
        <v>2</v>
      </c>
      <c r="D3">
        <v>14.186</v>
      </c>
    </row>
    <row r="4" spans="1:4" x14ac:dyDescent="0.25">
      <c r="A4">
        <f t="shared" si="0"/>
        <v>2022</v>
      </c>
      <c r="B4" t="s">
        <v>179</v>
      </c>
      <c r="C4">
        <v>3</v>
      </c>
      <c r="D4">
        <v>14.186</v>
      </c>
    </row>
    <row r="5" spans="1:4" x14ac:dyDescent="0.25">
      <c r="A5">
        <f t="shared" si="0"/>
        <v>2022</v>
      </c>
      <c r="B5" t="s">
        <v>179</v>
      </c>
      <c r="C5">
        <v>4</v>
      </c>
      <c r="D5">
        <v>14.186</v>
      </c>
    </row>
    <row r="6" spans="1:4" x14ac:dyDescent="0.25">
      <c r="A6">
        <f t="shared" si="0"/>
        <v>2022</v>
      </c>
      <c r="B6" t="s">
        <v>179</v>
      </c>
      <c r="C6">
        <v>5</v>
      </c>
      <c r="D6">
        <v>14.186</v>
      </c>
    </row>
    <row r="7" spans="1:4" x14ac:dyDescent="0.25">
      <c r="A7">
        <f t="shared" si="0"/>
        <v>2022</v>
      </c>
      <c r="B7" t="s">
        <v>179</v>
      </c>
      <c r="C7">
        <v>6</v>
      </c>
      <c r="D7">
        <v>14.186</v>
      </c>
    </row>
    <row r="8" spans="1:4" x14ac:dyDescent="0.25">
      <c r="A8">
        <f t="shared" si="0"/>
        <v>2022</v>
      </c>
      <c r="B8" t="s">
        <v>179</v>
      </c>
      <c r="C8">
        <v>7</v>
      </c>
      <c r="D8">
        <v>14.186</v>
      </c>
    </row>
    <row r="9" spans="1:4" x14ac:dyDescent="0.25">
      <c r="A9">
        <f t="shared" si="0"/>
        <v>2022</v>
      </c>
      <c r="B9" t="s">
        <v>179</v>
      </c>
      <c r="C9">
        <v>8</v>
      </c>
      <c r="D9">
        <v>8.4860000000000007</v>
      </c>
    </row>
    <row r="10" spans="1:4" x14ac:dyDescent="0.25">
      <c r="A10">
        <f t="shared" si="0"/>
        <v>2022</v>
      </c>
      <c r="B10" t="s">
        <v>179</v>
      </c>
      <c r="C10">
        <v>9</v>
      </c>
      <c r="D10">
        <v>17.186</v>
      </c>
    </row>
    <row r="11" spans="1:4" x14ac:dyDescent="0.25">
      <c r="A11">
        <f t="shared" si="0"/>
        <v>2022</v>
      </c>
      <c r="B11" t="s">
        <v>179</v>
      </c>
      <c r="C11">
        <v>10</v>
      </c>
      <c r="D11">
        <v>14.186</v>
      </c>
    </row>
    <row r="12" spans="1:4" x14ac:dyDescent="0.25">
      <c r="A12">
        <f t="shared" si="0"/>
        <v>2023</v>
      </c>
      <c r="B12" t="s">
        <v>180</v>
      </c>
      <c r="C12">
        <v>1</v>
      </c>
      <c r="D12">
        <v>15.097</v>
      </c>
    </row>
    <row r="13" spans="1:4" x14ac:dyDescent="0.25">
      <c r="A13">
        <f t="shared" si="0"/>
        <v>2023</v>
      </c>
      <c r="B13" t="s">
        <v>180</v>
      </c>
      <c r="C13">
        <v>2</v>
      </c>
      <c r="D13">
        <v>15.097</v>
      </c>
    </row>
    <row r="14" spans="1:4" x14ac:dyDescent="0.25">
      <c r="A14">
        <f t="shared" si="0"/>
        <v>2023</v>
      </c>
      <c r="B14" t="s">
        <v>180</v>
      </c>
      <c r="C14">
        <v>3</v>
      </c>
      <c r="D14">
        <v>15.097</v>
      </c>
    </row>
    <row r="15" spans="1:4" x14ac:dyDescent="0.25">
      <c r="A15">
        <f t="shared" si="0"/>
        <v>2023</v>
      </c>
      <c r="B15" t="s">
        <v>180</v>
      </c>
      <c r="C15">
        <v>4</v>
      </c>
      <c r="D15">
        <v>15.097</v>
      </c>
    </row>
    <row r="16" spans="1:4" x14ac:dyDescent="0.25">
      <c r="A16">
        <f t="shared" si="0"/>
        <v>2023</v>
      </c>
      <c r="B16" t="s">
        <v>180</v>
      </c>
      <c r="C16">
        <v>5</v>
      </c>
      <c r="D16">
        <v>15.097</v>
      </c>
    </row>
    <row r="17" spans="1:4" x14ac:dyDescent="0.25">
      <c r="A17">
        <f t="shared" si="0"/>
        <v>2023</v>
      </c>
      <c r="B17" t="s">
        <v>180</v>
      </c>
      <c r="C17">
        <v>6</v>
      </c>
      <c r="D17">
        <v>15.097</v>
      </c>
    </row>
    <row r="18" spans="1:4" x14ac:dyDescent="0.25">
      <c r="A18">
        <f t="shared" si="0"/>
        <v>2023</v>
      </c>
      <c r="B18" t="s">
        <v>180</v>
      </c>
      <c r="C18">
        <v>7</v>
      </c>
      <c r="D18">
        <v>15.097</v>
      </c>
    </row>
    <row r="19" spans="1:4" x14ac:dyDescent="0.25">
      <c r="A19">
        <f t="shared" si="0"/>
        <v>2023</v>
      </c>
      <c r="B19" t="s">
        <v>180</v>
      </c>
      <c r="C19">
        <v>8</v>
      </c>
      <c r="D19">
        <v>9.3970000000000002</v>
      </c>
    </row>
    <row r="20" spans="1:4" x14ac:dyDescent="0.25">
      <c r="A20">
        <f t="shared" si="0"/>
        <v>2023</v>
      </c>
      <c r="B20" t="s">
        <v>180</v>
      </c>
      <c r="C20">
        <v>9</v>
      </c>
      <c r="D20">
        <v>18.097000000000001</v>
      </c>
    </row>
    <row r="21" spans="1:4" x14ac:dyDescent="0.25">
      <c r="A21">
        <f t="shared" si="0"/>
        <v>2023</v>
      </c>
      <c r="B21" t="s">
        <v>180</v>
      </c>
      <c r="C21">
        <v>10</v>
      </c>
      <c r="D21">
        <v>15.097</v>
      </c>
    </row>
    <row r="22" spans="1:4" x14ac:dyDescent="0.25">
      <c r="A22">
        <f t="shared" si="0"/>
        <v>2024</v>
      </c>
      <c r="B22" t="s">
        <v>181</v>
      </c>
      <c r="C22">
        <v>1</v>
      </c>
      <c r="D22">
        <v>16.236000000000001</v>
      </c>
    </row>
    <row r="23" spans="1:4" x14ac:dyDescent="0.25">
      <c r="A23">
        <f t="shared" si="0"/>
        <v>2024</v>
      </c>
      <c r="B23" t="s">
        <v>181</v>
      </c>
      <c r="C23">
        <v>2</v>
      </c>
      <c r="D23">
        <v>16.236000000000001</v>
      </c>
    </row>
    <row r="24" spans="1:4" x14ac:dyDescent="0.25">
      <c r="A24">
        <f t="shared" si="0"/>
        <v>2024</v>
      </c>
      <c r="B24" t="s">
        <v>181</v>
      </c>
      <c r="C24">
        <v>3</v>
      </c>
      <c r="D24">
        <v>16.236000000000001</v>
      </c>
    </row>
    <row r="25" spans="1:4" x14ac:dyDescent="0.25">
      <c r="A25">
        <f t="shared" si="0"/>
        <v>2024</v>
      </c>
      <c r="B25" t="s">
        <v>181</v>
      </c>
      <c r="C25">
        <v>4</v>
      </c>
      <c r="D25">
        <v>16.236000000000001</v>
      </c>
    </row>
    <row r="26" spans="1:4" x14ac:dyDescent="0.25">
      <c r="A26">
        <f t="shared" si="0"/>
        <v>2024</v>
      </c>
      <c r="B26" t="s">
        <v>181</v>
      </c>
      <c r="C26">
        <v>5</v>
      </c>
      <c r="D26">
        <v>16.236000000000001</v>
      </c>
    </row>
    <row r="27" spans="1:4" x14ac:dyDescent="0.25">
      <c r="A27">
        <f t="shared" si="0"/>
        <v>2024</v>
      </c>
      <c r="B27" t="s">
        <v>181</v>
      </c>
      <c r="C27">
        <v>6</v>
      </c>
      <c r="D27">
        <v>16.236000000000001</v>
      </c>
    </row>
    <row r="28" spans="1:4" x14ac:dyDescent="0.25">
      <c r="A28">
        <f t="shared" si="0"/>
        <v>2024</v>
      </c>
      <c r="B28" t="s">
        <v>181</v>
      </c>
      <c r="C28">
        <v>7</v>
      </c>
      <c r="D28">
        <v>16.236000000000001</v>
      </c>
    </row>
    <row r="29" spans="1:4" x14ac:dyDescent="0.25">
      <c r="A29">
        <f t="shared" si="0"/>
        <v>2024</v>
      </c>
      <c r="B29" t="s">
        <v>181</v>
      </c>
      <c r="C29">
        <v>8</v>
      </c>
      <c r="D29">
        <v>10.536</v>
      </c>
    </row>
    <row r="30" spans="1:4" x14ac:dyDescent="0.25">
      <c r="A30">
        <f t="shared" si="0"/>
        <v>2024</v>
      </c>
      <c r="B30" t="s">
        <v>181</v>
      </c>
      <c r="C30">
        <v>9</v>
      </c>
      <c r="D30">
        <v>19.236000000000001</v>
      </c>
    </row>
    <row r="31" spans="1:4" x14ac:dyDescent="0.25">
      <c r="A31">
        <f t="shared" si="0"/>
        <v>2024</v>
      </c>
      <c r="B31" t="s">
        <v>181</v>
      </c>
      <c r="C31">
        <v>10</v>
      </c>
      <c r="D31">
        <v>16.236000000000001</v>
      </c>
    </row>
    <row r="32" spans="1:4" x14ac:dyDescent="0.25">
      <c r="A32">
        <f t="shared" si="0"/>
        <v>2025</v>
      </c>
      <c r="B32" t="s">
        <v>182</v>
      </c>
      <c r="C32">
        <v>1</v>
      </c>
      <c r="D32">
        <v>15.804</v>
      </c>
    </row>
    <row r="33" spans="1:4" x14ac:dyDescent="0.25">
      <c r="A33">
        <f t="shared" si="0"/>
        <v>2025</v>
      </c>
      <c r="B33" t="s">
        <v>182</v>
      </c>
      <c r="C33">
        <v>2</v>
      </c>
      <c r="D33">
        <v>15.804</v>
      </c>
    </row>
    <row r="34" spans="1:4" x14ac:dyDescent="0.25">
      <c r="A34">
        <f t="shared" si="0"/>
        <v>2025</v>
      </c>
      <c r="B34" t="s">
        <v>182</v>
      </c>
      <c r="C34">
        <v>3</v>
      </c>
      <c r="D34">
        <v>15.804</v>
      </c>
    </row>
    <row r="35" spans="1:4" x14ac:dyDescent="0.25">
      <c r="A35">
        <f t="shared" si="0"/>
        <v>2025</v>
      </c>
      <c r="B35" t="s">
        <v>182</v>
      </c>
      <c r="C35">
        <v>4</v>
      </c>
      <c r="D35">
        <v>15.804</v>
      </c>
    </row>
    <row r="36" spans="1:4" x14ac:dyDescent="0.25">
      <c r="A36">
        <f t="shared" si="0"/>
        <v>2025</v>
      </c>
      <c r="B36" t="s">
        <v>182</v>
      </c>
      <c r="C36">
        <v>5</v>
      </c>
      <c r="D36">
        <v>15.804</v>
      </c>
    </row>
    <row r="37" spans="1:4" x14ac:dyDescent="0.25">
      <c r="A37">
        <f t="shared" si="0"/>
        <v>2025</v>
      </c>
      <c r="B37" t="s">
        <v>182</v>
      </c>
      <c r="C37">
        <v>6</v>
      </c>
      <c r="D37">
        <v>15.804</v>
      </c>
    </row>
    <row r="38" spans="1:4" x14ac:dyDescent="0.25">
      <c r="A38">
        <f t="shared" si="0"/>
        <v>2025</v>
      </c>
      <c r="B38" t="s">
        <v>182</v>
      </c>
      <c r="C38">
        <v>7</v>
      </c>
      <c r="D38">
        <v>15.804</v>
      </c>
    </row>
    <row r="39" spans="1:4" x14ac:dyDescent="0.25">
      <c r="A39">
        <f t="shared" si="0"/>
        <v>2025</v>
      </c>
      <c r="B39" t="s">
        <v>182</v>
      </c>
      <c r="C39">
        <v>8</v>
      </c>
      <c r="D39">
        <v>10.103999999999999</v>
      </c>
    </row>
    <row r="40" spans="1:4" x14ac:dyDescent="0.25">
      <c r="A40">
        <f t="shared" si="0"/>
        <v>2025</v>
      </c>
      <c r="B40" t="s">
        <v>182</v>
      </c>
      <c r="C40">
        <v>9</v>
      </c>
      <c r="D40">
        <v>18.803999999999998</v>
      </c>
    </row>
    <row r="41" spans="1:4" x14ac:dyDescent="0.25">
      <c r="A41">
        <f t="shared" si="0"/>
        <v>2025</v>
      </c>
      <c r="B41" t="s">
        <v>182</v>
      </c>
      <c r="C41">
        <v>10</v>
      </c>
      <c r="D41">
        <v>15.804</v>
      </c>
    </row>
    <row r="42" spans="1:4" x14ac:dyDescent="0.25">
      <c r="A42">
        <f t="shared" si="0"/>
        <v>2026</v>
      </c>
      <c r="B42" t="s">
        <v>183</v>
      </c>
      <c r="C42">
        <v>1</v>
      </c>
      <c r="D42">
        <v>16.373999999999999</v>
      </c>
    </row>
    <row r="43" spans="1:4" x14ac:dyDescent="0.25">
      <c r="A43">
        <f t="shared" si="0"/>
        <v>2026</v>
      </c>
      <c r="B43" t="s">
        <v>183</v>
      </c>
      <c r="C43">
        <v>2</v>
      </c>
      <c r="D43">
        <v>16.373999999999999</v>
      </c>
    </row>
    <row r="44" spans="1:4" x14ac:dyDescent="0.25">
      <c r="A44">
        <f t="shared" si="0"/>
        <v>2026</v>
      </c>
      <c r="B44" t="s">
        <v>183</v>
      </c>
      <c r="C44">
        <v>3</v>
      </c>
      <c r="D44">
        <v>16.373999999999999</v>
      </c>
    </row>
    <row r="45" spans="1:4" x14ac:dyDescent="0.25">
      <c r="A45">
        <f t="shared" si="0"/>
        <v>2026</v>
      </c>
      <c r="B45" t="s">
        <v>183</v>
      </c>
      <c r="C45">
        <v>4</v>
      </c>
      <c r="D45">
        <v>16.373999999999999</v>
      </c>
    </row>
    <row r="46" spans="1:4" x14ac:dyDescent="0.25">
      <c r="A46">
        <f t="shared" si="0"/>
        <v>2026</v>
      </c>
      <c r="B46" t="s">
        <v>183</v>
      </c>
      <c r="C46">
        <v>5</v>
      </c>
      <c r="D46">
        <v>16.373999999999999</v>
      </c>
    </row>
    <row r="47" spans="1:4" x14ac:dyDescent="0.25">
      <c r="A47">
        <f t="shared" si="0"/>
        <v>2026</v>
      </c>
      <c r="B47" t="s">
        <v>183</v>
      </c>
      <c r="C47">
        <v>6</v>
      </c>
      <c r="D47">
        <v>16.373999999999999</v>
      </c>
    </row>
    <row r="48" spans="1:4" x14ac:dyDescent="0.25">
      <c r="A48">
        <f t="shared" si="0"/>
        <v>2026</v>
      </c>
      <c r="B48" t="s">
        <v>183</v>
      </c>
      <c r="C48">
        <v>7</v>
      </c>
      <c r="D48">
        <v>16.373999999999999</v>
      </c>
    </row>
    <row r="49" spans="1:4" x14ac:dyDescent="0.25">
      <c r="A49">
        <f t="shared" si="0"/>
        <v>2026</v>
      </c>
      <c r="B49" t="s">
        <v>183</v>
      </c>
      <c r="C49">
        <v>8</v>
      </c>
      <c r="D49">
        <v>10.673999999999999</v>
      </c>
    </row>
    <row r="50" spans="1:4" x14ac:dyDescent="0.25">
      <c r="A50">
        <f t="shared" si="0"/>
        <v>2026</v>
      </c>
      <c r="B50" t="s">
        <v>183</v>
      </c>
      <c r="C50">
        <v>9</v>
      </c>
      <c r="D50">
        <v>19.373999999999999</v>
      </c>
    </row>
    <row r="51" spans="1:4" x14ac:dyDescent="0.25">
      <c r="A51">
        <f t="shared" si="0"/>
        <v>2026</v>
      </c>
      <c r="B51" t="s">
        <v>183</v>
      </c>
      <c r="C51">
        <v>10</v>
      </c>
      <c r="D51">
        <v>16.373999999999999</v>
      </c>
    </row>
    <row r="52" spans="1:4" x14ac:dyDescent="0.25">
      <c r="A52">
        <f t="shared" si="0"/>
        <v>2027</v>
      </c>
      <c r="B52" t="s">
        <v>184</v>
      </c>
      <c r="C52">
        <v>1</v>
      </c>
      <c r="D52">
        <v>16.423999999999999</v>
      </c>
    </row>
    <row r="53" spans="1:4" x14ac:dyDescent="0.25">
      <c r="A53">
        <f t="shared" si="0"/>
        <v>2027</v>
      </c>
      <c r="B53" t="s">
        <v>184</v>
      </c>
      <c r="C53">
        <v>2</v>
      </c>
      <c r="D53">
        <v>16.423999999999999</v>
      </c>
    </row>
    <row r="54" spans="1:4" x14ac:dyDescent="0.25">
      <c r="A54">
        <f t="shared" si="0"/>
        <v>2027</v>
      </c>
      <c r="B54" t="s">
        <v>184</v>
      </c>
      <c r="C54">
        <v>3</v>
      </c>
      <c r="D54">
        <v>16.423999999999999</v>
      </c>
    </row>
    <row r="55" spans="1:4" x14ac:dyDescent="0.25">
      <c r="A55">
        <f t="shared" si="0"/>
        <v>2027</v>
      </c>
      <c r="B55" t="s">
        <v>184</v>
      </c>
      <c r="C55">
        <v>4</v>
      </c>
      <c r="D55">
        <v>16.423999999999999</v>
      </c>
    </row>
    <row r="56" spans="1:4" x14ac:dyDescent="0.25">
      <c r="A56">
        <f t="shared" si="0"/>
        <v>2027</v>
      </c>
      <c r="B56" t="s">
        <v>184</v>
      </c>
      <c r="C56">
        <v>5</v>
      </c>
      <c r="D56">
        <v>16.423999999999999</v>
      </c>
    </row>
    <row r="57" spans="1:4" x14ac:dyDescent="0.25">
      <c r="A57">
        <f t="shared" si="0"/>
        <v>2027</v>
      </c>
      <c r="B57" t="s">
        <v>184</v>
      </c>
      <c r="C57">
        <v>6</v>
      </c>
      <c r="D57">
        <v>16.423999999999999</v>
      </c>
    </row>
    <row r="58" spans="1:4" x14ac:dyDescent="0.25">
      <c r="A58">
        <f t="shared" si="0"/>
        <v>2027</v>
      </c>
      <c r="B58" t="s">
        <v>184</v>
      </c>
      <c r="C58">
        <v>7</v>
      </c>
      <c r="D58">
        <v>16.423999999999999</v>
      </c>
    </row>
    <row r="59" spans="1:4" x14ac:dyDescent="0.25">
      <c r="A59">
        <f t="shared" si="0"/>
        <v>2027</v>
      </c>
      <c r="B59" t="s">
        <v>184</v>
      </c>
      <c r="C59">
        <v>8</v>
      </c>
      <c r="D59">
        <v>10.724</v>
      </c>
    </row>
    <row r="60" spans="1:4" x14ac:dyDescent="0.25">
      <c r="A60">
        <f t="shared" si="0"/>
        <v>2027</v>
      </c>
      <c r="B60" t="s">
        <v>184</v>
      </c>
      <c r="C60">
        <v>9</v>
      </c>
      <c r="D60">
        <v>19.423999999999999</v>
      </c>
    </row>
    <row r="61" spans="1:4" x14ac:dyDescent="0.25">
      <c r="A61">
        <f t="shared" si="0"/>
        <v>2027</v>
      </c>
      <c r="B61" t="s">
        <v>184</v>
      </c>
      <c r="C61">
        <v>10</v>
      </c>
      <c r="D61">
        <v>16.423999999999999</v>
      </c>
    </row>
    <row r="62" spans="1:4" x14ac:dyDescent="0.25">
      <c r="A62">
        <f t="shared" si="0"/>
        <v>2028</v>
      </c>
      <c r="B62" t="s">
        <v>185</v>
      </c>
      <c r="C62">
        <v>1</v>
      </c>
      <c r="D62">
        <v>16.367999999999999</v>
      </c>
    </row>
    <row r="63" spans="1:4" x14ac:dyDescent="0.25">
      <c r="A63">
        <f t="shared" si="0"/>
        <v>2028</v>
      </c>
      <c r="B63" t="s">
        <v>185</v>
      </c>
      <c r="C63">
        <v>2</v>
      </c>
      <c r="D63">
        <v>16.367999999999999</v>
      </c>
    </row>
    <row r="64" spans="1:4" x14ac:dyDescent="0.25">
      <c r="A64">
        <f t="shared" si="0"/>
        <v>2028</v>
      </c>
      <c r="B64" t="s">
        <v>185</v>
      </c>
      <c r="C64">
        <v>3</v>
      </c>
      <c r="D64">
        <v>16.367999999999999</v>
      </c>
    </row>
    <row r="65" spans="1:4" x14ac:dyDescent="0.25">
      <c r="A65">
        <f t="shared" si="0"/>
        <v>2028</v>
      </c>
      <c r="B65" t="s">
        <v>185</v>
      </c>
      <c r="C65">
        <v>4</v>
      </c>
      <c r="D65">
        <v>16.367999999999999</v>
      </c>
    </row>
    <row r="66" spans="1:4" x14ac:dyDescent="0.25">
      <c r="A66">
        <f t="shared" si="0"/>
        <v>2028</v>
      </c>
      <c r="B66" t="s">
        <v>185</v>
      </c>
      <c r="C66">
        <v>5</v>
      </c>
      <c r="D66">
        <v>16.367999999999999</v>
      </c>
    </row>
    <row r="67" spans="1:4" x14ac:dyDescent="0.25">
      <c r="A67">
        <f t="shared" ref="A67:A130" si="1">VALUE(RIGHT(B67,4))</f>
        <v>2028</v>
      </c>
      <c r="B67" t="s">
        <v>185</v>
      </c>
      <c r="C67">
        <v>6</v>
      </c>
      <c r="D67">
        <v>16.367999999999999</v>
      </c>
    </row>
    <row r="68" spans="1:4" x14ac:dyDescent="0.25">
      <c r="A68">
        <f t="shared" si="1"/>
        <v>2028</v>
      </c>
      <c r="B68" t="s">
        <v>185</v>
      </c>
      <c r="C68">
        <v>7</v>
      </c>
      <c r="D68">
        <v>16.367999999999999</v>
      </c>
    </row>
    <row r="69" spans="1:4" x14ac:dyDescent="0.25">
      <c r="A69">
        <f t="shared" si="1"/>
        <v>2028</v>
      </c>
      <c r="B69" t="s">
        <v>185</v>
      </c>
      <c r="C69">
        <v>8</v>
      </c>
      <c r="D69">
        <v>10.667999999999999</v>
      </c>
    </row>
    <row r="70" spans="1:4" x14ac:dyDescent="0.25">
      <c r="A70">
        <f t="shared" si="1"/>
        <v>2028</v>
      </c>
      <c r="B70" t="s">
        <v>185</v>
      </c>
      <c r="C70">
        <v>9</v>
      </c>
      <c r="D70">
        <v>19.367999999999999</v>
      </c>
    </row>
    <row r="71" spans="1:4" x14ac:dyDescent="0.25">
      <c r="A71">
        <f t="shared" si="1"/>
        <v>2028</v>
      </c>
      <c r="B71" t="s">
        <v>185</v>
      </c>
      <c r="C71">
        <v>10</v>
      </c>
      <c r="D71">
        <v>16.367999999999999</v>
      </c>
    </row>
    <row r="72" spans="1:4" x14ac:dyDescent="0.25">
      <c r="A72">
        <f t="shared" si="1"/>
        <v>2029</v>
      </c>
      <c r="B72" t="s">
        <v>186</v>
      </c>
      <c r="C72">
        <v>1</v>
      </c>
      <c r="D72">
        <v>16.327999999999999</v>
      </c>
    </row>
    <row r="73" spans="1:4" x14ac:dyDescent="0.25">
      <c r="A73">
        <f t="shared" si="1"/>
        <v>2029</v>
      </c>
      <c r="B73" t="s">
        <v>186</v>
      </c>
      <c r="C73">
        <v>2</v>
      </c>
      <c r="D73">
        <v>16.327999999999999</v>
      </c>
    </row>
    <row r="74" spans="1:4" x14ac:dyDescent="0.25">
      <c r="A74">
        <f t="shared" si="1"/>
        <v>2029</v>
      </c>
      <c r="B74" t="s">
        <v>186</v>
      </c>
      <c r="C74">
        <v>3</v>
      </c>
      <c r="D74">
        <v>16.327999999999999</v>
      </c>
    </row>
    <row r="75" spans="1:4" x14ac:dyDescent="0.25">
      <c r="A75">
        <f t="shared" si="1"/>
        <v>2029</v>
      </c>
      <c r="B75" t="s">
        <v>186</v>
      </c>
      <c r="C75">
        <v>4</v>
      </c>
      <c r="D75">
        <v>16.327999999999999</v>
      </c>
    </row>
    <row r="76" spans="1:4" x14ac:dyDescent="0.25">
      <c r="A76">
        <f t="shared" si="1"/>
        <v>2029</v>
      </c>
      <c r="B76" t="s">
        <v>186</v>
      </c>
      <c r="C76">
        <v>5</v>
      </c>
      <c r="D76">
        <v>16.327999999999999</v>
      </c>
    </row>
    <row r="77" spans="1:4" x14ac:dyDescent="0.25">
      <c r="A77">
        <f t="shared" si="1"/>
        <v>2029</v>
      </c>
      <c r="B77" t="s">
        <v>186</v>
      </c>
      <c r="C77">
        <v>6</v>
      </c>
      <c r="D77">
        <v>16.327999999999999</v>
      </c>
    </row>
    <row r="78" spans="1:4" x14ac:dyDescent="0.25">
      <c r="A78">
        <f t="shared" si="1"/>
        <v>2029</v>
      </c>
      <c r="B78" t="s">
        <v>186</v>
      </c>
      <c r="C78">
        <v>7</v>
      </c>
      <c r="D78">
        <v>16.327999999999999</v>
      </c>
    </row>
    <row r="79" spans="1:4" x14ac:dyDescent="0.25">
      <c r="A79">
        <f t="shared" si="1"/>
        <v>2029</v>
      </c>
      <c r="B79" t="s">
        <v>186</v>
      </c>
      <c r="C79">
        <v>8</v>
      </c>
      <c r="D79">
        <v>10.628</v>
      </c>
    </row>
    <row r="80" spans="1:4" x14ac:dyDescent="0.25">
      <c r="A80">
        <f t="shared" si="1"/>
        <v>2029</v>
      </c>
      <c r="B80" t="s">
        <v>186</v>
      </c>
      <c r="C80">
        <v>9</v>
      </c>
      <c r="D80">
        <v>19.327999999999999</v>
      </c>
    </row>
    <row r="81" spans="1:4" x14ac:dyDescent="0.25">
      <c r="A81">
        <f t="shared" si="1"/>
        <v>2029</v>
      </c>
      <c r="B81" t="s">
        <v>186</v>
      </c>
      <c r="C81">
        <v>10</v>
      </c>
      <c r="D81">
        <v>16.327999999999999</v>
      </c>
    </row>
    <row r="82" spans="1:4" x14ac:dyDescent="0.25">
      <c r="A82">
        <f t="shared" si="1"/>
        <v>2030</v>
      </c>
      <c r="B82" t="s">
        <v>187</v>
      </c>
      <c r="C82">
        <v>1</v>
      </c>
      <c r="D82">
        <v>16.337</v>
      </c>
    </row>
    <row r="83" spans="1:4" x14ac:dyDescent="0.25">
      <c r="A83">
        <f t="shared" si="1"/>
        <v>2030</v>
      </c>
      <c r="B83" t="s">
        <v>187</v>
      </c>
      <c r="C83">
        <v>2</v>
      </c>
      <c r="D83">
        <v>16.337</v>
      </c>
    </row>
    <row r="84" spans="1:4" x14ac:dyDescent="0.25">
      <c r="A84">
        <f t="shared" si="1"/>
        <v>2030</v>
      </c>
      <c r="B84" t="s">
        <v>187</v>
      </c>
      <c r="C84">
        <v>3</v>
      </c>
      <c r="D84">
        <v>16.337</v>
      </c>
    </row>
    <row r="85" spans="1:4" x14ac:dyDescent="0.25">
      <c r="A85">
        <f t="shared" si="1"/>
        <v>2030</v>
      </c>
      <c r="B85" t="s">
        <v>187</v>
      </c>
      <c r="C85">
        <v>4</v>
      </c>
      <c r="D85">
        <v>16.337</v>
      </c>
    </row>
    <row r="86" spans="1:4" x14ac:dyDescent="0.25">
      <c r="A86">
        <f t="shared" si="1"/>
        <v>2030</v>
      </c>
      <c r="B86" t="s">
        <v>187</v>
      </c>
      <c r="C86">
        <v>5</v>
      </c>
      <c r="D86">
        <v>16.337</v>
      </c>
    </row>
    <row r="87" spans="1:4" x14ac:dyDescent="0.25">
      <c r="A87">
        <f t="shared" si="1"/>
        <v>2030</v>
      </c>
      <c r="B87" t="s">
        <v>187</v>
      </c>
      <c r="C87">
        <v>6</v>
      </c>
      <c r="D87">
        <v>16.337</v>
      </c>
    </row>
    <row r="88" spans="1:4" x14ac:dyDescent="0.25">
      <c r="A88">
        <f t="shared" si="1"/>
        <v>2030</v>
      </c>
      <c r="B88" t="s">
        <v>187</v>
      </c>
      <c r="C88">
        <v>7</v>
      </c>
      <c r="D88">
        <v>16.337</v>
      </c>
    </row>
    <row r="89" spans="1:4" x14ac:dyDescent="0.25">
      <c r="A89">
        <f t="shared" si="1"/>
        <v>2030</v>
      </c>
      <c r="B89" t="s">
        <v>187</v>
      </c>
      <c r="C89">
        <v>8</v>
      </c>
      <c r="D89">
        <v>10.637</v>
      </c>
    </row>
    <row r="90" spans="1:4" x14ac:dyDescent="0.25">
      <c r="A90">
        <f t="shared" si="1"/>
        <v>2030</v>
      </c>
      <c r="B90" t="s">
        <v>187</v>
      </c>
      <c r="C90">
        <v>9</v>
      </c>
      <c r="D90">
        <v>19.337</v>
      </c>
    </row>
    <row r="91" spans="1:4" x14ac:dyDescent="0.25">
      <c r="A91">
        <f t="shared" si="1"/>
        <v>2030</v>
      </c>
      <c r="B91" t="s">
        <v>187</v>
      </c>
      <c r="C91">
        <v>10</v>
      </c>
      <c r="D91">
        <v>16.337</v>
      </c>
    </row>
    <row r="92" spans="1:4" x14ac:dyDescent="0.25">
      <c r="A92">
        <f t="shared" si="1"/>
        <v>2031</v>
      </c>
      <c r="B92" t="s">
        <v>188</v>
      </c>
      <c r="C92">
        <v>1</v>
      </c>
      <c r="D92">
        <v>16.318999999999999</v>
      </c>
    </row>
    <row r="93" spans="1:4" x14ac:dyDescent="0.25">
      <c r="A93">
        <f t="shared" si="1"/>
        <v>2031</v>
      </c>
      <c r="B93" t="s">
        <v>188</v>
      </c>
      <c r="C93">
        <v>2</v>
      </c>
      <c r="D93">
        <v>16.318999999999999</v>
      </c>
    </row>
    <row r="94" spans="1:4" x14ac:dyDescent="0.25">
      <c r="A94">
        <f t="shared" si="1"/>
        <v>2031</v>
      </c>
      <c r="B94" t="s">
        <v>188</v>
      </c>
      <c r="C94">
        <v>3</v>
      </c>
      <c r="D94">
        <v>16.318999999999999</v>
      </c>
    </row>
    <row r="95" spans="1:4" x14ac:dyDescent="0.25">
      <c r="A95">
        <f t="shared" si="1"/>
        <v>2031</v>
      </c>
      <c r="B95" t="s">
        <v>188</v>
      </c>
      <c r="C95">
        <v>4</v>
      </c>
      <c r="D95">
        <v>16.318999999999999</v>
      </c>
    </row>
    <row r="96" spans="1:4" x14ac:dyDescent="0.25">
      <c r="A96">
        <f t="shared" si="1"/>
        <v>2031</v>
      </c>
      <c r="B96" t="s">
        <v>188</v>
      </c>
      <c r="C96">
        <v>5</v>
      </c>
      <c r="D96">
        <v>16.318999999999999</v>
      </c>
    </row>
    <row r="97" spans="1:4" x14ac:dyDescent="0.25">
      <c r="A97">
        <f t="shared" si="1"/>
        <v>2031</v>
      </c>
      <c r="B97" t="s">
        <v>188</v>
      </c>
      <c r="C97">
        <v>6</v>
      </c>
      <c r="D97">
        <v>16.318999999999999</v>
      </c>
    </row>
    <row r="98" spans="1:4" x14ac:dyDescent="0.25">
      <c r="A98">
        <f t="shared" si="1"/>
        <v>2031</v>
      </c>
      <c r="B98" t="s">
        <v>188</v>
      </c>
      <c r="C98">
        <v>7</v>
      </c>
      <c r="D98">
        <v>16.318999999999999</v>
      </c>
    </row>
    <row r="99" spans="1:4" x14ac:dyDescent="0.25">
      <c r="A99">
        <f t="shared" si="1"/>
        <v>2031</v>
      </c>
      <c r="B99" t="s">
        <v>188</v>
      </c>
      <c r="C99">
        <v>8</v>
      </c>
      <c r="D99">
        <v>10.619</v>
      </c>
    </row>
    <row r="100" spans="1:4" x14ac:dyDescent="0.25">
      <c r="A100">
        <f t="shared" si="1"/>
        <v>2031</v>
      </c>
      <c r="B100" t="s">
        <v>188</v>
      </c>
      <c r="C100">
        <v>9</v>
      </c>
      <c r="D100">
        <v>19.318999999999999</v>
      </c>
    </row>
    <row r="101" spans="1:4" x14ac:dyDescent="0.25">
      <c r="A101">
        <f t="shared" si="1"/>
        <v>2031</v>
      </c>
      <c r="B101" t="s">
        <v>188</v>
      </c>
      <c r="C101">
        <v>10</v>
      </c>
      <c r="D101">
        <v>16.318999999999999</v>
      </c>
    </row>
    <row r="102" spans="1:4" x14ac:dyDescent="0.25">
      <c r="A102">
        <f t="shared" si="1"/>
        <v>2032</v>
      </c>
      <c r="B102" t="s">
        <v>189</v>
      </c>
      <c r="C102">
        <v>1</v>
      </c>
      <c r="D102">
        <v>16.303000000000001</v>
      </c>
    </row>
    <row r="103" spans="1:4" x14ac:dyDescent="0.25">
      <c r="A103">
        <f t="shared" si="1"/>
        <v>2032</v>
      </c>
      <c r="B103" t="s">
        <v>189</v>
      </c>
      <c r="C103">
        <v>2</v>
      </c>
      <c r="D103">
        <v>16.303000000000001</v>
      </c>
    </row>
    <row r="104" spans="1:4" x14ac:dyDescent="0.25">
      <c r="A104">
        <f t="shared" si="1"/>
        <v>2032</v>
      </c>
      <c r="B104" t="s">
        <v>189</v>
      </c>
      <c r="C104">
        <v>3</v>
      </c>
      <c r="D104">
        <v>16.303000000000001</v>
      </c>
    </row>
    <row r="105" spans="1:4" x14ac:dyDescent="0.25">
      <c r="A105">
        <f t="shared" si="1"/>
        <v>2032</v>
      </c>
      <c r="B105" t="s">
        <v>189</v>
      </c>
      <c r="C105">
        <v>4</v>
      </c>
      <c r="D105">
        <v>16.303000000000001</v>
      </c>
    </row>
    <row r="106" spans="1:4" x14ac:dyDescent="0.25">
      <c r="A106">
        <f t="shared" si="1"/>
        <v>2032</v>
      </c>
      <c r="B106" t="s">
        <v>189</v>
      </c>
      <c r="C106">
        <v>5</v>
      </c>
      <c r="D106">
        <v>16.303000000000001</v>
      </c>
    </row>
    <row r="107" spans="1:4" x14ac:dyDescent="0.25">
      <c r="A107">
        <f t="shared" si="1"/>
        <v>2032</v>
      </c>
      <c r="B107" t="s">
        <v>189</v>
      </c>
      <c r="C107">
        <v>6</v>
      </c>
      <c r="D107">
        <v>16.303000000000001</v>
      </c>
    </row>
    <row r="108" spans="1:4" x14ac:dyDescent="0.25">
      <c r="A108">
        <f t="shared" si="1"/>
        <v>2032</v>
      </c>
      <c r="B108" t="s">
        <v>189</v>
      </c>
      <c r="C108">
        <v>7</v>
      </c>
      <c r="D108">
        <v>16.303000000000001</v>
      </c>
    </row>
    <row r="109" spans="1:4" x14ac:dyDescent="0.25">
      <c r="A109">
        <f t="shared" si="1"/>
        <v>2032</v>
      </c>
      <c r="B109" t="s">
        <v>189</v>
      </c>
      <c r="C109">
        <v>8</v>
      </c>
      <c r="D109">
        <v>10.603</v>
      </c>
    </row>
    <row r="110" spans="1:4" x14ac:dyDescent="0.25">
      <c r="A110">
        <f t="shared" si="1"/>
        <v>2032</v>
      </c>
      <c r="B110" t="s">
        <v>189</v>
      </c>
      <c r="C110">
        <v>9</v>
      </c>
      <c r="D110">
        <v>19.303000000000001</v>
      </c>
    </row>
    <row r="111" spans="1:4" x14ac:dyDescent="0.25">
      <c r="A111">
        <f t="shared" si="1"/>
        <v>2032</v>
      </c>
      <c r="B111" t="s">
        <v>189</v>
      </c>
      <c r="C111">
        <v>10</v>
      </c>
      <c r="D111">
        <v>16.303000000000001</v>
      </c>
    </row>
    <row r="112" spans="1:4" x14ac:dyDescent="0.25">
      <c r="A112">
        <f t="shared" si="1"/>
        <v>2033</v>
      </c>
      <c r="B112" t="s">
        <v>190</v>
      </c>
      <c r="C112">
        <v>1</v>
      </c>
      <c r="D112">
        <v>16.204000000000001</v>
      </c>
    </row>
    <row r="113" spans="1:4" x14ac:dyDescent="0.25">
      <c r="A113">
        <f t="shared" si="1"/>
        <v>2033</v>
      </c>
      <c r="B113" t="s">
        <v>190</v>
      </c>
      <c r="C113">
        <v>2</v>
      </c>
      <c r="D113">
        <v>16.204000000000001</v>
      </c>
    </row>
    <row r="114" spans="1:4" x14ac:dyDescent="0.25">
      <c r="A114">
        <f t="shared" si="1"/>
        <v>2033</v>
      </c>
      <c r="B114" t="s">
        <v>190</v>
      </c>
      <c r="C114">
        <v>3</v>
      </c>
      <c r="D114">
        <v>16.204000000000001</v>
      </c>
    </row>
    <row r="115" spans="1:4" x14ac:dyDescent="0.25">
      <c r="A115">
        <f t="shared" si="1"/>
        <v>2033</v>
      </c>
      <c r="B115" t="s">
        <v>190</v>
      </c>
      <c r="C115">
        <v>4</v>
      </c>
      <c r="D115">
        <v>16.204000000000001</v>
      </c>
    </row>
    <row r="116" spans="1:4" x14ac:dyDescent="0.25">
      <c r="A116">
        <f t="shared" si="1"/>
        <v>2033</v>
      </c>
      <c r="B116" t="s">
        <v>190</v>
      </c>
      <c r="C116">
        <v>5</v>
      </c>
      <c r="D116">
        <v>16.204000000000001</v>
      </c>
    </row>
    <row r="117" spans="1:4" x14ac:dyDescent="0.25">
      <c r="A117">
        <f t="shared" si="1"/>
        <v>2033</v>
      </c>
      <c r="B117" t="s">
        <v>190</v>
      </c>
      <c r="C117">
        <v>6</v>
      </c>
      <c r="D117">
        <v>16.204000000000001</v>
      </c>
    </row>
    <row r="118" spans="1:4" x14ac:dyDescent="0.25">
      <c r="A118">
        <f t="shared" si="1"/>
        <v>2033</v>
      </c>
      <c r="B118" t="s">
        <v>190</v>
      </c>
      <c r="C118">
        <v>7</v>
      </c>
      <c r="D118">
        <v>16.204000000000001</v>
      </c>
    </row>
    <row r="119" spans="1:4" x14ac:dyDescent="0.25">
      <c r="A119">
        <f t="shared" si="1"/>
        <v>2033</v>
      </c>
      <c r="B119" t="s">
        <v>190</v>
      </c>
      <c r="C119">
        <v>8</v>
      </c>
      <c r="D119">
        <v>10.504</v>
      </c>
    </row>
    <row r="120" spans="1:4" x14ac:dyDescent="0.25">
      <c r="A120">
        <f t="shared" si="1"/>
        <v>2033</v>
      </c>
      <c r="B120" t="s">
        <v>190</v>
      </c>
      <c r="C120">
        <v>9</v>
      </c>
      <c r="D120">
        <v>19.204000000000001</v>
      </c>
    </row>
    <row r="121" spans="1:4" x14ac:dyDescent="0.25">
      <c r="A121">
        <f t="shared" si="1"/>
        <v>2033</v>
      </c>
      <c r="B121" t="s">
        <v>190</v>
      </c>
      <c r="C121">
        <v>10</v>
      </c>
      <c r="D121">
        <v>16.204000000000001</v>
      </c>
    </row>
    <row r="122" spans="1:4" x14ac:dyDescent="0.25">
      <c r="A122">
        <f t="shared" si="1"/>
        <v>2034</v>
      </c>
      <c r="B122" t="s">
        <v>191</v>
      </c>
      <c r="C122">
        <v>1</v>
      </c>
      <c r="D122">
        <v>16.251000000000001</v>
      </c>
    </row>
    <row r="123" spans="1:4" x14ac:dyDescent="0.25">
      <c r="A123">
        <f t="shared" si="1"/>
        <v>2034</v>
      </c>
      <c r="B123" t="s">
        <v>191</v>
      </c>
      <c r="C123">
        <v>2</v>
      </c>
      <c r="D123">
        <v>16.251000000000001</v>
      </c>
    </row>
    <row r="124" spans="1:4" x14ac:dyDescent="0.25">
      <c r="A124">
        <f t="shared" si="1"/>
        <v>2034</v>
      </c>
      <c r="B124" t="s">
        <v>191</v>
      </c>
      <c r="C124">
        <v>3</v>
      </c>
      <c r="D124">
        <v>16.251000000000001</v>
      </c>
    </row>
    <row r="125" spans="1:4" x14ac:dyDescent="0.25">
      <c r="A125">
        <f t="shared" si="1"/>
        <v>2034</v>
      </c>
      <c r="B125" t="s">
        <v>191</v>
      </c>
      <c r="C125">
        <v>4</v>
      </c>
      <c r="D125">
        <v>16.251000000000001</v>
      </c>
    </row>
    <row r="126" spans="1:4" x14ac:dyDescent="0.25">
      <c r="A126">
        <f t="shared" si="1"/>
        <v>2034</v>
      </c>
      <c r="B126" t="s">
        <v>191</v>
      </c>
      <c r="C126">
        <v>5</v>
      </c>
      <c r="D126">
        <v>16.251000000000001</v>
      </c>
    </row>
    <row r="127" spans="1:4" x14ac:dyDescent="0.25">
      <c r="A127">
        <f t="shared" si="1"/>
        <v>2034</v>
      </c>
      <c r="B127" t="s">
        <v>191</v>
      </c>
      <c r="C127">
        <v>6</v>
      </c>
      <c r="D127">
        <v>16.251000000000001</v>
      </c>
    </row>
    <row r="128" spans="1:4" x14ac:dyDescent="0.25">
      <c r="A128">
        <f t="shared" si="1"/>
        <v>2034</v>
      </c>
      <c r="B128" t="s">
        <v>191</v>
      </c>
      <c r="C128">
        <v>7</v>
      </c>
      <c r="D128">
        <v>16.251000000000001</v>
      </c>
    </row>
    <row r="129" spans="1:4" x14ac:dyDescent="0.25">
      <c r="A129">
        <f t="shared" si="1"/>
        <v>2034</v>
      </c>
      <c r="B129" t="s">
        <v>191</v>
      </c>
      <c r="C129">
        <v>8</v>
      </c>
      <c r="D129">
        <v>10.551</v>
      </c>
    </row>
    <row r="130" spans="1:4" x14ac:dyDescent="0.25">
      <c r="A130">
        <f t="shared" si="1"/>
        <v>2034</v>
      </c>
      <c r="B130" t="s">
        <v>191</v>
      </c>
      <c r="C130">
        <v>9</v>
      </c>
      <c r="D130">
        <v>19.251000000000001</v>
      </c>
    </row>
    <row r="131" spans="1:4" x14ac:dyDescent="0.25">
      <c r="A131">
        <f t="shared" ref="A131:A194" si="2">VALUE(RIGHT(B131,4))</f>
        <v>2034</v>
      </c>
      <c r="B131" t="s">
        <v>191</v>
      </c>
      <c r="C131">
        <v>10</v>
      </c>
      <c r="D131">
        <v>16.251000000000001</v>
      </c>
    </row>
    <row r="132" spans="1:4" x14ac:dyDescent="0.25">
      <c r="A132">
        <f t="shared" si="2"/>
        <v>2035</v>
      </c>
      <c r="B132" t="s">
        <v>192</v>
      </c>
      <c r="C132">
        <v>1</v>
      </c>
      <c r="D132">
        <v>16.277999999999999</v>
      </c>
    </row>
    <row r="133" spans="1:4" x14ac:dyDescent="0.25">
      <c r="A133">
        <f t="shared" si="2"/>
        <v>2035</v>
      </c>
      <c r="B133" t="s">
        <v>192</v>
      </c>
      <c r="C133">
        <v>2</v>
      </c>
      <c r="D133">
        <v>16.277999999999999</v>
      </c>
    </row>
    <row r="134" spans="1:4" x14ac:dyDescent="0.25">
      <c r="A134">
        <f t="shared" si="2"/>
        <v>2035</v>
      </c>
      <c r="B134" t="s">
        <v>192</v>
      </c>
      <c r="C134">
        <v>3</v>
      </c>
      <c r="D134">
        <v>16.277999999999999</v>
      </c>
    </row>
    <row r="135" spans="1:4" x14ac:dyDescent="0.25">
      <c r="A135">
        <f t="shared" si="2"/>
        <v>2035</v>
      </c>
      <c r="B135" t="s">
        <v>192</v>
      </c>
      <c r="C135">
        <v>4</v>
      </c>
      <c r="D135">
        <v>16.277999999999999</v>
      </c>
    </row>
    <row r="136" spans="1:4" x14ac:dyDescent="0.25">
      <c r="A136">
        <f t="shared" si="2"/>
        <v>2035</v>
      </c>
      <c r="B136" t="s">
        <v>192</v>
      </c>
      <c r="C136">
        <v>5</v>
      </c>
      <c r="D136">
        <v>16.277999999999999</v>
      </c>
    </row>
    <row r="137" spans="1:4" x14ac:dyDescent="0.25">
      <c r="A137">
        <f t="shared" si="2"/>
        <v>2035</v>
      </c>
      <c r="B137" t="s">
        <v>192</v>
      </c>
      <c r="C137">
        <v>6</v>
      </c>
      <c r="D137">
        <v>16.277999999999999</v>
      </c>
    </row>
    <row r="138" spans="1:4" x14ac:dyDescent="0.25">
      <c r="A138">
        <f t="shared" si="2"/>
        <v>2035</v>
      </c>
      <c r="B138" t="s">
        <v>192</v>
      </c>
      <c r="C138">
        <v>7</v>
      </c>
      <c r="D138">
        <v>16.277999999999999</v>
      </c>
    </row>
    <row r="139" spans="1:4" x14ac:dyDescent="0.25">
      <c r="A139">
        <f t="shared" si="2"/>
        <v>2035</v>
      </c>
      <c r="B139" t="s">
        <v>192</v>
      </c>
      <c r="C139">
        <v>8</v>
      </c>
      <c r="D139">
        <v>10.577999999999999</v>
      </c>
    </row>
    <row r="140" spans="1:4" x14ac:dyDescent="0.25">
      <c r="A140">
        <f t="shared" si="2"/>
        <v>2035</v>
      </c>
      <c r="B140" t="s">
        <v>192</v>
      </c>
      <c r="C140">
        <v>9</v>
      </c>
      <c r="D140">
        <v>19.277999999999999</v>
      </c>
    </row>
    <row r="141" spans="1:4" x14ac:dyDescent="0.25">
      <c r="A141">
        <f t="shared" si="2"/>
        <v>2035</v>
      </c>
      <c r="B141" t="s">
        <v>192</v>
      </c>
      <c r="C141">
        <v>10</v>
      </c>
      <c r="D141">
        <v>16.277999999999999</v>
      </c>
    </row>
    <row r="142" spans="1:4" x14ac:dyDescent="0.25">
      <c r="A142">
        <f t="shared" si="2"/>
        <v>2036</v>
      </c>
      <c r="B142" t="s">
        <v>193</v>
      </c>
      <c r="C142">
        <v>1</v>
      </c>
      <c r="D142">
        <v>16.257999999999999</v>
      </c>
    </row>
    <row r="143" spans="1:4" x14ac:dyDescent="0.25">
      <c r="A143">
        <f t="shared" si="2"/>
        <v>2036</v>
      </c>
      <c r="B143" t="s">
        <v>193</v>
      </c>
      <c r="C143">
        <v>2</v>
      </c>
      <c r="D143">
        <v>16.257999999999999</v>
      </c>
    </row>
    <row r="144" spans="1:4" x14ac:dyDescent="0.25">
      <c r="A144">
        <f t="shared" si="2"/>
        <v>2036</v>
      </c>
      <c r="B144" t="s">
        <v>193</v>
      </c>
      <c r="C144">
        <v>3</v>
      </c>
      <c r="D144">
        <v>16.257999999999999</v>
      </c>
    </row>
    <row r="145" spans="1:4" x14ac:dyDescent="0.25">
      <c r="A145">
        <f t="shared" si="2"/>
        <v>2036</v>
      </c>
      <c r="B145" t="s">
        <v>193</v>
      </c>
      <c r="C145">
        <v>4</v>
      </c>
      <c r="D145">
        <v>16.257999999999999</v>
      </c>
    </row>
    <row r="146" spans="1:4" x14ac:dyDescent="0.25">
      <c r="A146">
        <f t="shared" si="2"/>
        <v>2036</v>
      </c>
      <c r="B146" t="s">
        <v>193</v>
      </c>
      <c r="C146">
        <v>5</v>
      </c>
      <c r="D146">
        <v>16.257999999999999</v>
      </c>
    </row>
    <row r="147" spans="1:4" x14ac:dyDescent="0.25">
      <c r="A147">
        <f t="shared" si="2"/>
        <v>2036</v>
      </c>
      <c r="B147" t="s">
        <v>193</v>
      </c>
      <c r="C147">
        <v>6</v>
      </c>
      <c r="D147">
        <v>16.257999999999999</v>
      </c>
    </row>
    <row r="148" spans="1:4" x14ac:dyDescent="0.25">
      <c r="A148">
        <f t="shared" si="2"/>
        <v>2036</v>
      </c>
      <c r="B148" t="s">
        <v>193</v>
      </c>
      <c r="C148">
        <v>7</v>
      </c>
      <c r="D148">
        <v>16.257999999999999</v>
      </c>
    </row>
    <row r="149" spans="1:4" x14ac:dyDescent="0.25">
      <c r="A149">
        <f t="shared" si="2"/>
        <v>2036</v>
      </c>
      <c r="B149" t="s">
        <v>193</v>
      </c>
      <c r="C149">
        <v>8</v>
      </c>
      <c r="D149">
        <v>10.558</v>
      </c>
    </row>
    <row r="150" spans="1:4" x14ac:dyDescent="0.25">
      <c r="A150">
        <f t="shared" si="2"/>
        <v>2036</v>
      </c>
      <c r="B150" t="s">
        <v>193</v>
      </c>
      <c r="C150">
        <v>9</v>
      </c>
      <c r="D150">
        <v>19.257999999999999</v>
      </c>
    </row>
    <row r="151" spans="1:4" x14ac:dyDescent="0.25">
      <c r="A151">
        <f t="shared" si="2"/>
        <v>2036</v>
      </c>
      <c r="B151" t="s">
        <v>193</v>
      </c>
      <c r="C151">
        <v>10</v>
      </c>
      <c r="D151">
        <v>16.257999999999999</v>
      </c>
    </row>
    <row r="152" spans="1:4" x14ac:dyDescent="0.25">
      <c r="A152">
        <f t="shared" si="2"/>
        <v>2037</v>
      </c>
      <c r="B152" t="s">
        <v>194</v>
      </c>
      <c r="C152">
        <v>1</v>
      </c>
      <c r="D152">
        <v>16.251999999999999</v>
      </c>
    </row>
    <row r="153" spans="1:4" x14ac:dyDescent="0.25">
      <c r="A153">
        <f t="shared" si="2"/>
        <v>2037</v>
      </c>
      <c r="B153" t="s">
        <v>194</v>
      </c>
      <c r="C153">
        <v>2</v>
      </c>
      <c r="D153">
        <v>16.251999999999999</v>
      </c>
    </row>
    <row r="154" spans="1:4" x14ac:dyDescent="0.25">
      <c r="A154">
        <f t="shared" si="2"/>
        <v>2037</v>
      </c>
      <c r="B154" t="s">
        <v>194</v>
      </c>
      <c r="C154">
        <v>3</v>
      </c>
      <c r="D154">
        <v>16.251999999999999</v>
      </c>
    </row>
    <row r="155" spans="1:4" x14ac:dyDescent="0.25">
      <c r="A155">
        <f t="shared" si="2"/>
        <v>2037</v>
      </c>
      <c r="B155" t="s">
        <v>194</v>
      </c>
      <c r="C155">
        <v>4</v>
      </c>
      <c r="D155">
        <v>16.251999999999999</v>
      </c>
    </row>
    <row r="156" spans="1:4" x14ac:dyDescent="0.25">
      <c r="A156">
        <f t="shared" si="2"/>
        <v>2037</v>
      </c>
      <c r="B156" t="s">
        <v>194</v>
      </c>
      <c r="C156">
        <v>5</v>
      </c>
      <c r="D156">
        <v>16.251999999999999</v>
      </c>
    </row>
    <row r="157" spans="1:4" x14ac:dyDescent="0.25">
      <c r="A157">
        <f t="shared" si="2"/>
        <v>2037</v>
      </c>
      <c r="B157" t="s">
        <v>194</v>
      </c>
      <c r="C157">
        <v>6</v>
      </c>
      <c r="D157">
        <v>16.251999999999999</v>
      </c>
    </row>
    <row r="158" spans="1:4" x14ac:dyDescent="0.25">
      <c r="A158">
        <f t="shared" si="2"/>
        <v>2037</v>
      </c>
      <c r="B158" t="s">
        <v>194</v>
      </c>
      <c r="C158">
        <v>7</v>
      </c>
      <c r="D158">
        <v>16.251999999999999</v>
      </c>
    </row>
    <row r="159" spans="1:4" x14ac:dyDescent="0.25">
      <c r="A159">
        <f t="shared" si="2"/>
        <v>2037</v>
      </c>
      <c r="B159" t="s">
        <v>194</v>
      </c>
      <c r="C159">
        <v>8</v>
      </c>
      <c r="D159">
        <v>10.552</v>
      </c>
    </row>
    <row r="160" spans="1:4" x14ac:dyDescent="0.25">
      <c r="A160">
        <f t="shared" si="2"/>
        <v>2037</v>
      </c>
      <c r="B160" t="s">
        <v>194</v>
      </c>
      <c r="C160">
        <v>9</v>
      </c>
      <c r="D160">
        <v>19.251999999999999</v>
      </c>
    </row>
    <row r="161" spans="1:4" x14ac:dyDescent="0.25">
      <c r="A161">
        <f t="shared" si="2"/>
        <v>2037</v>
      </c>
      <c r="B161" t="s">
        <v>194</v>
      </c>
      <c r="C161">
        <v>10</v>
      </c>
      <c r="D161">
        <v>16.251999999999999</v>
      </c>
    </row>
    <row r="162" spans="1:4" x14ac:dyDescent="0.25">
      <c r="A162">
        <f t="shared" si="2"/>
        <v>2038</v>
      </c>
      <c r="B162" t="s">
        <v>195</v>
      </c>
      <c r="C162">
        <v>1</v>
      </c>
      <c r="D162">
        <v>16.254999999999999</v>
      </c>
    </row>
    <row r="163" spans="1:4" x14ac:dyDescent="0.25">
      <c r="A163">
        <f t="shared" si="2"/>
        <v>2038</v>
      </c>
      <c r="B163" t="s">
        <v>195</v>
      </c>
      <c r="C163">
        <v>2</v>
      </c>
      <c r="D163">
        <v>16.254999999999999</v>
      </c>
    </row>
    <row r="164" spans="1:4" x14ac:dyDescent="0.25">
      <c r="A164">
        <f t="shared" si="2"/>
        <v>2038</v>
      </c>
      <c r="B164" t="s">
        <v>195</v>
      </c>
      <c r="C164">
        <v>3</v>
      </c>
      <c r="D164">
        <v>16.254999999999999</v>
      </c>
    </row>
    <row r="165" spans="1:4" x14ac:dyDescent="0.25">
      <c r="A165">
        <f t="shared" si="2"/>
        <v>2038</v>
      </c>
      <c r="B165" t="s">
        <v>195</v>
      </c>
      <c r="C165">
        <v>4</v>
      </c>
      <c r="D165">
        <v>16.254999999999999</v>
      </c>
    </row>
    <row r="166" spans="1:4" x14ac:dyDescent="0.25">
      <c r="A166">
        <f t="shared" si="2"/>
        <v>2038</v>
      </c>
      <c r="B166" t="s">
        <v>195</v>
      </c>
      <c r="C166">
        <v>5</v>
      </c>
      <c r="D166">
        <v>16.254999999999999</v>
      </c>
    </row>
    <row r="167" spans="1:4" x14ac:dyDescent="0.25">
      <c r="A167">
        <f t="shared" si="2"/>
        <v>2038</v>
      </c>
      <c r="B167" t="s">
        <v>195</v>
      </c>
      <c r="C167">
        <v>6</v>
      </c>
      <c r="D167">
        <v>16.254999999999999</v>
      </c>
    </row>
    <row r="168" spans="1:4" x14ac:dyDescent="0.25">
      <c r="A168">
        <f t="shared" si="2"/>
        <v>2038</v>
      </c>
      <c r="B168" t="s">
        <v>195</v>
      </c>
      <c r="C168">
        <v>7</v>
      </c>
      <c r="D168">
        <v>16.254999999999999</v>
      </c>
    </row>
    <row r="169" spans="1:4" x14ac:dyDescent="0.25">
      <c r="A169">
        <f t="shared" si="2"/>
        <v>2038</v>
      </c>
      <c r="B169" t="s">
        <v>195</v>
      </c>
      <c r="C169">
        <v>8</v>
      </c>
      <c r="D169">
        <v>10.555</v>
      </c>
    </row>
    <row r="170" spans="1:4" x14ac:dyDescent="0.25">
      <c r="A170">
        <f t="shared" si="2"/>
        <v>2038</v>
      </c>
      <c r="B170" t="s">
        <v>195</v>
      </c>
      <c r="C170">
        <v>9</v>
      </c>
      <c r="D170">
        <v>19.254999999999999</v>
      </c>
    </row>
    <row r="171" spans="1:4" x14ac:dyDescent="0.25">
      <c r="A171">
        <f t="shared" si="2"/>
        <v>2038</v>
      </c>
      <c r="B171" t="s">
        <v>195</v>
      </c>
      <c r="C171">
        <v>10</v>
      </c>
      <c r="D171">
        <v>16.254999999999999</v>
      </c>
    </row>
    <row r="172" spans="1:4" x14ac:dyDescent="0.25">
      <c r="A172">
        <f t="shared" si="2"/>
        <v>2039</v>
      </c>
      <c r="B172" t="s">
        <v>196</v>
      </c>
      <c r="C172">
        <v>1</v>
      </c>
      <c r="D172">
        <v>16.231000000000002</v>
      </c>
    </row>
    <row r="173" spans="1:4" x14ac:dyDescent="0.25">
      <c r="A173">
        <f t="shared" si="2"/>
        <v>2039</v>
      </c>
      <c r="B173" t="s">
        <v>196</v>
      </c>
      <c r="C173">
        <v>2</v>
      </c>
      <c r="D173">
        <v>16.231000000000002</v>
      </c>
    </row>
    <row r="174" spans="1:4" x14ac:dyDescent="0.25">
      <c r="A174">
        <f t="shared" si="2"/>
        <v>2039</v>
      </c>
      <c r="B174" t="s">
        <v>196</v>
      </c>
      <c r="C174">
        <v>3</v>
      </c>
      <c r="D174">
        <v>16.231000000000002</v>
      </c>
    </row>
    <row r="175" spans="1:4" x14ac:dyDescent="0.25">
      <c r="A175">
        <f t="shared" si="2"/>
        <v>2039</v>
      </c>
      <c r="B175" t="s">
        <v>196</v>
      </c>
      <c r="C175">
        <v>4</v>
      </c>
      <c r="D175">
        <v>16.231000000000002</v>
      </c>
    </row>
    <row r="176" spans="1:4" x14ac:dyDescent="0.25">
      <c r="A176">
        <f t="shared" si="2"/>
        <v>2039</v>
      </c>
      <c r="B176" t="s">
        <v>196</v>
      </c>
      <c r="C176">
        <v>5</v>
      </c>
      <c r="D176">
        <v>16.231000000000002</v>
      </c>
    </row>
    <row r="177" spans="1:4" x14ac:dyDescent="0.25">
      <c r="A177">
        <f t="shared" si="2"/>
        <v>2039</v>
      </c>
      <c r="B177" t="s">
        <v>196</v>
      </c>
      <c r="C177">
        <v>6</v>
      </c>
      <c r="D177">
        <v>16.231000000000002</v>
      </c>
    </row>
    <row r="178" spans="1:4" x14ac:dyDescent="0.25">
      <c r="A178">
        <f t="shared" si="2"/>
        <v>2039</v>
      </c>
      <c r="B178" t="s">
        <v>196</v>
      </c>
      <c r="C178">
        <v>7</v>
      </c>
      <c r="D178">
        <v>16.231000000000002</v>
      </c>
    </row>
    <row r="179" spans="1:4" x14ac:dyDescent="0.25">
      <c r="A179">
        <f t="shared" si="2"/>
        <v>2039</v>
      </c>
      <c r="B179" t="s">
        <v>196</v>
      </c>
      <c r="C179">
        <v>8</v>
      </c>
      <c r="D179">
        <v>10.531000000000001</v>
      </c>
    </row>
    <row r="180" spans="1:4" x14ac:dyDescent="0.25">
      <c r="A180">
        <f t="shared" si="2"/>
        <v>2039</v>
      </c>
      <c r="B180" t="s">
        <v>196</v>
      </c>
      <c r="C180">
        <v>9</v>
      </c>
      <c r="D180">
        <v>19.231000000000002</v>
      </c>
    </row>
    <row r="181" spans="1:4" x14ac:dyDescent="0.25">
      <c r="A181">
        <f t="shared" si="2"/>
        <v>2039</v>
      </c>
      <c r="B181" t="s">
        <v>196</v>
      </c>
      <c r="C181">
        <v>10</v>
      </c>
      <c r="D181">
        <v>16.231000000000002</v>
      </c>
    </row>
    <row r="182" spans="1:4" x14ac:dyDescent="0.25">
      <c r="A182">
        <f t="shared" si="2"/>
        <v>2040</v>
      </c>
      <c r="B182" t="s">
        <v>197</v>
      </c>
      <c r="C182">
        <v>1</v>
      </c>
      <c r="D182">
        <v>16.091000000000001</v>
      </c>
    </row>
    <row r="183" spans="1:4" x14ac:dyDescent="0.25">
      <c r="A183">
        <f t="shared" si="2"/>
        <v>2040</v>
      </c>
      <c r="B183" t="s">
        <v>197</v>
      </c>
      <c r="C183">
        <v>2</v>
      </c>
      <c r="D183">
        <v>16.091000000000001</v>
      </c>
    </row>
    <row r="184" spans="1:4" x14ac:dyDescent="0.25">
      <c r="A184">
        <f t="shared" si="2"/>
        <v>2040</v>
      </c>
      <c r="B184" t="s">
        <v>197</v>
      </c>
      <c r="C184">
        <v>3</v>
      </c>
      <c r="D184">
        <v>16.091000000000001</v>
      </c>
    </row>
    <row r="185" spans="1:4" x14ac:dyDescent="0.25">
      <c r="A185">
        <f t="shared" si="2"/>
        <v>2040</v>
      </c>
      <c r="B185" t="s">
        <v>197</v>
      </c>
      <c r="C185">
        <v>4</v>
      </c>
      <c r="D185">
        <v>16.091000000000001</v>
      </c>
    </row>
    <row r="186" spans="1:4" x14ac:dyDescent="0.25">
      <c r="A186">
        <f t="shared" si="2"/>
        <v>2040</v>
      </c>
      <c r="B186" t="s">
        <v>197</v>
      </c>
      <c r="C186">
        <v>5</v>
      </c>
      <c r="D186">
        <v>16.091000000000001</v>
      </c>
    </row>
    <row r="187" spans="1:4" x14ac:dyDescent="0.25">
      <c r="A187">
        <f t="shared" si="2"/>
        <v>2040</v>
      </c>
      <c r="B187" t="s">
        <v>197</v>
      </c>
      <c r="C187">
        <v>6</v>
      </c>
      <c r="D187">
        <v>16.091000000000001</v>
      </c>
    </row>
    <row r="188" spans="1:4" x14ac:dyDescent="0.25">
      <c r="A188">
        <f t="shared" si="2"/>
        <v>2040</v>
      </c>
      <c r="B188" t="s">
        <v>197</v>
      </c>
      <c r="C188">
        <v>7</v>
      </c>
      <c r="D188">
        <v>16.091000000000001</v>
      </c>
    </row>
    <row r="189" spans="1:4" x14ac:dyDescent="0.25">
      <c r="A189">
        <f t="shared" si="2"/>
        <v>2040</v>
      </c>
      <c r="B189" t="s">
        <v>197</v>
      </c>
      <c r="C189">
        <v>8</v>
      </c>
      <c r="D189">
        <v>10.391</v>
      </c>
    </row>
    <row r="190" spans="1:4" x14ac:dyDescent="0.25">
      <c r="A190">
        <f t="shared" si="2"/>
        <v>2040</v>
      </c>
      <c r="B190" t="s">
        <v>197</v>
      </c>
      <c r="C190">
        <v>9</v>
      </c>
      <c r="D190">
        <v>19.091000000000001</v>
      </c>
    </row>
    <row r="191" spans="1:4" x14ac:dyDescent="0.25">
      <c r="A191">
        <f t="shared" si="2"/>
        <v>2040</v>
      </c>
      <c r="B191" t="s">
        <v>197</v>
      </c>
      <c r="C191">
        <v>10</v>
      </c>
      <c r="D191">
        <v>16.091000000000001</v>
      </c>
    </row>
    <row r="192" spans="1:4" x14ac:dyDescent="0.25">
      <c r="A192">
        <f t="shared" si="2"/>
        <v>2041</v>
      </c>
      <c r="B192" t="s">
        <v>198</v>
      </c>
      <c r="C192">
        <v>1</v>
      </c>
      <c r="D192">
        <v>16.041</v>
      </c>
    </row>
    <row r="193" spans="1:4" x14ac:dyDescent="0.25">
      <c r="A193">
        <f t="shared" si="2"/>
        <v>2041</v>
      </c>
      <c r="B193" t="s">
        <v>198</v>
      </c>
      <c r="C193">
        <v>2</v>
      </c>
      <c r="D193">
        <v>16.041</v>
      </c>
    </row>
    <row r="194" spans="1:4" x14ac:dyDescent="0.25">
      <c r="A194">
        <f t="shared" si="2"/>
        <v>2041</v>
      </c>
      <c r="B194" t="s">
        <v>198</v>
      </c>
      <c r="C194">
        <v>3</v>
      </c>
      <c r="D194">
        <v>16.041</v>
      </c>
    </row>
    <row r="195" spans="1:4" x14ac:dyDescent="0.25">
      <c r="A195">
        <f t="shared" ref="A195:A258" si="3">VALUE(RIGHT(B195,4))</f>
        <v>2041</v>
      </c>
      <c r="B195" t="s">
        <v>198</v>
      </c>
      <c r="C195">
        <v>4</v>
      </c>
      <c r="D195">
        <v>16.041</v>
      </c>
    </row>
    <row r="196" spans="1:4" x14ac:dyDescent="0.25">
      <c r="A196">
        <f t="shared" si="3"/>
        <v>2041</v>
      </c>
      <c r="B196" t="s">
        <v>198</v>
      </c>
      <c r="C196">
        <v>5</v>
      </c>
      <c r="D196">
        <v>16.041</v>
      </c>
    </row>
    <row r="197" spans="1:4" x14ac:dyDescent="0.25">
      <c r="A197">
        <f t="shared" si="3"/>
        <v>2041</v>
      </c>
      <c r="B197" t="s">
        <v>198</v>
      </c>
      <c r="C197">
        <v>6</v>
      </c>
      <c r="D197">
        <v>16.041</v>
      </c>
    </row>
    <row r="198" spans="1:4" x14ac:dyDescent="0.25">
      <c r="A198">
        <f t="shared" si="3"/>
        <v>2041</v>
      </c>
      <c r="B198" t="s">
        <v>198</v>
      </c>
      <c r="C198">
        <v>7</v>
      </c>
      <c r="D198">
        <v>16.041</v>
      </c>
    </row>
    <row r="199" spans="1:4" x14ac:dyDescent="0.25">
      <c r="A199">
        <f t="shared" si="3"/>
        <v>2041</v>
      </c>
      <c r="B199" t="s">
        <v>198</v>
      </c>
      <c r="C199">
        <v>8</v>
      </c>
      <c r="D199">
        <v>10.340999999999999</v>
      </c>
    </row>
    <row r="200" spans="1:4" x14ac:dyDescent="0.25">
      <c r="A200">
        <f t="shared" si="3"/>
        <v>2041</v>
      </c>
      <c r="B200" t="s">
        <v>198</v>
      </c>
      <c r="C200">
        <v>9</v>
      </c>
      <c r="D200">
        <v>19.041</v>
      </c>
    </row>
    <row r="201" spans="1:4" x14ac:dyDescent="0.25">
      <c r="A201">
        <f t="shared" si="3"/>
        <v>2041</v>
      </c>
      <c r="B201" t="s">
        <v>198</v>
      </c>
      <c r="C201">
        <v>10</v>
      </c>
      <c r="D201">
        <v>16.041</v>
      </c>
    </row>
    <row r="202" spans="1:4" x14ac:dyDescent="0.25">
      <c r="A202">
        <f t="shared" si="3"/>
        <v>2042</v>
      </c>
      <c r="B202" t="s">
        <v>199</v>
      </c>
      <c r="C202">
        <v>1</v>
      </c>
      <c r="D202">
        <v>16.015000000000001</v>
      </c>
    </row>
    <row r="203" spans="1:4" x14ac:dyDescent="0.25">
      <c r="A203">
        <f t="shared" si="3"/>
        <v>2042</v>
      </c>
      <c r="B203" t="s">
        <v>199</v>
      </c>
      <c r="C203">
        <v>2</v>
      </c>
      <c r="D203">
        <v>16.015000000000001</v>
      </c>
    </row>
    <row r="204" spans="1:4" x14ac:dyDescent="0.25">
      <c r="A204">
        <f t="shared" si="3"/>
        <v>2042</v>
      </c>
      <c r="B204" t="s">
        <v>199</v>
      </c>
      <c r="C204">
        <v>3</v>
      </c>
      <c r="D204">
        <v>16.015000000000001</v>
      </c>
    </row>
    <row r="205" spans="1:4" x14ac:dyDescent="0.25">
      <c r="A205">
        <f t="shared" si="3"/>
        <v>2042</v>
      </c>
      <c r="B205" t="s">
        <v>199</v>
      </c>
      <c r="C205">
        <v>4</v>
      </c>
      <c r="D205">
        <v>16.015000000000001</v>
      </c>
    </row>
    <row r="206" spans="1:4" x14ac:dyDescent="0.25">
      <c r="A206">
        <f t="shared" si="3"/>
        <v>2042</v>
      </c>
      <c r="B206" t="s">
        <v>199</v>
      </c>
      <c r="C206">
        <v>5</v>
      </c>
      <c r="D206">
        <v>16.015000000000001</v>
      </c>
    </row>
    <row r="207" spans="1:4" x14ac:dyDescent="0.25">
      <c r="A207">
        <f t="shared" si="3"/>
        <v>2042</v>
      </c>
      <c r="B207" t="s">
        <v>199</v>
      </c>
      <c r="C207">
        <v>6</v>
      </c>
      <c r="D207">
        <v>16.015000000000001</v>
      </c>
    </row>
    <row r="208" spans="1:4" x14ac:dyDescent="0.25">
      <c r="A208">
        <f t="shared" si="3"/>
        <v>2042</v>
      </c>
      <c r="B208" t="s">
        <v>199</v>
      </c>
      <c r="C208">
        <v>7</v>
      </c>
      <c r="D208">
        <v>16.015000000000001</v>
      </c>
    </row>
    <row r="209" spans="1:4" x14ac:dyDescent="0.25">
      <c r="A209">
        <f t="shared" si="3"/>
        <v>2042</v>
      </c>
      <c r="B209" t="s">
        <v>199</v>
      </c>
      <c r="C209">
        <v>8</v>
      </c>
      <c r="D209">
        <v>10.315</v>
      </c>
    </row>
    <row r="210" spans="1:4" x14ac:dyDescent="0.25">
      <c r="A210">
        <f t="shared" si="3"/>
        <v>2042</v>
      </c>
      <c r="B210" t="s">
        <v>199</v>
      </c>
      <c r="C210">
        <v>9</v>
      </c>
      <c r="D210">
        <v>19.015000000000001</v>
      </c>
    </row>
    <row r="211" spans="1:4" x14ac:dyDescent="0.25">
      <c r="A211">
        <f t="shared" si="3"/>
        <v>2042</v>
      </c>
      <c r="B211" t="s">
        <v>199</v>
      </c>
      <c r="C211">
        <v>10</v>
      </c>
      <c r="D211">
        <v>16.015000000000001</v>
      </c>
    </row>
    <row r="212" spans="1:4" x14ac:dyDescent="0.25">
      <c r="A212">
        <f t="shared" si="3"/>
        <v>2043</v>
      </c>
      <c r="B212" t="s">
        <v>200</v>
      </c>
      <c r="C212">
        <v>1</v>
      </c>
      <c r="D212">
        <v>15.9</v>
      </c>
    </row>
    <row r="213" spans="1:4" x14ac:dyDescent="0.25">
      <c r="A213">
        <f t="shared" si="3"/>
        <v>2043</v>
      </c>
      <c r="B213" t="s">
        <v>200</v>
      </c>
      <c r="C213">
        <v>2</v>
      </c>
      <c r="D213">
        <v>15.9</v>
      </c>
    </row>
    <row r="214" spans="1:4" x14ac:dyDescent="0.25">
      <c r="A214">
        <f t="shared" si="3"/>
        <v>2043</v>
      </c>
      <c r="B214" t="s">
        <v>200</v>
      </c>
      <c r="C214">
        <v>3</v>
      </c>
      <c r="D214">
        <v>15.9</v>
      </c>
    </row>
    <row r="215" spans="1:4" x14ac:dyDescent="0.25">
      <c r="A215">
        <f t="shared" si="3"/>
        <v>2043</v>
      </c>
      <c r="B215" t="s">
        <v>200</v>
      </c>
      <c r="C215">
        <v>4</v>
      </c>
      <c r="D215">
        <v>15.9</v>
      </c>
    </row>
    <row r="216" spans="1:4" x14ac:dyDescent="0.25">
      <c r="A216">
        <f t="shared" si="3"/>
        <v>2043</v>
      </c>
      <c r="B216" t="s">
        <v>200</v>
      </c>
      <c r="C216">
        <v>5</v>
      </c>
      <c r="D216">
        <v>15.9</v>
      </c>
    </row>
    <row r="217" spans="1:4" x14ac:dyDescent="0.25">
      <c r="A217">
        <f t="shared" si="3"/>
        <v>2043</v>
      </c>
      <c r="B217" t="s">
        <v>200</v>
      </c>
      <c r="C217">
        <v>6</v>
      </c>
      <c r="D217">
        <v>15.9</v>
      </c>
    </row>
    <row r="218" spans="1:4" x14ac:dyDescent="0.25">
      <c r="A218">
        <f t="shared" si="3"/>
        <v>2043</v>
      </c>
      <c r="B218" t="s">
        <v>200</v>
      </c>
      <c r="C218">
        <v>7</v>
      </c>
      <c r="D218">
        <v>15.9</v>
      </c>
    </row>
    <row r="219" spans="1:4" x14ac:dyDescent="0.25">
      <c r="A219">
        <f t="shared" si="3"/>
        <v>2043</v>
      </c>
      <c r="B219" t="s">
        <v>200</v>
      </c>
      <c r="C219">
        <v>8</v>
      </c>
      <c r="D219">
        <v>10.199999999999999</v>
      </c>
    </row>
    <row r="220" spans="1:4" x14ac:dyDescent="0.25">
      <c r="A220">
        <f t="shared" si="3"/>
        <v>2043</v>
      </c>
      <c r="B220" t="s">
        <v>200</v>
      </c>
      <c r="C220">
        <v>9</v>
      </c>
      <c r="D220">
        <v>18.899999999999999</v>
      </c>
    </row>
    <row r="221" spans="1:4" x14ac:dyDescent="0.25">
      <c r="A221">
        <f t="shared" si="3"/>
        <v>2043</v>
      </c>
      <c r="B221" t="s">
        <v>200</v>
      </c>
      <c r="C221">
        <v>10</v>
      </c>
      <c r="D221">
        <v>15.9</v>
      </c>
    </row>
    <row r="222" spans="1:4" x14ac:dyDescent="0.25">
      <c r="A222">
        <f t="shared" si="3"/>
        <v>2044</v>
      </c>
      <c r="B222" t="s">
        <v>201</v>
      </c>
      <c r="C222">
        <v>1</v>
      </c>
      <c r="D222">
        <v>15.872999999999999</v>
      </c>
    </row>
    <row r="223" spans="1:4" x14ac:dyDescent="0.25">
      <c r="A223">
        <f t="shared" si="3"/>
        <v>2044</v>
      </c>
      <c r="B223" t="s">
        <v>201</v>
      </c>
      <c r="C223">
        <v>2</v>
      </c>
      <c r="D223">
        <v>15.872999999999999</v>
      </c>
    </row>
    <row r="224" spans="1:4" x14ac:dyDescent="0.25">
      <c r="A224">
        <f t="shared" si="3"/>
        <v>2044</v>
      </c>
      <c r="B224" t="s">
        <v>201</v>
      </c>
      <c r="C224">
        <v>3</v>
      </c>
      <c r="D224">
        <v>15.872999999999999</v>
      </c>
    </row>
    <row r="225" spans="1:4" x14ac:dyDescent="0.25">
      <c r="A225">
        <f t="shared" si="3"/>
        <v>2044</v>
      </c>
      <c r="B225" t="s">
        <v>201</v>
      </c>
      <c r="C225">
        <v>4</v>
      </c>
      <c r="D225">
        <v>15.872999999999999</v>
      </c>
    </row>
    <row r="226" spans="1:4" x14ac:dyDescent="0.25">
      <c r="A226">
        <f t="shared" si="3"/>
        <v>2044</v>
      </c>
      <c r="B226" t="s">
        <v>201</v>
      </c>
      <c r="C226">
        <v>5</v>
      </c>
      <c r="D226">
        <v>15.872999999999999</v>
      </c>
    </row>
    <row r="227" spans="1:4" x14ac:dyDescent="0.25">
      <c r="A227">
        <f t="shared" si="3"/>
        <v>2044</v>
      </c>
      <c r="B227" t="s">
        <v>201</v>
      </c>
      <c r="C227">
        <v>6</v>
      </c>
      <c r="D227">
        <v>15.872999999999999</v>
      </c>
    </row>
    <row r="228" spans="1:4" x14ac:dyDescent="0.25">
      <c r="A228">
        <f t="shared" si="3"/>
        <v>2044</v>
      </c>
      <c r="B228" t="s">
        <v>201</v>
      </c>
      <c r="C228">
        <v>7</v>
      </c>
      <c r="D228">
        <v>15.872999999999999</v>
      </c>
    </row>
    <row r="229" spans="1:4" x14ac:dyDescent="0.25">
      <c r="A229">
        <f t="shared" si="3"/>
        <v>2044</v>
      </c>
      <c r="B229" t="s">
        <v>201</v>
      </c>
      <c r="C229">
        <v>8</v>
      </c>
      <c r="D229">
        <v>10.173</v>
      </c>
    </row>
    <row r="230" spans="1:4" x14ac:dyDescent="0.25">
      <c r="A230">
        <f t="shared" si="3"/>
        <v>2044</v>
      </c>
      <c r="B230" t="s">
        <v>201</v>
      </c>
      <c r="C230">
        <v>9</v>
      </c>
      <c r="D230">
        <v>18.873000000000001</v>
      </c>
    </row>
    <row r="231" spans="1:4" x14ac:dyDescent="0.25">
      <c r="A231">
        <f t="shared" si="3"/>
        <v>2044</v>
      </c>
      <c r="B231" t="s">
        <v>201</v>
      </c>
      <c r="C231">
        <v>10</v>
      </c>
      <c r="D231">
        <v>15.872999999999999</v>
      </c>
    </row>
    <row r="232" spans="1:4" x14ac:dyDescent="0.25">
      <c r="A232">
        <f t="shared" si="3"/>
        <v>2045</v>
      </c>
      <c r="B232" t="s">
        <v>202</v>
      </c>
      <c r="C232">
        <v>1</v>
      </c>
      <c r="D232">
        <v>15.722</v>
      </c>
    </row>
    <row r="233" spans="1:4" x14ac:dyDescent="0.25">
      <c r="A233">
        <f t="shared" si="3"/>
        <v>2045</v>
      </c>
      <c r="B233" t="s">
        <v>202</v>
      </c>
      <c r="C233">
        <v>2</v>
      </c>
      <c r="D233">
        <v>15.722</v>
      </c>
    </row>
    <row r="234" spans="1:4" x14ac:dyDescent="0.25">
      <c r="A234">
        <f t="shared" si="3"/>
        <v>2045</v>
      </c>
      <c r="B234" t="s">
        <v>202</v>
      </c>
      <c r="C234">
        <v>3</v>
      </c>
      <c r="D234">
        <v>15.722</v>
      </c>
    </row>
    <row r="235" spans="1:4" x14ac:dyDescent="0.25">
      <c r="A235">
        <f t="shared" si="3"/>
        <v>2045</v>
      </c>
      <c r="B235" t="s">
        <v>202</v>
      </c>
      <c r="C235">
        <v>4</v>
      </c>
      <c r="D235">
        <v>15.722</v>
      </c>
    </row>
    <row r="236" spans="1:4" x14ac:dyDescent="0.25">
      <c r="A236">
        <f t="shared" si="3"/>
        <v>2045</v>
      </c>
      <c r="B236" t="s">
        <v>202</v>
      </c>
      <c r="C236">
        <v>5</v>
      </c>
      <c r="D236">
        <v>15.722</v>
      </c>
    </row>
    <row r="237" spans="1:4" x14ac:dyDescent="0.25">
      <c r="A237">
        <f t="shared" si="3"/>
        <v>2045</v>
      </c>
      <c r="B237" t="s">
        <v>202</v>
      </c>
      <c r="C237">
        <v>6</v>
      </c>
      <c r="D237">
        <v>15.722</v>
      </c>
    </row>
    <row r="238" spans="1:4" x14ac:dyDescent="0.25">
      <c r="A238">
        <f t="shared" si="3"/>
        <v>2045</v>
      </c>
      <c r="B238" t="s">
        <v>202</v>
      </c>
      <c r="C238">
        <v>7</v>
      </c>
      <c r="D238">
        <v>15.722</v>
      </c>
    </row>
    <row r="239" spans="1:4" x14ac:dyDescent="0.25">
      <c r="A239">
        <f t="shared" si="3"/>
        <v>2045</v>
      </c>
      <c r="B239" t="s">
        <v>202</v>
      </c>
      <c r="C239">
        <v>8</v>
      </c>
      <c r="D239">
        <v>10.022</v>
      </c>
    </row>
    <row r="240" spans="1:4" x14ac:dyDescent="0.25">
      <c r="A240">
        <f t="shared" si="3"/>
        <v>2045</v>
      </c>
      <c r="B240" t="s">
        <v>202</v>
      </c>
      <c r="C240">
        <v>9</v>
      </c>
      <c r="D240">
        <v>18.722000000000001</v>
      </c>
    </row>
    <row r="241" spans="1:4" x14ac:dyDescent="0.25">
      <c r="A241">
        <f t="shared" si="3"/>
        <v>2045</v>
      </c>
      <c r="B241" t="s">
        <v>202</v>
      </c>
      <c r="C241">
        <v>10</v>
      </c>
      <c r="D241">
        <v>15.722</v>
      </c>
    </row>
    <row r="242" spans="1:4" x14ac:dyDescent="0.25">
      <c r="A242">
        <f t="shared" si="3"/>
        <v>2046</v>
      </c>
      <c r="B242" t="s">
        <v>203</v>
      </c>
      <c r="C242">
        <v>1</v>
      </c>
      <c r="D242">
        <v>15.581</v>
      </c>
    </row>
    <row r="243" spans="1:4" x14ac:dyDescent="0.25">
      <c r="A243">
        <f t="shared" si="3"/>
        <v>2046</v>
      </c>
      <c r="B243" t="s">
        <v>203</v>
      </c>
      <c r="C243">
        <v>2</v>
      </c>
      <c r="D243">
        <v>15.581</v>
      </c>
    </row>
    <row r="244" spans="1:4" x14ac:dyDescent="0.25">
      <c r="A244">
        <f t="shared" si="3"/>
        <v>2046</v>
      </c>
      <c r="B244" t="s">
        <v>203</v>
      </c>
      <c r="C244">
        <v>3</v>
      </c>
      <c r="D244">
        <v>15.581</v>
      </c>
    </row>
    <row r="245" spans="1:4" x14ac:dyDescent="0.25">
      <c r="A245">
        <f t="shared" si="3"/>
        <v>2046</v>
      </c>
      <c r="B245" t="s">
        <v>203</v>
      </c>
      <c r="C245">
        <v>4</v>
      </c>
      <c r="D245">
        <v>15.581</v>
      </c>
    </row>
    <row r="246" spans="1:4" x14ac:dyDescent="0.25">
      <c r="A246">
        <f t="shared" si="3"/>
        <v>2046</v>
      </c>
      <c r="B246" t="s">
        <v>203</v>
      </c>
      <c r="C246">
        <v>5</v>
      </c>
      <c r="D246">
        <v>15.581</v>
      </c>
    </row>
    <row r="247" spans="1:4" x14ac:dyDescent="0.25">
      <c r="A247">
        <f t="shared" si="3"/>
        <v>2046</v>
      </c>
      <c r="B247" t="s">
        <v>203</v>
      </c>
      <c r="C247">
        <v>6</v>
      </c>
      <c r="D247">
        <v>15.581</v>
      </c>
    </row>
    <row r="248" spans="1:4" x14ac:dyDescent="0.25">
      <c r="A248">
        <f t="shared" si="3"/>
        <v>2046</v>
      </c>
      <c r="B248" t="s">
        <v>203</v>
      </c>
      <c r="C248">
        <v>7</v>
      </c>
      <c r="D248">
        <v>15.581</v>
      </c>
    </row>
    <row r="249" spans="1:4" x14ac:dyDescent="0.25">
      <c r="A249">
        <f t="shared" si="3"/>
        <v>2046</v>
      </c>
      <c r="B249" t="s">
        <v>203</v>
      </c>
      <c r="C249">
        <v>8</v>
      </c>
      <c r="D249">
        <v>9.8810000000000002</v>
      </c>
    </row>
    <row r="250" spans="1:4" x14ac:dyDescent="0.25">
      <c r="A250">
        <f t="shared" si="3"/>
        <v>2046</v>
      </c>
      <c r="B250" t="s">
        <v>203</v>
      </c>
      <c r="C250">
        <v>9</v>
      </c>
      <c r="D250">
        <v>18.581</v>
      </c>
    </row>
    <row r="251" spans="1:4" x14ac:dyDescent="0.25">
      <c r="A251">
        <f t="shared" si="3"/>
        <v>2046</v>
      </c>
      <c r="B251" t="s">
        <v>203</v>
      </c>
      <c r="C251">
        <v>10</v>
      </c>
      <c r="D251">
        <v>15.581</v>
      </c>
    </row>
    <row r="252" spans="1:4" x14ac:dyDescent="0.25">
      <c r="A252">
        <f t="shared" si="3"/>
        <v>2047</v>
      </c>
      <c r="B252" t="s">
        <v>204</v>
      </c>
      <c r="C252">
        <v>1</v>
      </c>
      <c r="D252">
        <v>15.574</v>
      </c>
    </row>
    <row r="253" spans="1:4" x14ac:dyDescent="0.25">
      <c r="A253">
        <f t="shared" si="3"/>
        <v>2047</v>
      </c>
      <c r="B253" t="s">
        <v>204</v>
      </c>
      <c r="C253">
        <v>2</v>
      </c>
      <c r="D253">
        <v>15.574</v>
      </c>
    </row>
    <row r="254" spans="1:4" x14ac:dyDescent="0.25">
      <c r="A254">
        <f t="shared" si="3"/>
        <v>2047</v>
      </c>
      <c r="B254" t="s">
        <v>204</v>
      </c>
      <c r="C254">
        <v>3</v>
      </c>
      <c r="D254">
        <v>15.574</v>
      </c>
    </row>
    <row r="255" spans="1:4" x14ac:dyDescent="0.25">
      <c r="A255">
        <f t="shared" si="3"/>
        <v>2047</v>
      </c>
      <c r="B255" t="s">
        <v>204</v>
      </c>
      <c r="C255">
        <v>4</v>
      </c>
      <c r="D255">
        <v>15.574</v>
      </c>
    </row>
    <row r="256" spans="1:4" x14ac:dyDescent="0.25">
      <c r="A256">
        <f t="shared" si="3"/>
        <v>2047</v>
      </c>
      <c r="B256" t="s">
        <v>204</v>
      </c>
      <c r="C256">
        <v>5</v>
      </c>
      <c r="D256">
        <v>15.574</v>
      </c>
    </row>
    <row r="257" spans="1:4" x14ac:dyDescent="0.25">
      <c r="A257">
        <f t="shared" si="3"/>
        <v>2047</v>
      </c>
      <c r="B257" t="s">
        <v>204</v>
      </c>
      <c r="C257">
        <v>6</v>
      </c>
      <c r="D257">
        <v>15.574</v>
      </c>
    </row>
    <row r="258" spans="1:4" x14ac:dyDescent="0.25">
      <c r="A258">
        <f t="shared" si="3"/>
        <v>2047</v>
      </c>
      <c r="B258" t="s">
        <v>204</v>
      </c>
      <c r="C258">
        <v>7</v>
      </c>
      <c r="D258">
        <v>15.574</v>
      </c>
    </row>
    <row r="259" spans="1:4" x14ac:dyDescent="0.25">
      <c r="A259">
        <f t="shared" ref="A259:A301" si="4">VALUE(RIGHT(B259,4))</f>
        <v>2047</v>
      </c>
      <c r="B259" t="s">
        <v>204</v>
      </c>
      <c r="C259">
        <v>8</v>
      </c>
      <c r="D259">
        <v>9.8740000000000006</v>
      </c>
    </row>
    <row r="260" spans="1:4" x14ac:dyDescent="0.25">
      <c r="A260">
        <f t="shared" si="4"/>
        <v>2047</v>
      </c>
      <c r="B260" t="s">
        <v>204</v>
      </c>
      <c r="C260">
        <v>9</v>
      </c>
      <c r="D260">
        <v>18.574000000000002</v>
      </c>
    </row>
    <row r="261" spans="1:4" x14ac:dyDescent="0.25">
      <c r="A261">
        <f t="shared" si="4"/>
        <v>2047</v>
      </c>
      <c r="B261" t="s">
        <v>204</v>
      </c>
      <c r="C261">
        <v>10</v>
      </c>
      <c r="D261">
        <v>15.574</v>
      </c>
    </row>
    <row r="262" spans="1:4" x14ac:dyDescent="0.25">
      <c r="A262">
        <f t="shared" si="4"/>
        <v>2048</v>
      </c>
      <c r="B262" t="s">
        <v>205</v>
      </c>
      <c r="C262">
        <v>1</v>
      </c>
      <c r="D262">
        <v>15.573</v>
      </c>
    </row>
    <row r="263" spans="1:4" x14ac:dyDescent="0.25">
      <c r="A263">
        <f t="shared" si="4"/>
        <v>2048</v>
      </c>
      <c r="B263" t="s">
        <v>205</v>
      </c>
      <c r="C263">
        <v>2</v>
      </c>
      <c r="D263">
        <v>15.573</v>
      </c>
    </row>
    <row r="264" spans="1:4" x14ac:dyDescent="0.25">
      <c r="A264">
        <f t="shared" si="4"/>
        <v>2048</v>
      </c>
      <c r="B264" t="s">
        <v>205</v>
      </c>
      <c r="C264">
        <v>3</v>
      </c>
      <c r="D264">
        <v>15.573</v>
      </c>
    </row>
    <row r="265" spans="1:4" x14ac:dyDescent="0.25">
      <c r="A265">
        <f t="shared" si="4"/>
        <v>2048</v>
      </c>
      <c r="B265" t="s">
        <v>205</v>
      </c>
      <c r="C265">
        <v>4</v>
      </c>
      <c r="D265">
        <v>15.573</v>
      </c>
    </row>
    <row r="266" spans="1:4" x14ac:dyDescent="0.25">
      <c r="A266">
        <f t="shared" si="4"/>
        <v>2048</v>
      </c>
      <c r="B266" t="s">
        <v>205</v>
      </c>
      <c r="C266">
        <v>5</v>
      </c>
      <c r="D266">
        <v>15.573</v>
      </c>
    </row>
    <row r="267" spans="1:4" x14ac:dyDescent="0.25">
      <c r="A267">
        <f t="shared" si="4"/>
        <v>2048</v>
      </c>
      <c r="B267" t="s">
        <v>205</v>
      </c>
      <c r="C267">
        <v>6</v>
      </c>
      <c r="D267">
        <v>15.573</v>
      </c>
    </row>
    <row r="268" spans="1:4" x14ac:dyDescent="0.25">
      <c r="A268">
        <f t="shared" si="4"/>
        <v>2048</v>
      </c>
      <c r="B268" t="s">
        <v>205</v>
      </c>
      <c r="C268">
        <v>7</v>
      </c>
      <c r="D268">
        <v>15.573</v>
      </c>
    </row>
    <row r="269" spans="1:4" x14ac:dyDescent="0.25">
      <c r="A269">
        <f t="shared" si="4"/>
        <v>2048</v>
      </c>
      <c r="B269" t="s">
        <v>205</v>
      </c>
      <c r="C269">
        <v>8</v>
      </c>
      <c r="D269">
        <v>9.8729999999999993</v>
      </c>
    </row>
    <row r="270" spans="1:4" x14ac:dyDescent="0.25">
      <c r="A270">
        <f t="shared" si="4"/>
        <v>2048</v>
      </c>
      <c r="B270" t="s">
        <v>205</v>
      </c>
      <c r="C270">
        <v>9</v>
      </c>
      <c r="D270">
        <v>18.573</v>
      </c>
    </row>
    <row r="271" spans="1:4" x14ac:dyDescent="0.25">
      <c r="A271">
        <f t="shared" si="4"/>
        <v>2048</v>
      </c>
      <c r="B271" t="s">
        <v>205</v>
      </c>
      <c r="C271">
        <v>10</v>
      </c>
      <c r="D271">
        <v>15.573</v>
      </c>
    </row>
    <row r="272" spans="1:4" x14ac:dyDescent="0.25">
      <c r="A272">
        <f t="shared" si="4"/>
        <v>2049</v>
      </c>
      <c r="B272" t="s">
        <v>206</v>
      </c>
      <c r="C272">
        <v>1</v>
      </c>
      <c r="D272">
        <v>15.522</v>
      </c>
    </row>
    <row r="273" spans="1:4" x14ac:dyDescent="0.25">
      <c r="A273">
        <f t="shared" si="4"/>
        <v>2049</v>
      </c>
      <c r="B273" t="s">
        <v>206</v>
      </c>
      <c r="C273">
        <v>2</v>
      </c>
      <c r="D273">
        <v>15.522</v>
      </c>
    </row>
    <row r="274" spans="1:4" x14ac:dyDescent="0.25">
      <c r="A274">
        <f t="shared" si="4"/>
        <v>2049</v>
      </c>
      <c r="B274" t="s">
        <v>206</v>
      </c>
      <c r="C274">
        <v>3</v>
      </c>
      <c r="D274">
        <v>15.522</v>
      </c>
    </row>
    <row r="275" spans="1:4" x14ac:dyDescent="0.25">
      <c r="A275">
        <f t="shared" si="4"/>
        <v>2049</v>
      </c>
      <c r="B275" t="s">
        <v>206</v>
      </c>
      <c r="C275">
        <v>4</v>
      </c>
      <c r="D275">
        <v>15.522</v>
      </c>
    </row>
    <row r="276" spans="1:4" x14ac:dyDescent="0.25">
      <c r="A276">
        <f t="shared" si="4"/>
        <v>2049</v>
      </c>
      <c r="B276" t="s">
        <v>206</v>
      </c>
      <c r="C276">
        <v>5</v>
      </c>
      <c r="D276">
        <v>15.522</v>
      </c>
    </row>
    <row r="277" spans="1:4" x14ac:dyDescent="0.25">
      <c r="A277">
        <f t="shared" si="4"/>
        <v>2049</v>
      </c>
      <c r="B277" t="s">
        <v>206</v>
      </c>
      <c r="C277">
        <v>6</v>
      </c>
      <c r="D277">
        <v>15.522</v>
      </c>
    </row>
    <row r="278" spans="1:4" x14ac:dyDescent="0.25">
      <c r="A278">
        <f t="shared" si="4"/>
        <v>2049</v>
      </c>
      <c r="B278" t="s">
        <v>206</v>
      </c>
      <c r="C278">
        <v>7</v>
      </c>
      <c r="D278">
        <v>15.522</v>
      </c>
    </row>
    <row r="279" spans="1:4" x14ac:dyDescent="0.25">
      <c r="A279">
        <f t="shared" si="4"/>
        <v>2049</v>
      </c>
      <c r="B279" t="s">
        <v>206</v>
      </c>
      <c r="C279">
        <v>8</v>
      </c>
      <c r="D279">
        <v>9.8219999999999992</v>
      </c>
    </row>
    <row r="280" spans="1:4" x14ac:dyDescent="0.25">
      <c r="A280">
        <f t="shared" si="4"/>
        <v>2049</v>
      </c>
      <c r="B280" t="s">
        <v>206</v>
      </c>
      <c r="C280">
        <v>9</v>
      </c>
      <c r="D280">
        <v>18.521999999999998</v>
      </c>
    </row>
    <row r="281" spans="1:4" x14ac:dyDescent="0.25">
      <c r="A281">
        <f t="shared" si="4"/>
        <v>2049</v>
      </c>
      <c r="B281" t="s">
        <v>206</v>
      </c>
      <c r="C281">
        <v>10</v>
      </c>
      <c r="D281">
        <v>15.522</v>
      </c>
    </row>
    <row r="282" spans="1:4" x14ac:dyDescent="0.25">
      <c r="A282">
        <f t="shared" si="4"/>
        <v>2050</v>
      </c>
      <c r="B282" t="s">
        <v>207</v>
      </c>
      <c r="C282">
        <v>1</v>
      </c>
      <c r="D282">
        <v>15.455</v>
      </c>
    </row>
    <row r="283" spans="1:4" x14ac:dyDescent="0.25">
      <c r="A283">
        <f t="shared" si="4"/>
        <v>2050</v>
      </c>
      <c r="B283" t="s">
        <v>207</v>
      </c>
      <c r="C283">
        <v>2</v>
      </c>
      <c r="D283">
        <v>15.455</v>
      </c>
    </row>
    <row r="284" spans="1:4" x14ac:dyDescent="0.25">
      <c r="A284">
        <f t="shared" si="4"/>
        <v>2050</v>
      </c>
      <c r="B284" t="s">
        <v>207</v>
      </c>
      <c r="C284">
        <v>3</v>
      </c>
      <c r="D284">
        <v>15.455</v>
      </c>
    </row>
    <row r="285" spans="1:4" x14ac:dyDescent="0.25">
      <c r="A285">
        <f t="shared" si="4"/>
        <v>2050</v>
      </c>
      <c r="B285" t="s">
        <v>207</v>
      </c>
      <c r="C285">
        <v>4</v>
      </c>
      <c r="D285">
        <v>15.455</v>
      </c>
    </row>
    <row r="286" spans="1:4" x14ac:dyDescent="0.25">
      <c r="A286">
        <f t="shared" si="4"/>
        <v>2050</v>
      </c>
      <c r="B286" t="s">
        <v>207</v>
      </c>
      <c r="C286">
        <v>5</v>
      </c>
      <c r="D286">
        <v>15.455</v>
      </c>
    </row>
    <row r="287" spans="1:4" x14ac:dyDescent="0.25">
      <c r="A287">
        <f t="shared" si="4"/>
        <v>2050</v>
      </c>
      <c r="B287" t="s">
        <v>207</v>
      </c>
      <c r="C287">
        <v>6</v>
      </c>
      <c r="D287">
        <v>15.455</v>
      </c>
    </row>
    <row r="288" spans="1:4" x14ac:dyDescent="0.25">
      <c r="A288">
        <f t="shared" si="4"/>
        <v>2050</v>
      </c>
      <c r="B288" t="s">
        <v>207</v>
      </c>
      <c r="C288">
        <v>7</v>
      </c>
      <c r="D288">
        <v>15.455</v>
      </c>
    </row>
    <row r="289" spans="1:4" x14ac:dyDescent="0.25">
      <c r="A289">
        <f t="shared" si="4"/>
        <v>2050</v>
      </c>
      <c r="B289" t="s">
        <v>207</v>
      </c>
      <c r="C289">
        <v>8</v>
      </c>
      <c r="D289">
        <v>9.7550000000000008</v>
      </c>
    </row>
    <row r="290" spans="1:4" x14ac:dyDescent="0.25">
      <c r="A290">
        <f t="shared" si="4"/>
        <v>2050</v>
      </c>
      <c r="B290" t="s">
        <v>207</v>
      </c>
      <c r="C290">
        <v>9</v>
      </c>
      <c r="D290">
        <v>18.454999999999998</v>
      </c>
    </row>
    <row r="291" spans="1:4" x14ac:dyDescent="0.25">
      <c r="A291">
        <f t="shared" si="4"/>
        <v>2050</v>
      </c>
      <c r="B291" t="s">
        <v>207</v>
      </c>
      <c r="C291">
        <v>10</v>
      </c>
      <c r="D291">
        <v>15.455</v>
      </c>
    </row>
    <row r="292" spans="1:4" x14ac:dyDescent="0.25">
      <c r="A292">
        <f t="shared" si="4"/>
        <v>2051</v>
      </c>
      <c r="B292" t="s">
        <v>208</v>
      </c>
      <c r="C292">
        <v>1</v>
      </c>
      <c r="D292">
        <v>15.455</v>
      </c>
    </row>
    <row r="293" spans="1:4" x14ac:dyDescent="0.25">
      <c r="A293">
        <f t="shared" si="4"/>
        <v>2051</v>
      </c>
      <c r="B293" t="s">
        <v>208</v>
      </c>
      <c r="C293">
        <v>2</v>
      </c>
      <c r="D293">
        <v>15.455</v>
      </c>
    </row>
    <row r="294" spans="1:4" x14ac:dyDescent="0.25">
      <c r="A294">
        <f t="shared" si="4"/>
        <v>2051</v>
      </c>
      <c r="B294" t="s">
        <v>208</v>
      </c>
      <c r="C294">
        <v>3</v>
      </c>
      <c r="D294">
        <v>15.455</v>
      </c>
    </row>
    <row r="295" spans="1:4" x14ac:dyDescent="0.25">
      <c r="A295">
        <f t="shared" si="4"/>
        <v>2051</v>
      </c>
      <c r="B295" t="s">
        <v>208</v>
      </c>
      <c r="C295">
        <v>4</v>
      </c>
      <c r="D295">
        <v>15.455</v>
      </c>
    </row>
    <row r="296" spans="1:4" x14ac:dyDescent="0.25">
      <c r="A296">
        <f t="shared" si="4"/>
        <v>2051</v>
      </c>
      <c r="B296" t="s">
        <v>208</v>
      </c>
      <c r="C296">
        <v>5</v>
      </c>
      <c r="D296">
        <v>15.455</v>
      </c>
    </row>
    <row r="297" spans="1:4" x14ac:dyDescent="0.25">
      <c r="A297">
        <f t="shared" si="4"/>
        <v>2051</v>
      </c>
      <c r="B297" t="s">
        <v>208</v>
      </c>
      <c r="C297">
        <v>6</v>
      </c>
      <c r="D297">
        <v>15.455</v>
      </c>
    </row>
    <row r="298" spans="1:4" x14ac:dyDescent="0.25">
      <c r="A298">
        <f t="shared" si="4"/>
        <v>2051</v>
      </c>
      <c r="B298" t="s">
        <v>208</v>
      </c>
      <c r="C298">
        <v>7</v>
      </c>
      <c r="D298">
        <v>15.455</v>
      </c>
    </row>
    <row r="299" spans="1:4" x14ac:dyDescent="0.25">
      <c r="A299">
        <f t="shared" si="4"/>
        <v>2051</v>
      </c>
      <c r="B299" t="s">
        <v>208</v>
      </c>
      <c r="C299">
        <v>8</v>
      </c>
      <c r="D299">
        <v>9.7550000000000008</v>
      </c>
    </row>
    <row r="300" spans="1:4" x14ac:dyDescent="0.25">
      <c r="A300">
        <f t="shared" si="4"/>
        <v>2051</v>
      </c>
      <c r="B300" t="s">
        <v>208</v>
      </c>
      <c r="C300">
        <v>9</v>
      </c>
      <c r="D300">
        <v>18.454999999999998</v>
      </c>
    </row>
    <row r="301" spans="1:4" x14ac:dyDescent="0.25">
      <c r="A301">
        <f t="shared" si="4"/>
        <v>2051</v>
      </c>
      <c r="B301" t="s">
        <v>208</v>
      </c>
      <c r="C301">
        <v>10</v>
      </c>
      <c r="D301">
        <v>15.455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9DBFB-8887-44D9-8983-D0E8A8C155D0}">
  <sheetPr>
    <tabColor rgb="FF00B0F0"/>
  </sheetPr>
  <dimension ref="A1:D301"/>
  <sheetViews>
    <sheetView workbookViewId="0">
      <selection activeCell="A2" sqref="A2:XFD2"/>
    </sheetView>
  </sheetViews>
  <sheetFormatPr defaultRowHeight="15" x14ac:dyDescent="0.25"/>
  <cols>
    <col min="2" max="2" width="49.28515625" customWidth="1"/>
  </cols>
  <sheetData>
    <row r="1" spans="1:4" x14ac:dyDescent="0.25">
      <c r="A1" t="s">
        <v>242</v>
      </c>
      <c r="B1" t="s">
        <v>30</v>
      </c>
      <c r="C1" t="s">
        <v>46</v>
      </c>
      <c r="D1" t="s">
        <v>31</v>
      </c>
    </row>
    <row r="2" spans="1:4" x14ac:dyDescent="0.25">
      <c r="A2">
        <f>VALUE(RIGHT(B2,4))</f>
        <v>2022</v>
      </c>
      <c r="B2" t="s">
        <v>119</v>
      </c>
      <c r="C2">
        <v>1</v>
      </c>
      <c r="D2">
        <v>18.425999999999998</v>
      </c>
    </row>
    <row r="3" spans="1:4" x14ac:dyDescent="0.25">
      <c r="A3">
        <f t="shared" ref="A3:A66" si="0">VALUE(RIGHT(B3,4))</f>
        <v>2022</v>
      </c>
      <c r="B3" t="s">
        <v>119</v>
      </c>
      <c r="C3">
        <v>2</v>
      </c>
      <c r="D3">
        <v>18.425999999999998</v>
      </c>
    </row>
    <row r="4" spans="1:4" x14ac:dyDescent="0.25">
      <c r="A4">
        <f t="shared" si="0"/>
        <v>2022</v>
      </c>
      <c r="B4" t="s">
        <v>119</v>
      </c>
      <c r="C4">
        <v>3</v>
      </c>
      <c r="D4">
        <v>18.425999999999998</v>
      </c>
    </row>
    <row r="5" spans="1:4" x14ac:dyDescent="0.25">
      <c r="A5">
        <f t="shared" si="0"/>
        <v>2022</v>
      </c>
      <c r="B5" t="s">
        <v>119</v>
      </c>
      <c r="C5">
        <v>4</v>
      </c>
      <c r="D5">
        <v>18.425999999999998</v>
      </c>
    </row>
    <row r="6" spans="1:4" x14ac:dyDescent="0.25">
      <c r="A6">
        <f t="shared" si="0"/>
        <v>2022</v>
      </c>
      <c r="B6" t="s">
        <v>119</v>
      </c>
      <c r="C6">
        <v>5</v>
      </c>
      <c r="D6">
        <v>18.425999999999998</v>
      </c>
    </row>
    <row r="7" spans="1:4" x14ac:dyDescent="0.25">
      <c r="A7">
        <f t="shared" si="0"/>
        <v>2022</v>
      </c>
      <c r="B7" t="s">
        <v>119</v>
      </c>
      <c r="C7">
        <v>6</v>
      </c>
      <c r="D7">
        <v>18.425999999999998</v>
      </c>
    </row>
    <row r="8" spans="1:4" x14ac:dyDescent="0.25">
      <c r="A8">
        <f t="shared" si="0"/>
        <v>2022</v>
      </c>
      <c r="B8" t="s">
        <v>119</v>
      </c>
      <c r="C8">
        <v>7</v>
      </c>
      <c r="D8">
        <v>18.425999999999998</v>
      </c>
    </row>
    <row r="9" spans="1:4" x14ac:dyDescent="0.25">
      <c r="A9">
        <f t="shared" si="0"/>
        <v>2022</v>
      </c>
      <c r="B9" t="s">
        <v>119</v>
      </c>
      <c r="C9">
        <v>8</v>
      </c>
      <c r="D9">
        <v>13.776</v>
      </c>
    </row>
    <row r="10" spans="1:4" x14ac:dyDescent="0.25">
      <c r="A10">
        <f t="shared" si="0"/>
        <v>2022</v>
      </c>
      <c r="B10" t="s">
        <v>119</v>
      </c>
      <c r="C10">
        <v>9</v>
      </c>
      <c r="D10">
        <v>23.076000000000001</v>
      </c>
    </row>
    <row r="11" spans="1:4" x14ac:dyDescent="0.25">
      <c r="A11">
        <f t="shared" si="0"/>
        <v>2022</v>
      </c>
      <c r="B11" t="s">
        <v>119</v>
      </c>
      <c r="C11">
        <v>10</v>
      </c>
      <c r="D11">
        <v>18.425999999999998</v>
      </c>
    </row>
    <row r="12" spans="1:4" x14ac:dyDescent="0.25">
      <c r="A12">
        <f t="shared" si="0"/>
        <v>2023</v>
      </c>
      <c r="B12" t="s">
        <v>120</v>
      </c>
      <c r="C12">
        <v>1</v>
      </c>
      <c r="D12">
        <v>17.887</v>
      </c>
    </row>
    <row r="13" spans="1:4" x14ac:dyDescent="0.25">
      <c r="A13">
        <f t="shared" si="0"/>
        <v>2023</v>
      </c>
      <c r="B13" t="s">
        <v>120</v>
      </c>
      <c r="C13">
        <v>2</v>
      </c>
      <c r="D13">
        <v>17.887</v>
      </c>
    </row>
    <row r="14" spans="1:4" x14ac:dyDescent="0.25">
      <c r="A14">
        <f t="shared" si="0"/>
        <v>2023</v>
      </c>
      <c r="B14" t="s">
        <v>120</v>
      </c>
      <c r="C14">
        <v>3</v>
      </c>
      <c r="D14">
        <v>17.887</v>
      </c>
    </row>
    <row r="15" spans="1:4" x14ac:dyDescent="0.25">
      <c r="A15">
        <f t="shared" si="0"/>
        <v>2023</v>
      </c>
      <c r="B15" t="s">
        <v>120</v>
      </c>
      <c r="C15">
        <v>4</v>
      </c>
      <c r="D15">
        <v>17.887</v>
      </c>
    </row>
    <row r="16" spans="1:4" x14ac:dyDescent="0.25">
      <c r="A16">
        <f t="shared" si="0"/>
        <v>2023</v>
      </c>
      <c r="B16" t="s">
        <v>120</v>
      </c>
      <c r="C16">
        <v>5</v>
      </c>
      <c r="D16">
        <v>17.887</v>
      </c>
    </row>
    <row r="17" spans="1:4" x14ac:dyDescent="0.25">
      <c r="A17">
        <f t="shared" si="0"/>
        <v>2023</v>
      </c>
      <c r="B17" t="s">
        <v>120</v>
      </c>
      <c r="C17">
        <v>6</v>
      </c>
      <c r="D17">
        <v>17.887</v>
      </c>
    </row>
    <row r="18" spans="1:4" x14ac:dyDescent="0.25">
      <c r="A18">
        <f t="shared" si="0"/>
        <v>2023</v>
      </c>
      <c r="B18" t="s">
        <v>120</v>
      </c>
      <c r="C18">
        <v>7</v>
      </c>
      <c r="D18">
        <v>17.887</v>
      </c>
    </row>
    <row r="19" spans="1:4" x14ac:dyDescent="0.25">
      <c r="A19">
        <f t="shared" si="0"/>
        <v>2023</v>
      </c>
      <c r="B19" t="s">
        <v>120</v>
      </c>
      <c r="C19">
        <v>8</v>
      </c>
      <c r="D19">
        <v>13.526999999999999</v>
      </c>
    </row>
    <row r="20" spans="1:4" x14ac:dyDescent="0.25">
      <c r="A20">
        <f t="shared" si="0"/>
        <v>2023</v>
      </c>
      <c r="B20" t="s">
        <v>120</v>
      </c>
      <c r="C20">
        <v>9</v>
      </c>
      <c r="D20">
        <v>22.247</v>
      </c>
    </row>
    <row r="21" spans="1:4" x14ac:dyDescent="0.25">
      <c r="A21">
        <f t="shared" si="0"/>
        <v>2023</v>
      </c>
      <c r="B21" t="s">
        <v>120</v>
      </c>
      <c r="C21">
        <v>10</v>
      </c>
      <c r="D21">
        <v>17.887</v>
      </c>
    </row>
    <row r="22" spans="1:4" x14ac:dyDescent="0.25">
      <c r="A22">
        <f t="shared" si="0"/>
        <v>2024</v>
      </c>
      <c r="B22" t="s">
        <v>121</v>
      </c>
      <c r="C22">
        <v>1</v>
      </c>
      <c r="D22">
        <v>17.576000000000001</v>
      </c>
    </row>
    <row r="23" spans="1:4" x14ac:dyDescent="0.25">
      <c r="A23">
        <f t="shared" si="0"/>
        <v>2024</v>
      </c>
      <c r="B23" t="s">
        <v>121</v>
      </c>
      <c r="C23">
        <v>2</v>
      </c>
      <c r="D23">
        <v>17.576000000000001</v>
      </c>
    </row>
    <row r="24" spans="1:4" x14ac:dyDescent="0.25">
      <c r="A24">
        <f t="shared" si="0"/>
        <v>2024</v>
      </c>
      <c r="B24" t="s">
        <v>121</v>
      </c>
      <c r="C24">
        <v>3</v>
      </c>
      <c r="D24">
        <v>17.576000000000001</v>
      </c>
    </row>
    <row r="25" spans="1:4" x14ac:dyDescent="0.25">
      <c r="A25">
        <f t="shared" si="0"/>
        <v>2024</v>
      </c>
      <c r="B25" t="s">
        <v>121</v>
      </c>
      <c r="C25">
        <v>4</v>
      </c>
      <c r="D25">
        <v>17.576000000000001</v>
      </c>
    </row>
    <row r="26" spans="1:4" x14ac:dyDescent="0.25">
      <c r="A26">
        <f t="shared" si="0"/>
        <v>2024</v>
      </c>
      <c r="B26" t="s">
        <v>121</v>
      </c>
      <c r="C26">
        <v>5</v>
      </c>
      <c r="D26">
        <v>17.576000000000001</v>
      </c>
    </row>
    <row r="27" spans="1:4" x14ac:dyDescent="0.25">
      <c r="A27">
        <f t="shared" si="0"/>
        <v>2024</v>
      </c>
      <c r="B27" t="s">
        <v>121</v>
      </c>
      <c r="C27">
        <v>6</v>
      </c>
      <c r="D27">
        <v>17.576000000000001</v>
      </c>
    </row>
    <row r="28" spans="1:4" x14ac:dyDescent="0.25">
      <c r="A28">
        <f t="shared" si="0"/>
        <v>2024</v>
      </c>
      <c r="B28" t="s">
        <v>121</v>
      </c>
      <c r="C28">
        <v>7</v>
      </c>
      <c r="D28">
        <v>17.576000000000001</v>
      </c>
    </row>
    <row r="29" spans="1:4" x14ac:dyDescent="0.25">
      <c r="A29">
        <f t="shared" si="0"/>
        <v>2024</v>
      </c>
      <c r="B29" t="s">
        <v>121</v>
      </c>
      <c r="C29">
        <v>8</v>
      </c>
      <c r="D29">
        <v>13.506</v>
      </c>
    </row>
    <row r="30" spans="1:4" x14ac:dyDescent="0.25">
      <c r="A30">
        <f t="shared" si="0"/>
        <v>2024</v>
      </c>
      <c r="B30" t="s">
        <v>121</v>
      </c>
      <c r="C30">
        <v>9</v>
      </c>
      <c r="D30">
        <v>21.646000000000001</v>
      </c>
    </row>
    <row r="31" spans="1:4" x14ac:dyDescent="0.25">
      <c r="A31">
        <f t="shared" si="0"/>
        <v>2024</v>
      </c>
      <c r="B31" t="s">
        <v>121</v>
      </c>
      <c r="C31">
        <v>10</v>
      </c>
      <c r="D31">
        <v>17.576000000000001</v>
      </c>
    </row>
    <row r="32" spans="1:4" x14ac:dyDescent="0.25">
      <c r="A32">
        <f t="shared" si="0"/>
        <v>2025</v>
      </c>
      <c r="B32" t="s">
        <v>122</v>
      </c>
      <c r="C32">
        <v>1</v>
      </c>
      <c r="D32">
        <v>15.694000000000001</v>
      </c>
    </row>
    <row r="33" spans="1:4" x14ac:dyDescent="0.25">
      <c r="A33">
        <f t="shared" si="0"/>
        <v>2025</v>
      </c>
      <c r="B33" t="s">
        <v>122</v>
      </c>
      <c r="C33">
        <v>2</v>
      </c>
      <c r="D33">
        <v>15.694000000000001</v>
      </c>
    </row>
    <row r="34" spans="1:4" x14ac:dyDescent="0.25">
      <c r="A34">
        <f t="shared" si="0"/>
        <v>2025</v>
      </c>
      <c r="B34" t="s">
        <v>122</v>
      </c>
      <c r="C34">
        <v>3</v>
      </c>
      <c r="D34">
        <v>15.694000000000001</v>
      </c>
    </row>
    <row r="35" spans="1:4" x14ac:dyDescent="0.25">
      <c r="A35">
        <f t="shared" si="0"/>
        <v>2025</v>
      </c>
      <c r="B35" t="s">
        <v>122</v>
      </c>
      <c r="C35">
        <v>4</v>
      </c>
      <c r="D35">
        <v>15.694000000000001</v>
      </c>
    </row>
    <row r="36" spans="1:4" x14ac:dyDescent="0.25">
      <c r="A36">
        <f t="shared" si="0"/>
        <v>2025</v>
      </c>
      <c r="B36" t="s">
        <v>122</v>
      </c>
      <c r="C36">
        <v>5</v>
      </c>
      <c r="D36">
        <v>15.694000000000001</v>
      </c>
    </row>
    <row r="37" spans="1:4" x14ac:dyDescent="0.25">
      <c r="A37">
        <f t="shared" si="0"/>
        <v>2025</v>
      </c>
      <c r="B37" t="s">
        <v>122</v>
      </c>
      <c r="C37">
        <v>6</v>
      </c>
      <c r="D37">
        <v>15.694000000000001</v>
      </c>
    </row>
    <row r="38" spans="1:4" x14ac:dyDescent="0.25">
      <c r="A38">
        <f t="shared" si="0"/>
        <v>2025</v>
      </c>
      <c r="B38" t="s">
        <v>122</v>
      </c>
      <c r="C38">
        <v>7</v>
      </c>
      <c r="D38">
        <v>15.694000000000001</v>
      </c>
    </row>
    <row r="39" spans="1:4" x14ac:dyDescent="0.25">
      <c r="A39">
        <f t="shared" si="0"/>
        <v>2025</v>
      </c>
      <c r="B39" t="s">
        <v>122</v>
      </c>
      <c r="C39">
        <v>8</v>
      </c>
      <c r="D39">
        <v>11.923999999999999</v>
      </c>
    </row>
    <row r="40" spans="1:4" x14ac:dyDescent="0.25">
      <c r="A40">
        <f t="shared" si="0"/>
        <v>2025</v>
      </c>
      <c r="B40" t="s">
        <v>122</v>
      </c>
      <c r="C40">
        <v>9</v>
      </c>
      <c r="D40">
        <v>19.474</v>
      </c>
    </row>
    <row r="41" spans="1:4" x14ac:dyDescent="0.25">
      <c r="A41">
        <f t="shared" si="0"/>
        <v>2025</v>
      </c>
      <c r="B41" t="s">
        <v>122</v>
      </c>
      <c r="C41">
        <v>10</v>
      </c>
      <c r="D41">
        <v>15.694000000000001</v>
      </c>
    </row>
    <row r="42" spans="1:4" x14ac:dyDescent="0.25">
      <c r="A42">
        <f t="shared" si="0"/>
        <v>2026</v>
      </c>
      <c r="B42" t="s">
        <v>123</v>
      </c>
      <c r="C42">
        <v>1</v>
      </c>
      <c r="D42">
        <v>14.824</v>
      </c>
    </row>
    <row r="43" spans="1:4" x14ac:dyDescent="0.25">
      <c r="A43">
        <f t="shared" si="0"/>
        <v>2026</v>
      </c>
      <c r="B43" t="s">
        <v>123</v>
      </c>
      <c r="C43">
        <v>2</v>
      </c>
      <c r="D43">
        <v>14.824</v>
      </c>
    </row>
    <row r="44" spans="1:4" x14ac:dyDescent="0.25">
      <c r="A44">
        <f t="shared" si="0"/>
        <v>2026</v>
      </c>
      <c r="B44" t="s">
        <v>123</v>
      </c>
      <c r="C44">
        <v>3</v>
      </c>
      <c r="D44">
        <v>14.824</v>
      </c>
    </row>
    <row r="45" spans="1:4" x14ac:dyDescent="0.25">
      <c r="A45">
        <f t="shared" si="0"/>
        <v>2026</v>
      </c>
      <c r="B45" t="s">
        <v>123</v>
      </c>
      <c r="C45">
        <v>4</v>
      </c>
      <c r="D45">
        <v>14.824</v>
      </c>
    </row>
    <row r="46" spans="1:4" x14ac:dyDescent="0.25">
      <c r="A46">
        <f t="shared" si="0"/>
        <v>2026</v>
      </c>
      <c r="B46" t="s">
        <v>123</v>
      </c>
      <c r="C46">
        <v>5</v>
      </c>
      <c r="D46">
        <v>14.824</v>
      </c>
    </row>
    <row r="47" spans="1:4" x14ac:dyDescent="0.25">
      <c r="A47">
        <f t="shared" si="0"/>
        <v>2026</v>
      </c>
      <c r="B47" t="s">
        <v>123</v>
      </c>
      <c r="C47">
        <v>6</v>
      </c>
      <c r="D47">
        <v>14.824</v>
      </c>
    </row>
    <row r="48" spans="1:4" x14ac:dyDescent="0.25">
      <c r="A48">
        <f t="shared" si="0"/>
        <v>2026</v>
      </c>
      <c r="B48" t="s">
        <v>123</v>
      </c>
      <c r="C48">
        <v>7</v>
      </c>
      <c r="D48">
        <v>14.824</v>
      </c>
    </row>
    <row r="49" spans="1:4" x14ac:dyDescent="0.25">
      <c r="A49">
        <f t="shared" si="0"/>
        <v>2026</v>
      </c>
      <c r="B49" t="s">
        <v>123</v>
      </c>
      <c r="C49">
        <v>8</v>
      </c>
      <c r="D49">
        <v>11.334</v>
      </c>
    </row>
    <row r="50" spans="1:4" x14ac:dyDescent="0.25">
      <c r="A50">
        <f t="shared" si="0"/>
        <v>2026</v>
      </c>
      <c r="B50" t="s">
        <v>123</v>
      </c>
      <c r="C50">
        <v>9</v>
      </c>
      <c r="D50">
        <v>18.303999999999998</v>
      </c>
    </row>
    <row r="51" spans="1:4" x14ac:dyDescent="0.25">
      <c r="A51">
        <f t="shared" si="0"/>
        <v>2026</v>
      </c>
      <c r="B51" t="s">
        <v>123</v>
      </c>
      <c r="C51">
        <v>10</v>
      </c>
      <c r="D51">
        <v>14.824</v>
      </c>
    </row>
    <row r="52" spans="1:4" x14ac:dyDescent="0.25">
      <c r="A52">
        <f t="shared" si="0"/>
        <v>2027</v>
      </c>
      <c r="B52" t="s">
        <v>124</v>
      </c>
      <c r="C52">
        <v>1</v>
      </c>
      <c r="D52">
        <v>13.423999999999999</v>
      </c>
    </row>
    <row r="53" spans="1:4" x14ac:dyDescent="0.25">
      <c r="A53">
        <f t="shared" si="0"/>
        <v>2027</v>
      </c>
      <c r="B53" t="s">
        <v>124</v>
      </c>
      <c r="C53">
        <v>2</v>
      </c>
      <c r="D53">
        <v>13.423999999999999</v>
      </c>
    </row>
    <row r="54" spans="1:4" x14ac:dyDescent="0.25">
      <c r="A54">
        <f t="shared" si="0"/>
        <v>2027</v>
      </c>
      <c r="B54" t="s">
        <v>124</v>
      </c>
      <c r="C54">
        <v>3</v>
      </c>
      <c r="D54">
        <v>13.423999999999999</v>
      </c>
    </row>
    <row r="55" spans="1:4" x14ac:dyDescent="0.25">
      <c r="A55">
        <f t="shared" si="0"/>
        <v>2027</v>
      </c>
      <c r="B55" t="s">
        <v>124</v>
      </c>
      <c r="C55">
        <v>4</v>
      </c>
      <c r="D55">
        <v>13.423999999999999</v>
      </c>
    </row>
    <row r="56" spans="1:4" x14ac:dyDescent="0.25">
      <c r="A56">
        <f t="shared" si="0"/>
        <v>2027</v>
      </c>
      <c r="B56" t="s">
        <v>124</v>
      </c>
      <c r="C56">
        <v>5</v>
      </c>
      <c r="D56">
        <v>13.423999999999999</v>
      </c>
    </row>
    <row r="57" spans="1:4" x14ac:dyDescent="0.25">
      <c r="A57">
        <f t="shared" si="0"/>
        <v>2027</v>
      </c>
      <c r="B57" t="s">
        <v>124</v>
      </c>
      <c r="C57">
        <v>6</v>
      </c>
      <c r="D57">
        <v>13.423999999999999</v>
      </c>
    </row>
    <row r="58" spans="1:4" x14ac:dyDescent="0.25">
      <c r="A58">
        <f t="shared" si="0"/>
        <v>2027</v>
      </c>
      <c r="B58" t="s">
        <v>124</v>
      </c>
      <c r="C58">
        <v>7</v>
      </c>
      <c r="D58">
        <v>13.423999999999999</v>
      </c>
    </row>
    <row r="59" spans="1:4" x14ac:dyDescent="0.25">
      <c r="A59">
        <f t="shared" si="0"/>
        <v>2027</v>
      </c>
      <c r="B59" t="s">
        <v>124</v>
      </c>
      <c r="C59">
        <v>8</v>
      </c>
      <c r="D59">
        <v>10.224</v>
      </c>
    </row>
    <row r="60" spans="1:4" x14ac:dyDescent="0.25">
      <c r="A60">
        <f t="shared" si="0"/>
        <v>2027</v>
      </c>
      <c r="B60" t="s">
        <v>124</v>
      </c>
      <c r="C60">
        <v>9</v>
      </c>
      <c r="D60">
        <v>16.614000000000001</v>
      </c>
    </row>
    <row r="61" spans="1:4" x14ac:dyDescent="0.25">
      <c r="A61">
        <f t="shared" si="0"/>
        <v>2027</v>
      </c>
      <c r="B61" t="s">
        <v>124</v>
      </c>
      <c r="C61">
        <v>10</v>
      </c>
      <c r="D61">
        <v>13.423999999999999</v>
      </c>
    </row>
    <row r="62" spans="1:4" x14ac:dyDescent="0.25">
      <c r="A62">
        <f t="shared" si="0"/>
        <v>2028</v>
      </c>
      <c r="B62" t="s">
        <v>125</v>
      </c>
      <c r="C62">
        <v>1</v>
      </c>
      <c r="D62">
        <v>11.917999999999999</v>
      </c>
    </row>
    <row r="63" spans="1:4" x14ac:dyDescent="0.25">
      <c r="A63">
        <f t="shared" si="0"/>
        <v>2028</v>
      </c>
      <c r="B63" t="s">
        <v>125</v>
      </c>
      <c r="C63">
        <v>2</v>
      </c>
      <c r="D63">
        <v>11.917999999999999</v>
      </c>
    </row>
    <row r="64" spans="1:4" x14ac:dyDescent="0.25">
      <c r="A64">
        <f t="shared" si="0"/>
        <v>2028</v>
      </c>
      <c r="B64" t="s">
        <v>125</v>
      </c>
      <c r="C64">
        <v>3</v>
      </c>
      <c r="D64">
        <v>11.917999999999999</v>
      </c>
    </row>
    <row r="65" spans="1:4" x14ac:dyDescent="0.25">
      <c r="A65">
        <f t="shared" si="0"/>
        <v>2028</v>
      </c>
      <c r="B65" t="s">
        <v>125</v>
      </c>
      <c r="C65">
        <v>4</v>
      </c>
      <c r="D65">
        <v>11.917999999999999</v>
      </c>
    </row>
    <row r="66" spans="1:4" x14ac:dyDescent="0.25">
      <c r="A66">
        <f t="shared" si="0"/>
        <v>2028</v>
      </c>
      <c r="B66" t="s">
        <v>125</v>
      </c>
      <c r="C66">
        <v>5</v>
      </c>
      <c r="D66">
        <v>11.917999999999999</v>
      </c>
    </row>
    <row r="67" spans="1:4" x14ac:dyDescent="0.25">
      <c r="A67">
        <f t="shared" ref="A67:A130" si="1">VALUE(RIGHT(B67,4))</f>
        <v>2028</v>
      </c>
      <c r="B67" t="s">
        <v>125</v>
      </c>
      <c r="C67">
        <v>6</v>
      </c>
      <c r="D67">
        <v>11.917999999999999</v>
      </c>
    </row>
    <row r="68" spans="1:4" x14ac:dyDescent="0.25">
      <c r="A68">
        <f t="shared" si="1"/>
        <v>2028</v>
      </c>
      <c r="B68" t="s">
        <v>125</v>
      </c>
      <c r="C68">
        <v>7</v>
      </c>
      <c r="D68">
        <v>11.917999999999999</v>
      </c>
    </row>
    <row r="69" spans="1:4" x14ac:dyDescent="0.25">
      <c r="A69">
        <f t="shared" si="1"/>
        <v>2028</v>
      </c>
      <c r="B69" t="s">
        <v>125</v>
      </c>
      <c r="C69">
        <v>8</v>
      </c>
      <c r="D69">
        <v>9.0079999999999991</v>
      </c>
    </row>
    <row r="70" spans="1:4" x14ac:dyDescent="0.25">
      <c r="A70">
        <f t="shared" si="1"/>
        <v>2028</v>
      </c>
      <c r="B70" t="s">
        <v>125</v>
      </c>
      <c r="C70">
        <v>9</v>
      </c>
      <c r="D70">
        <v>14.827999999999999</v>
      </c>
    </row>
    <row r="71" spans="1:4" x14ac:dyDescent="0.25">
      <c r="A71">
        <f t="shared" si="1"/>
        <v>2028</v>
      </c>
      <c r="B71" t="s">
        <v>125</v>
      </c>
      <c r="C71">
        <v>10</v>
      </c>
      <c r="D71">
        <v>11.917999999999999</v>
      </c>
    </row>
    <row r="72" spans="1:4" x14ac:dyDescent="0.25">
      <c r="A72">
        <f t="shared" si="1"/>
        <v>2029</v>
      </c>
      <c r="B72" t="s">
        <v>126</v>
      </c>
      <c r="C72">
        <v>1</v>
      </c>
      <c r="D72">
        <v>10.428000000000001</v>
      </c>
    </row>
    <row r="73" spans="1:4" x14ac:dyDescent="0.25">
      <c r="A73">
        <f t="shared" si="1"/>
        <v>2029</v>
      </c>
      <c r="B73" t="s">
        <v>126</v>
      </c>
      <c r="C73">
        <v>2</v>
      </c>
      <c r="D73">
        <v>10.428000000000001</v>
      </c>
    </row>
    <row r="74" spans="1:4" x14ac:dyDescent="0.25">
      <c r="A74">
        <f t="shared" si="1"/>
        <v>2029</v>
      </c>
      <c r="B74" t="s">
        <v>126</v>
      </c>
      <c r="C74">
        <v>3</v>
      </c>
      <c r="D74">
        <v>10.428000000000001</v>
      </c>
    </row>
    <row r="75" spans="1:4" x14ac:dyDescent="0.25">
      <c r="A75">
        <f t="shared" si="1"/>
        <v>2029</v>
      </c>
      <c r="B75" t="s">
        <v>126</v>
      </c>
      <c r="C75">
        <v>4</v>
      </c>
      <c r="D75">
        <v>10.428000000000001</v>
      </c>
    </row>
    <row r="76" spans="1:4" x14ac:dyDescent="0.25">
      <c r="A76">
        <f t="shared" si="1"/>
        <v>2029</v>
      </c>
      <c r="B76" t="s">
        <v>126</v>
      </c>
      <c r="C76">
        <v>5</v>
      </c>
      <c r="D76">
        <v>10.428000000000001</v>
      </c>
    </row>
    <row r="77" spans="1:4" x14ac:dyDescent="0.25">
      <c r="A77">
        <f t="shared" si="1"/>
        <v>2029</v>
      </c>
      <c r="B77" t="s">
        <v>126</v>
      </c>
      <c r="C77">
        <v>6</v>
      </c>
      <c r="D77">
        <v>10.428000000000001</v>
      </c>
    </row>
    <row r="78" spans="1:4" x14ac:dyDescent="0.25">
      <c r="A78">
        <f t="shared" si="1"/>
        <v>2029</v>
      </c>
      <c r="B78" t="s">
        <v>126</v>
      </c>
      <c r="C78">
        <v>7</v>
      </c>
      <c r="D78">
        <v>10.428000000000001</v>
      </c>
    </row>
    <row r="79" spans="1:4" x14ac:dyDescent="0.25">
      <c r="A79">
        <f t="shared" si="1"/>
        <v>2029</v>
      </c>
      <c r="B79" t="s">
        <v>126</v>
      </c>
      <c r="C79">
        <v>8</v>
      </c>
      <c r="D79">
        <v>7.8079999999999998</v>
      </c>
    </row>
    <row r="80" spans="1:4" x14ac:dyDescent="0.25">
      <c r="A80">
        <f t="shared" si="1"/>
        <v>2029</v>
      </c>
      <c r="B80" t="s">
        <v>126</v>
      </c>
      <c r="C80">
        <v>9</v>
      </c>
      <c r="D80">
        <v>13.048</v>
      </c>
    </row>
    <row r="81" spans="1:4" x14ac:dyDescent="0.25">
      <c r="A81">
        <f t="shared" si="1"/>
        <v>2029</v>
      </c>
      <c r="B81" t="s">
        <v>126</v>
      </c>
      <c r="C81">
        <v>10</v>
      </c>
      <c r="D81">
        <v>10.428000000000001</v>
      </c>
    </row>
    <row r="82" spans="1:4" x14ac:dyDescent="0.25">
      <c r="A82">
        <f t="shared" si="1"/>
        <v>2030</v>
      </c>
      <c r="B82" t="s">
        <v>127</v>
      </c>
      <c r="C82">
        <v>1</v>
      </c>
      <c r="D82">
        <v>8.9870000000000001</v>
      </c>
    </row>
    <row r="83" spans="1:4" x14ac:dyDescent="0.25">
      <c r="A83">
        <f t="shared" si="1"/>
        <v>2030</v>
      </c>
      <c r="B83" t="s">
        <v>127</v>
      </c>
      <c r="C83">
        <v>2</v>
      </c>
      <c r="D83">
        <v>8.9870000000000001</v>
      </c>
    </row>
    <row r="84" spans="1:4" x14ac:dyDescent="0.25">
      <c r="A84">
        <f t="shared" si="1"/>
        <v>2030</v>
      </c>
      <c r="B84" t="s">
        <v>127</v>
      </c>
      <c r="C84">
        <v>3</v>
      </c>
      <c r="D84">
        <v>8.9870000000000001</v>
      </c>
    </row>
    <row r="85" spans="1:4" x14ac:dyDescent="0.25">
      <c r="A85">
        <f t="shared" si="1"/>
        <v>2030</v>
      </c>
      <c r="B85" t="s">
        <v>127</v>
      </c>
      <c r="C85">
        <v>4</v>
      </c>
      <c r="D85">
        <v>8.9870000000000001</v>
      </c>
    </row>
    <row r="86" spans="1:4" x14ac:dyDescent="0.25">
      <c r="A86">
        <f t="shared" si="1"/>
        <v>2030</v>
      </c>
      <c r="B86" t="s">
        <v>127</v>
      </c>
      <c r="C86">
        <v>5</v>
      </c>
      <c r="D86">
        <v>8.9870000000000001</v>
      </c>
    </row>
    <row r="87" spans="1:4" x14ac:dyDescent="0.25">
      <c r="A87">
        <f t="shared" si="1"/>
        <v>2030</v>
      </c>
      <c r="B87" t="s">
        <v>127</v>
      </c>
      <c r="C87">
        <v>6</v>
      </c>
      <c r="D87">
        <v>8.9870000000000001</v>
      </c>
    </row>
    <row r="88" spans="1:4" x14ac:dyDescent="0.25">
      <c r="A88">
        <f t="shared" si="1"/>
        <v>2030</v>
      </c>
      <c r="B88" t="s">
        <v>127</v>
      </c>
      <c r="C88">
        <v>7</v>
      </c>
      <c r="D88">
        <v>8.9870000000000001</v>
      </c>
    </row>
    <row r="89" spans="1:4" x14ac:dyDescent="0.25">
      <c r="A89">
        <f t="shared" si="1"/>
        <v>2030</v>
      </c>
      <c r="B89" t="s">
        <v>127</v>
      </c>
      <c r="C89">
        <v>8</v>
      </c>
      <c r="D89">
        <v>6.657</v>
      </c>
    </row>
    <row r="90" spans="1:4" x14ac:dyDescent="0.25">
      <c r="A90">
        <f t="shared" si="1"/>
        <v>2030</v>
      </c>
      <c r="B90" t="s">
        <v>127</v>
      </c>
      <c r="C90">
        <v>9</v>
      </c>
      <c r="D90">
        <v>11.317</v>
      </c>
    </row>
    <row r="91" spans="1:4" x14ac:dyDescent="0.25">
      <c r="A91">
        <f t="shared" si="1"/>
        <v>2030</v>
      </c>
      <c r="B91" t="s">
        <v>127</v>
      </c>
      <c r="C91">
        <v>10</v>
      </c>
      <c r="D91">
        <v>8.9870000000000001</v>
      </c>
    </row>
    <row r="92" spans="1:4" x14ac:dyDescent="0.25">
      <c r="A92">
        <f t="shared" si="1"/>
        <v>2031</v>
      </c>
      <c r="B92" t="s">
        <v>128</v>
      </c>
      <c r="C92">
        <v>1</v>
      </c>
      <c r="D92">
        <v>8.6389999999999993</v>
      </c>
    </row>
    <row r="93" spans="1:4" x14ac:dyDescent="0.25">
      <c r="A93">
        <f t="shared" si="1"/>
        <v>2031</v>
      </c>
      <c r="B93" t="s">
        <v>128</v>
      </c>
      <c r="C93">
        <v>2</v>
      </c>
      <c r="D93">
        <v>8.6389999999999993</v>
      </c>
    </row>
    <row r="94" spans="1:4" x14ac:dyDescent="0.25">
      <c r="A94">
        <f t="shared" si="1"/>
        <v>2031</v>
      </c>
      <c r="B94" t="s">
        <v>128</v>
      </c>
      <c r="C94">
        <v>3</v>
      </c>
      <c r="D94">
        <v>8.6389999999999993</v>
      </c>
    </row>
    <row r="95" spans="1:4" x14ac:dyDescent="0.25">
      <c r="A95">
        <f t="shared" si="1"/>
        <v>2031</v>
      </c>
      <c r="B95" t="s">
        <v>128</v>
      </c>
      <c r="C95">
        <v>4</v>
      </c>
      <c r="D95">
        <v>8.6389999999999993</v>
      </c>
    </row>
    <row r="96" spans="1:4" x14ac:dyDescent="0.25">
      <c r="A96">
        <f t="shared" si="1"/>
        <v>2031</v>
      </c>
      <c r="B96" t="s">
        <v>128</v>
      </c>
      <c r="C96">
        <v>5</v>
      </c>
      <c r="D96">
        <v>8.6389999999999993</v>
      </c>
    </row>
    <row r="97" spans="1:4" x14ac:dyDescent="0.25">
      <c r="A97">
        <f t="shared" si="1"/>
        <v>2031</v>
      </c>
      <c r="B97" t="s">
        <v>128</v>
      </c>
      <c r="C97">
        <v>6</v>
      </c>
      <c r="D97">
        <v>8.6389999999999993</v>
      </c>
    </row>
    <row r="98" spans="1:4" x14ac:dyDescent="0.25">
      <c r="A98">
        <f t="shared" si="1"/>
        <v>2031</v>
      </c>
      <c r="B98" t="s">
        <v>128</v>
      </c>
      <c r="C98">
        <v>7</v>
      </c>
      <c r="D98">
        <v>8.6389999999999993</v>
      </c>
    </row>
    <row r="99" spans="1:4" x14ac:dyDescent="0.25">
      <c r="A99">
        <f t="shared" si="1"/>
        <v>2031</v>
      </c>
      <c r="B99" t="s">
        <v>128</v>
      </c>
      <c r="C99">
        <v>8</v>
      </c>
      <c r="D99">
        <v>6.3789999999999996</v>
      </c>
    </row>
    <row r="100" spans="1:4" x14ac:dyDescent="0.25">
      <c r="A100">
        <f t="shared" si="1"/>
        <v>2031</v>
      </c>
      <c r="B100" t="s">
        <v>128</v>
      </c>
      <c r="C100">
        <v>9</v>
      </c>
      <c r="D100">
        <v>10.909000000000001</v>
      </c>
    </row>
    <row r="101" spans="1:4" x14ac:dyDescent="0.25">
      <c r="A101">
        <f t="shared" si="1"/>
        <v>2031</v>
      </c>
      <c r="B101" t="s">
        <v>128</v>
      </c>
      <c r="C101">
        <v>10</v>
      </c>
      <c r="D101">
        <v>8.6389999999999993</v>
      </c>
    </row>
    <row r="102" spans="1:4" x14ac:dyDescent="0.25">
      <c r="A102">
        <f t="shared" si="1"/>
        <v>2032</v>
      </c>
      <c r="B102" t="s">
        <v>129</v>
      </c>
      <c r="C102">
        <v>1</v>
      </c>
      <c r="D102">
        <v>8.3030000000000008</v>
      </c>
    </row>
    <row r="103" spans="1:4" x14ac:dyDescent="0.25">
      <c r="A103">
        <f t="shared" si="1"/>
        <v>2032</v>
      </c>
      <c r="B103" t="s">
        <v>129</v>
      </c>
      <c r="C103">
        <v>2</v>
      </c>
      <c r="D103">
        <v>8.3030000000000008</v>
      </c>
    </row>
    <row r="104" spans="1:4" x14ac:dyDescent="0.25">
      <c r="A104">
        <f t="shared" si="1"/>
        <v>2032</v>
      </c>
      <c r="B104" t="s">
        <v>129</v>
      </c>
      <c r="C104">
        <v>3</v>
      </c>
      <c r="D104">
        <v>8.3030000000000008</v>
      </c>
    </row>
    <row r="105" spans="1:4" x14ac:dyDescent="0.25">
      <c r="A105">
        <f t="shared" si="1"/>
        <v>2032</v>
      </c>
      <c r="B105" t="s">
        <v>129</v>
      </c>
      <c r="C105">
        <v>4</v>
      </c>
      <c r="D105">
        <v>8.3030000000000008</v>
      </c>
    </row>
    <row r="106" spans="1:4" x14ac:dyDescent="0.25">
      <c r="A106">
        <f t="shared" si="1"/>
        <v>2032</v>
      </c>
      <c r="B106" t="s">
        <v>129</v>
      </c>
      <c r="C106">
        <v>5</v>
      </c>
      <c r="D106">
        <v>8.3030000000000008</v>
      </c>
    </row>
    <row r="107" spans="1:4" x14ac:dyDescent="0.25">
      <c r="A107">
        <f t="shared" si="1"/>
        <v>2032</v>
      </c>
      <c r="B107" t="s">
        <v>129</v>
      </c>
      <c r="C107">
        <v>6</v>
      </c>
      <c r="D107">
        <v>8.3030000000000008</v>
      </c>
    </row>
    <row r="108" spans="1:4" x14ac:dyDescent="0.25">
      <c r="A108">
        <f t="shared" si="1"/>
        <v>2032</v>
      </c>
      <c r="B108" t="s">
        <v>129</v>
      </c>
      <c r="C108">
        <v>7</v>
      </c>
      <c r="D108">
        <v>8.3030000000000008</v>
      </c>
    </row>
    <row r="109" spans="1:4" x14ac:dyDescent="0.25">
      <c r="A109">
        <f t="shared" si="1"/>
        <v>2032</v>
      </c>
      <c r="B109" t="s">
        <v>129</v>
      </c>
      <c r="C109">
        <v>8</v>
      </c>
      <c r="D109">
        <v>6.1029999999999998</v>
      </c>
    </row>
    <row r="110" spans="1:4" x14ac:dyDescent="0.25">
      <c r="A110">
        <f t="shared" si="1"/>
        <v>2032</v>
      </c>
      <c r="B110" t="s">
        <v>129</v>
      </c>
      <c r="C110">
        <v>9</v>
      </c>
      <c r="D110">
        <v>10.503</v>
      </c>
    </row>
    <row r="111" spans="1:4" x14ac:dyDescent="0.25">
      <c r="A111">
        <f t="shared" si="1"/>
        <v>2032</v>
      </c>
      <c r="B111" t="s">
        <v>129</v>
      </c>
      <c r="C111">
        <v>10</v>
      </c>
      <c r="D111">
        <v>8.3030000000000008</v>
      </c>
    </row>
    <row r="112" spans="1:4" x14ac:dyDescent="0.25">
      <c r="A112">
        <f t="shared" si="1"/>
        <v>2033</v>
      </c>
      <c r="B112" t="s">
        <v>130</v>
      </c>
      <c r="C112">
        <v>1</v>
      </c>
      <c r="D112">
        <v>7.8840000000000003</v>
      </c>
    </row>
    <row r="113" spans="1:4" x14ac:dyDescent="0.25">
      <c r="A113">
        <f t="shared" si="1"/>
        <v>2033</v>
      </c>
      <c r="B113" t="s">
        <v>130</v>
      </c>
      <c r="C113">
        <v>2</v>
      </c>
      <c r="D113">
        <v>7.8840000000000003</v>
      </c>
    </row>
    <row r="114" spans="1:4" x14ac:dyDescent="0.25">
      <c r="A114">
        <f t="shared" si="1"/>
        <v>2033</v>
      </c>
      <c r="B114" t="s">
        <v>130</v>
      </c>
      <c r="C114">
        <v>3</v>
      </c>
      <c r="D114">
        <v>7.8840000000000003</v>
      </c>
    </row>
    <row r="115" spans="1:4" x14ac:dyDescent="0.25">
      <c r="A115">
        <f t="shared" si="1"/>
        <v>2033</v>
      </c>
      <c r="B115" t="s">
        <v>130</v>
      </c>
      <c r="C115">
        <v>4</v>
      </c>
      <c r="D115">
        <v>7.8840000000000003</v>
      </c>
    </row>
    <row r="116" spans="1:4" x14ac:dyDescent="0.25">
      <c r="A116">
        <f t="shared" si="1"/>
        <v>2033</v>
      </c>
      <c r="B116" t="s">
        <v>130</v>
      </c>
      <c r="C116">
        <v>5</v>
      </c>
      <c r="D116">
        <v>7.8840000000000003</v>
      </c>
    </row>
    <row r="117" spans="1:4" x14ac:dyDescent="0.25">
      <c r="A117">
        <f t="shared" si="1"/>
        <v>2033</v>
      </c>
      <c r="B117" t="s">
        <v>130</v>
      </c>
      <c r="C117">
        <v>6</v>
      </c>
      <c r="D117">
        <v>7.8840000000000003</v>
      </c>
    </row>
    <row r="118" spans="1:4" x14ac:dyDescent="0.25">
      <c r="A118">
        <f t="shared" si="1"/>
        <v>2033</v>
      </c>
      <c r="B118" t="s">
        <v>130</v>
      </c>
      <c r="C118">
        <v>7</v>
      </c>
      <c r="D118">
        <v>7.8840000000000003</v>
      </c>
    </row>
    <row r="119" spans="1:4" x14ac:dyDescent="0.25">
      <c r="A119">
        <f t="shared" si="1"/>
        <v>2033</v>
      </c>
      <c r="B119" t="s">
        <v>130</v>
      </c>
      <c r="C119">
        <v>8</v>
      </c>
      <c r="D119">
        <v>5.7439999999999998</v>
      </c>
    </row>
    <row r="120" spans="1:4" x14ac:dyDescent="0.25">
      <c r="A120">
        <f t="shared" si="1"/>
        <v>2033</v>
      </c>
      <c r="B120" t="s">
        <v>130</v>
      </c>
      <c r="C120">
        <v>9</v>
      </c>
      <c r="D120">
        <v>10.013999999999999</v>
      </c>
    </row>
    <row r="121" spans="1:4" x14ac:dyDescent="0.25">
      <c r="A121">
        <f t="shared" si="1"/>
        <v>2033</v>
      </c>
      <c r="B121" t="s">
        <v>130</v>
      </c>
      <c r="C121">
        <v>10</v>
      </c>
      <c r="D121">
        <v>7.8840000000000003</v>
      </c>
    </row>
    <row r="122" spans="1:4" x14ac:dyDescent="0.25">
      <c r="A122">
        <f t="shared" si="1"/>
        <v>2034</v>
      </c>
      <c r="B122" t="s">
        <v>131</v>
      </c>
      <c r="C122">
        <v>1</v>
      </c>
      <c r="D122">
        <v>7.601</v>
      </c>
    </row>
    <row r="123" spans="1:4" x14ac:dyDescent="0.25">
      <c r="A123">
        <f t="shared" si="1"/>
        <v>2034</v>
      </c>
      <c r="B123" t="s">
        <v>131</v>
      </c>
      <c r="C123">
        <v>2</v>
      </c>
      <c r="D123">
        <v>7.601</v>
      </c>
    </row>
    <row r="124" spans="1:4" x14ac:dyDescent="0.25">
      <c r="A124">
        <f t="shared" si="1"/>
        <v>2034</v>
      </c>
      <c r="B124" t="s">
        <v>131</v>
      </c>
      <c r="C124">
        <v>3</v>
      </c>
      <c r="D124">
        <v>7.601</v>
      </c>
    </row>
    <row r="125" spans="1:4" x14ac:dyDescent="0.25">
      <c r="A125">
        <f t="shared" si="1"/>
        <v>2034</v>
      </c>
      <c r="B125" t="s">
        <v>131</v>
      </c>
      <c r="C125">
        <v>4</v>
      </c>
      <c r="D125">
        <v>7.601</v>
      </c>
    </row>
    <row r="126" spans="1:4" x14ac:dyDescent="0.25">
      <c r="A126">
        <f t="shared" si="1"/>
        <v>2034</v>
      </c>
      <c r="B126" t="s">
        <v>131</v>
      </c>
      <c r="C126">
        <v>5</v>
      </c>
      <c r="D126">
        <v>7.601</v>
      </c>
    </row>
    <row r="127" spans="1:4" x14ac:dyDescent="0.25">
      <c r="A127">
        <f t="shared" si="1"/>
        <v>2034</v>
      </c>
      <c r="B127" t="s">
        <v>131</v>
      </c>
      <c r="C127">
        <v>6</v>
      </c>
      <c r="D127">
        <v>7.601</v>
      </c>
    </row>
    <row r="128" spans="1:4" x14ac:dyDescent="0.25">
      <c r="A128">
        <f t="shared" si="1"/>
        <v>2034</v>
      </c>
      <c r="B128" t="s">
        <v>131</v>
      </c>
      <c r="C128">
        <v>7</v>
      </c>
      <c r="D128">
        <v>7.601</v>
      </c>
    </row>
    <row r="129" spans="1:4" x14ac:dyDescent="0.25">
      <c r="A129">
        <f t="shared" si="1"/>
        <v>2034</v>
      </c>
      <c r="B129" t="s">
        <v>131</v>
      </c>
      <c r="C129">
        <v>8</v>
      </c>
      <c r="D129">
        <v>5.5309999999999997</v>
      </c>
    </row>
    <row r="130" spans="1:4" x14ac:dyDescent="0.25">
      <c r="A130">
        <f t="shared" si="1"/>
        <v>2034</v>
      </c>
      <c r="B130" t="s">
        <v>131</v>
      </c>
      <c r="C130">
        <v>9</v>
      </c>
      <c r="D130">
        <v>9.6709999999999994</v>
      </c>
    </row>
    <row r="131" spans="1:4" x14ac:dyDescent="0.25">
      <c r="A131">
        <f t="shared" ref="A131:A194" si="2">VALUE(RIGHT(B131,4))</f>
        <v>2034</v>
      </c>
      <c r="B131" t="s">
        <v>131</v>
      </c>
      <c r="C131">
        <v>10</v>
      </c>
      <c r="D131">
        <v>7.601</v>
      </c>
    </row>
    <row r="132" spans="1:4" x14ac:dyDescent="0.25">
      <c r="A132">
        <f t="shared" si="2"/>
        <v>2035</v>
      </c>
      <c r="B132" t="s">
        <v>132</v>
      </c>
      <c r="C132">
        <v>1</v>
      </c>
      <c r="D132">
        <v>7.3079999999999998</v>
      </c>
    </row>
    <row r="133" spans="1:4" x14ac:dyDescent="0.25">
      <c r="A133">
        <f t="shared" si="2"/>
        <v>2035</v>
      </c>
      <c r="B133" t="s">
        <v>132</v>
      </c>
      <c r="C133">
        <v>2</v>
      </c>
      <c r="D133">
        <v>7.3079999999999998</v>
      </c>
    </row>
    <row r="134" spans="1:4" x14ac:dyDescent="0.25">
      <c r="A134">
        <f t="shared" si="2"/>
        <v>2035</v>
      </c>
      <c r="B134" t="s">
        <v>132</v>
      </c>
      <c r="C134">
        <v>3</v>
      </c>
      <c r="D134">
        <v>7.3079999999999998</v>
      </c>
    </row>
    <row r="135" spans="1:4" x14ac:dyDescent="0.25">
      <c r="A135">
        <f t="shared" si="2"/>
        <v>2035</v>
      </c>
      <c r="B135" t="s">
        <v>132</v>
      </c>
      <c r="C135">
        <v>4</v>
      </c>
      <c r="D135">
        <v>7.3079999999999998</v>
      </c>
    </row>
    <row r="136" spans="1:4" x14ac:dyDescent="0.25">
      <c r="A136">
        <f t="shared" si="2"/>
        <v>2035</v>
      </c>
      <c r="B136" t="s">
        <v>132</v>
      </c>
      <c r="C136">
        <v>5</v>
      </c>
      <c r="D136">
        <v>7.3079999999999998</v>
      </c>
    </row>
    <row r="137" spans="1:4" x14ac:dyDescent="0.25">
      <c r="A137">
        <f t="shared" si="2"/>
        <v>2035</v>
      </c>
      <c r="B137" t="s">
        <v>132</v>
      </c>
      <c r="C137">
        <v>6</v>
      </c>
      <c r="D137">
        <v>7.3079999999999998</v>
      </c>
    </row>
    <row r="138" spans="1:4" x14ac:dyDescent="0.25">
      <c r="A138">
        <f t="shared" si="2"/>
        <v>2035</v>
      </c>
      <c r="B138" t="s">
        <v>132</v>
      </c>
      <c r="C138">
        <v>7</v>
      </c>
      <c r="D138">
        <v>7.3079999999999998</v>
      </c>
    </row>
    <row r="139" spans="1:4" x14ac:dyDescent="0.25">
      <c r="A139">
        <f t="shared" si="2"/>
        <v>2035</v>
      </c>
      <c r="B139" t="s">
        <v>132</v>
      </c>
      <c r="C139">
        <v>8</v>
      </c>
      <c r="D139">
        <v>5.298</v>
      </c>
    </row>
    <row r="140" spans="1:4" x14ac:dyDescent="0.25">
      <c r="A140">
        <f t="shared" si="2"/>
        <v>2035</v>
      </c>
      <c r="B140" t="s">
        <v>132</v>
      </c>
      <c r="C140">
        <v>9</v>
      </c>
      <c r="D140">
        <v>9.3079999999999998</v>
      </c>
    </row>
    <row r="141" spans="1:4" x14ac:dyDescent="0.25">
      <c r="A141">
        <f t="shared" si="2"/>
        <v>2035</v>
      </c>
      <c r="B141" t="s">
        <v>132</v>
      </c>
      <c r="C141">
        <v>10</v>
      </c>
      <c r="D141">
        <v>7.3079999999999998</v>
      </c>
    </row>
    <row r="142" spans="1:4" x14ac:dyDescent="0.25">
      <c r="A142">
        <f t="shared" si="2"/>
        <v>2036</v>
      </c>
      <c r="B142" t="s">
        <v>133</v>
      </c>
      <c r="C142">
        <v>1</v>
      </c>
      <c r="D142">
        <v>6.9580000000000002</v>
      </c>
    </row>
    <row r="143" spans="1:4" x14ac:dyDescent="0.25">
      <c r="A143">
        <f t="shared" si="2"/>
        <v>2036</v>
      </c>
      <c r="B143" t="s">
        <v>133</v>
      </c>
      <c r="C143">
        <v>2</v>
      </c>
      <c r="D143">
        <v>6.9580000000000002</v>
      </c>
    </row>
    <row r="144" spans="1:4" x14ac:dyDescent="0.25">
      <c r="A144">
        <f t="shared" si="2"/>
        <v>2036</v>
      </c>
      <c r="B144" t="s">
        <v>133</v>
      </c>
      <c r="C144">
        <v>3</v>
      </c>
      <c r="D144">
        <v>6.9580000000000002</v>
      </c>
    </row>
    <row r="145" spans="1:4" x14ac:dyDescent="0.25">
      <c r="A145">
        <f t="shared" si="2"/>
        <v>2036</v>
      </c>
      <c r="B145" t="s">
        <v>133</v>
      </c>
      <c r="C145">
        <v>4</v>
      </c>
      <c r="D145">
        <v>6.9580000000000002</v>
      </c>
    </row>
    <row r="146" spans="1:4" x14ac:dyDescent="0.25">
      <c r="A146">
        <f t="shared" si="2"/>
        <v>2036</v>
      </c>
      <c r="B146" t="s">
        <v>133</v>
      </c>
      <c r="C146">
        <v>5</v>
      </c>
      <c r="D146">
        <v>6.9580000000000002</v>
      </c>
    </row>
    <row r="147" spans="1:4" x14ac:dyDescent="0.25">
      <c r="A147">
        <f t="shared" si="2"/>
        <v>2036</v>
      </c>
      <c r="B147" t="s">
        <v>133</v>
      </c>
      <c r="C147">
        <v>6</v>
      </c>
      <c r="D147">
        <v>6.9580000000000002</v>
      </c>
    </row>
    <row r="148" spans="1:4" x14ac:dyDescent="0.25">
      <c r="A148">
        <f t="shared" si="2"/>
        <v>2036</v>
      </c>
      <c r="B148" t="s">
        <v>133</v>
      </c>
      <c r="C148">
        <v>7</v>
      </c>
      <c r="D148">
        <v>6.9580000000000002</v>
      </c>
    </row>
    <row r="149" spans="1:4" x14ac:dyDescent="0.25">
      <c r="A149">
        <f t="shared" si="2"/>
        <v>2036</v>
      </c>
      <c r="B149" t="s">
        <v>133</v>
      </c>
      <c r="C149">
        <v>8</v>
      </c>
      <c r="D149">
        <v>5.0179999999999998</v>
      </c>
    </row>
    <row r="150" spans="1:4" x14ac:dyDescent="0.25">
      <c r="A150">
        <f t="shared" si="2"/>
        <v>2036</v>
      </c>
      <c r="B150" t="s">
        <v>133</v>
      </c>
      <c r="C150">
        <v>9</v>
      </c>
      <c r="D150">
        <v>8.8979999999999997</v>
      </c>
    </row>
    <row r="151" spans="1:4" x14ac:dyDescent="0.25">
      <c r="A151">
        <f t="shared" si="2"/>
        <v>2036</v>
      </c>
      <c r="B151" t="s">
        <v>133</v>
      </c>
      <c r="C151">
        <v>10</v>
      </c>
      <c r="D151">
        <v>6.9580000000000002</v>
      </c>
    </row>
    <row r="152" spans="1:4" x14ac:dyDescent="0.25">
      <c r="A152">
        <f t="shared" si="2"/>
        <v>2037</v>
      </c>
      <c r="B152" t="s">
        <v>134</v>
      </c>
      <c r="C152">
        <v>1</v>
      </c>
      <c r="D152">
        <v>6.6319999999999997</v>
      </c>
    </row>
    <row r="153" spans="1:4" x14ac:dyDescent="0.25">
      <c r="A153">
        <f t="shared" si="2"/>
        <v>2037</v>
      </c>
      <c r="B153" t="s">
        <v>134</v>
      </c>
      <c r="C153">
        <v>2</v>
      </c>
      <c r="D153">
        <v>6.6319999999999997</v>
      </c>
    </row>
    <row r="154" spans="1:4" x14ac:dyDescent="0.25">
      <c r="A154">
        <f t="shared" si="2"/>
        <v>2037</v>
      </c>
      <c r="B154" t="s">
        <v>134</v>
      </c>
      <c r="C154">
        <v>3</v>
      </c>
      <c r="D154">
        <v>6.6319999999999997</v>
      </c>
    </row>
    <row r="155" spans="1:4" x14ac:dyDescent="0.25">
      <c r="A155">
        <f t="shared" si="2"/>
        <v>2037</v>
      </c>
      <c r="B155" t="s">
        <v>134</v>
      </c>
      <c r="C155">
        <v>4</v>
      </c>
      <c r="D155">
        <v>6.6319999999999997</v>
      </c>
    </row>
    <row r="156" spans="1:4" x14ac:dyDescent="0.25">
      <c r="A156">
        <f t="shared" si="2"/>
        <v>2037</v>
      </c>
      <c r="B156" t="s">
        <v>134</v>
      </c>
      <c r="C156">
        <v>5</v>
      </c>
      <c r="D156">
        <v>6.6319999999999997</v>
      </c>
    </row>
    <row r="157" spans="1:4" x14ac:dyDescent="0.25">
      <c r="A157">
        <f t="shared" si="2"/>
        <v>2037</v>
      </c>
      <c r="B157" t="s">
        <v>134</v>
      </c>
      <c r="C157">
        <v>6</v>
      </c>
      <c r="D157">
        <v>6.6319999999999997</v>
      </c>
    </row>
    <row r="158" spans="1:4" x14ac:dyDescent="0.25">
      <c r="A158">
        <f t="shared" si="2"/>
        <v>2037</v>
      </c>
      <c r="B158" t="s">
        <v>134</v>
      </c>
      <c r="C158">
        <v>7</v>
      </c>
      <c r="D158">
        <v>6.6319999999999997</v>
      </c>
    </row>
    <row r="159" spans="1:4" x14ac:dyDescent="0.25">
      <c r="A159">
        <f t="shared" si="2"/>
        <v>2037</v>
      </c>
      <c r="B159" t="s">
        <v>134</v>
      </c>
      <c r="C159">
        <v>8</v>
      </c>
      <c r="D159">
        <v>4.7519999999999998</v>
      </c>
    </row>
    <row r="160" spans="1:4" x14ac:dyDescent="0.25">
      <c r="A160">
        <f t="shared" si="2"/>
        <v>2037</v>
      </c>
      <c r="B160" t="s">
        <v>134</v>
      </c>
      <c r="C160">
        <v>9</v>
      </c>
      <c r="D160">
        <v>8.5120000000000005</v>
      </c>
    </row>
    <row r="161" spans="1:4" x14ac:dyDescent="0.25">
      <c r="A161">
        <f t="shared" si="2"/>
        <v>2037</v>
      </c>
      <c r="B161" t="s">
        <v>134</v>
      </c>
      <c r="C161">
        <v>10</v>
      </c>
      <c r="D161">
        <v>6.6319999999999997</v>
      </c>
    </row>
    <row r="162" spans="1:4" x14ac:dyDescent="0.25">
      <c r="A162">
        <f t="shared" si="2"/>
        <v>2038</v>
      </c>
      <c r="B162" t="s">
        <v>135</v>
      </c>
      <c r="C162">
        <v>1</v>
      </c>
      <c r="D162">
        <v>6.3150000000000004</v>
      </c>
    </row>
    <row r="163" spans="1:4" x14ac:dyDescent="0.25">
      <c r="A163">
        <f t="shared" si="2"/>
        <v>2038</v>
      </c>
      <c r="B163" t="s">
        <v>135</v>
      </c>
      <c r="C163">
        <v>2</v>
      </c>
      <c r="D163">
        <v>6.3150000000000004</v>
      </c>
    </row>
    <row r="164" spans="1:4" x14ac:dyDescent="0.25">
      <c r="A164">
        <f t="shared" si="2"/>
        <v>2038</v>
      </c>
      <c r="B164" t="s">
        <v>135</v>
      </c>
      <c r="C164">
        <v>3</v>
      </c>
      <c r="D164">
        <v>6.3150000000000004</v>
      </c>
    </row>
    <row r="165" spans="1:4" x14ac:dyDescent="0.25">
      <c r="A165">
        <f t="shared" si="2"/>
        <v>2038</v>
      </c>
      <c r="B165" t="s">
        <v>135</v>
      </c>
      <c r="C165">
        <v>4</v>
      </c>
      <c r="D165">
        <v>6.3150000000000004</v>
      </c>
    </row>
    <row r="166" spans="1:4" x14ac:dyDescent="0.25">
      <c r="A166">
        <f t="shared" si="2"/>
        <v>2038</v>
      </c>
      <c r="B166" t="s">
        <v>135</v>
      </c>
      <c r="C166">
        <v>5</v>
      </c>
      <c r="D166">
        <v>6.3150000000000004</v>
      </c>
    </row>
    <row r="167" spans="1:4" x14ac:dyDescent="0.25">
      <c r="A167">
        <f t="shared" si="2"/>
        <v>2038</v>
      </c>
      <c r="B167" t="s">
        <v>135</v>
      </c>
      <c r="C167">
        <v>6</v>
      </c>
      <c r="D167">
        <v>6.3150000000000004</v>
      </c>
    </row>
    <row r="168" spans="1:4" x14ac:dyDescent="0.25">
      <c r="A168">
        <f t="shared" si="2"/>
        <v>2038</v>
      </c>
      <c r="B168" t="s">
        <v>135</v>
      </c>
      <c r="C168">
        <v>7</v>
      </c>
      <c r="D168">
        <v>6.3150000000000004</v>
      </c>
    </row>
    <row r="169" spans="1:4" x14ac:dyDescent="0.25">
      <c r="A169">
        <f t="shared" si="2"/>
        <v>2038</v>
      </c>
      <c r="B169" t="s">
        <v>135</v>
      </c>
      <c r="C169">
        <v>8</v>
      </c>
      <c r="D169">
        <v>4.4950000000000001</v>
      </c>
    </row>
    <row r="170" spans="1:4" x14ac:dyDescent="0.25">
      <c r="A170">
        <f t="shared" si="2"/>
        <v>2038</v>
      </c>
      <c r="B170" t="s">
        <v>135</v>
      </c>
      <c r="C170">
        <v>9</v>
      </c>
      <c r="D170">
        <v>8.125</v>
      </c>
    </row>
    <row r="171" spans="1:4" x14ac:dyDescent="0.25">
      <c r="A171">
        <f t="shared" si="2"/>
        <v>2038</v>
      </c>
      <c r="B171" t="s">
        <v>135</v>
      </c>
      <c r="C171">
        <v>10</v>
      </c>
      <c r="D171">
        <v>6.3150000000000004</v>
      </c>
    </row>
    <row r="172" spans="1:4" x14ac:dyDescent="0.25">
      <c r="A172">
        <f t="shared" si="2"/>
        <v>2039</v>
      </c>
      <c r="B172" t="s">
        <v>136</v>
      </c>
      <c r="C172">
        <v>1</v>
      </c>
      <c r="D172">
        <v>5.9610000000000003</v>
      </c>
    </row>
    <row r="173" spans="1:4" x14ac:dyDescent="0.25">
      <c r="A173">
        <f t="shared" si="2"/>
        <v>2039</v>
      </c>
      <c r="B173" t="s">
        <v>136</v>
      </c>
      <c r="C173">
        <v>2</v>
      </c>
      <c r="D173">
        <v>5.9610000000000003</v>
      </c>
    </row>
    <row r="174" spans="1:4" x14ac:dyDescent="0.25">
      <c r="A174">
        <f t="shared" si="2"/>
        <v>2039</v>
      </c>
      <c r="B174" t="s">
        <v>136</v>
      </c>
      <c r="C174">
        <v>3</v>
      </c>
      <c r="D174">
        <v>5.9610000000000003</v>
      </c>
    </row>
    <row r="175" spans="1:4" x14ac:dyDescent="0.25">
      <c r="A175">
        <f t="shared" si="2"/>
        <v>2039</v>
      </c>
      <c r="B175" t="s">
        <v>136</v>
      </c>
      <c r="C175">
        <v>4</v>
      </c>
      <c r="D175">
        <v>5.9610000000000003</v>
      </c>
    </row>
    <row r="176" spans="1:4" x14ac:dyDescent="0.25">
      <c r="A176">
        <f t="shared" si="2"/>
        <v>2039</v>
      </c>
      <c r="B176" t="s">
        <v>136</v>
      </c>
      <c r="C176">
        <v>5</v>
      </c>
      <c r="D176">
        <v>5.9610000000000003</v>
      </c>
    </row>
    <row r="177" spans="1:4" x14ac:dyDescent="0.25">
      <c r="A177">
        <f t="shared" si="2"/>
        <v>2039</v>
      </c>
      <c r="B177" t="s">
        <v>136</v>
      </c>
      <c r="C177">
        <v>6</v>
      </c>
      <c r="D177">
        <v>5.9610000000000003</v>
      </c>
    </row>
    <row r="178" spans="1:4" x14ac:dyDescent="0.25">
      <c r="A178">
        <f t="shared" si="2"/>
        <v>2039</v>
      </c>
      <c r="B178" t="s">
        <v>136</v>
      </c>
      <c r="C178">
        <v>7</v>
      </c>
      <c r="D178">
        <v>5.9610000000000003</v>
      </c>
    </row>
    <row r="179" spans="1:4" x14ac:dyDescent="0.25">
      <c r="A179">
        <f t="shared" si="2"/>
        <v>2039</v>
      </c>
      <c r="B179" t="s">
        <v>136</v>
      </c>
      <c r="C179">
        <v>8</v>
      </c>
      <c r="D179">
        <v>4.2210000000000001</v>
      </c>
    </row>
    <row r="180" spans="1:4" x14ac:dyDescent="0.25">
      <c r="A180">
        <f t="shared" si="2"/>
        <v>2039</v>
      </c>
      <c r="B180" t="s">
        <v>136</v>
      </c>
      <c r="C180">
        <v>9</v>
      </c>
      <c r="D180">
        <v>7.7110000000000003</v>
      </c>
    </row>
    <row r="181" spans="1:4" x14ac:dyDescent="0.25">
      <c r="A181">
        <f t="shared" si="2"/>
        <v>2039</v>
      </c>
      <c r="B181" t="s">
        <v>136</v>
      </c>
      <c r="C181">
        <v>10</v>
      </c>
      <c r="D181">
        <v>5.9610000000000003</v>
      </c>
    </row>
    <row r="182" spans="1:4" x14ac:dyDescent="0.25">
      <c r="A182">
        <f t="shared" si="2"/>
        <v>2040</v>
      </c>
      <c r="B182" t="s">
        <v>137</v>
      </c>
      <c r="C182">
        <v>1</v>
      </c>
      <c r="D182">
        <v>5.5010000000000003</v>
      </c>
    </row>
    <row r="183" spans="1:4" x14ac:dyDescent="0.25">
      <c r="A183">
        <f t="shared" si="2"/>
        <v>2040</v>
      </c>
      <c r="B183" t="s">
        <v>137</v>
      </c>
      <c r="C183">
        <v>2</v>
      </c>
      <c r="D183">
        <v>5.5010000000000003</v>
      </c>
    </row>
    <row r="184" spans="1:4" x14ac:dyDescent="0.25">
      <c r="A184">
        <f t="shared" si="2"/>
        <v>2040</v>
      </c>
      <c r="B184" t="s">
        <v>137</v>
      </c>
      <c r="C184">
        <v>3</v>
      </c>
      <c r="D184">
        <v>5.5010000000000003</v>
      </c>
    </row>
    <row r="185" spans="1:4" x14ac:dyDescent="0.25">
      <c r="A185">
        <f t="shared" si="2"/>
        <v>2040</v>
      </c>
      <c r="B185" t="s">
        <v>137</v>
      </c>
      <c r="C185">
        <v>4</v>
      </c>
      <c r="D185">
        <v>5.5010000000000003</v>
      </c>
    </row>
    <row r="186" spans="1:4" x14ac:dyDescent="0.25">
      <c r="A186">
        <f t="shared" si="2"/>
        <v>2040</v>
      </c>
      <c r="B186" t="s">
        <v>137</v>
      </c>
      <c r="C186">
        <v>5</v>
      </c>
      <c r="D186">
        <v>5.5010000000000003</v>
      </c>
    </row>
    <row r="187" spans="1:4" x14ac:dyDescent="0.25">
      <c r="A187">
        <f t="shared" si="2"/>
        <v>2040</v>
      </c>
      <c r="B187" t="s">
        <v>137</v>
      </c>
      <c r="C187">
        <v>6</v>
      </c>
      <c r="D187">
        <v>5.5010000000000003</v>
      </c>
    </row>
    <row r="188" spans="1:4" x14ac:dyDescent="0.25">
      <c r="A188">
        <f t="shared" si="2"/>
        <v>2040</v>
      </c>
      <c r="B188" t="s">
        <v>137</v>
      </c>
      <c r="C188">
        <v>7</v>
      </c>
      <c r="D188">
        <v>5.5010000000000003</v>
      </c>
    </row>
    <row r="189" spans="1:4" x14ac:dyDescent="0.25">
      <c r="A189">
        <f t="shared" si="2"/>
        <v>2040</v>
      </c>
      <c r="B189" t="s">
        <v>137</v>
      </c>
      <c r="C189">
        <v>8</v>
      </c>
      <c r="D189">
        <v>3.8210000000000002</v>
      </c>
    </row>
    <row r="190" spans="1:4" x14ac:dyDescent="0.25">
      <c r="A190">
        <f t="shared" si="2"/>
        <v>2040</v>
      </c>
      <c r="B190" t="s">
        <v>137</v>
      </c>
      <c r="C190">
        <v>9</v>
      </c>
      <c r="D190">
        <v>7.181</v>
      </c>
    </row>
    <row r="191" spans="1:4" x14ac:dyDescent="0.25">
      <c r="A191">
        <f t="shared" si="2"/>
        <v>2040</v>
      </c>
      <c r="B191" t="s">
        <v>137</v>
      </c>
      <c r="C191">
        <v>10</v>
      </c>
      <c r="D191">
        <v>5.5010000000000003</v>
      </c>
    </row>
    <row r="192" spans="1:4" x14ac:dyDescent="0.25">
      <c r="A192">
        <f t="shared" si="2"/>
        <v>2041</v>
      </c>
      <c r="B192" t="s">
        <v>138</v>
      </c>
      <c r="C192">
        <v>1</v>
      </c>
      <c r="D192">
        <v>5.1210000000000004</v>
      </c>
    </row>
    <row r="193" spans="1:4" x14ac:dyDescent="0.25">
      <c r="A193">
        <f t="shared" si="2"/>
        <v>2041</v>
      </c>
      <c r="B193" t="s">
        <v>138</v>
      </c>
      <c r="C193">
        <v>2</v>
      </c>
      <c r="D193">
        <v>5.1210000000000004</v>
      </c>
    </row>
    <row r="194" spans="1:4" x14ac:dyDescent="0.25">
      <c r="A194">
        <f t="shared" si="2"/>
        <v>2041</v>
      </c>
      <c r="B194" t="s">
        <v>138</v>
      </c>
      <c r="C194">
        <v>3</v>
      </c>
      <c r="D194">
        <v>5.1210000000000004</v>
      </c>
    </row>
    <row r="195" spans="1:4" x14ac:dyDescent="0.25">
      <c r="A195">
        <f t="shared" ref="A195:A258" si="3">VALUE(RIGHT(B195,4))</f>
        <v>2041</v>
      </c>
      <c r="B195" t="s">
        <v>138</v>
      </c>
      <c r="C195">
        <v>4</v>
      </c>
      <c r="D195">
        <v>5.1210000000000004</v>
      </c>
    </row>
    <row r="196" spans="1:4" x14ac:dyDescent="0.25">
      <c r="A196">
        <f t="shared" si="3"/>
        <v>2041</v>
      </c>
      <c r="B196" t="s">
        <v>138</v>
      </c>
      <c r="C196">
        <v>5</v>
      </c>
      <c r="D196">
        <v>5.1210000000000004</v>
      </c>
    </row>
    <row r="197" spans="1:4" x14ac:dyDescent="0.25">
      <c r="A197">
        <f t="shared" si="3"/>
        <v>2041</v>
      </c>
      <c r="B197" t="s">
        <v>138</v>
      </c>
      <c r="C197">
        <v>6</v>
      </c>
      <c r="D197">
        <v>5.1210000000000004</v>
      </c>
    </row>
    <row r="198" spans="1:4" x14ac:dyDescent="0.25">
      <c r="A198">
        <f t="shared" si="3"/>
        <v>2041</v>
      </c>
      <c r="B198" t="s">
        <v>138</v>
      </c>
      <c r="C198">
        <v>7</v>
      </c>
      <c r="D198">
        <v>5.1210000000000004</v>
      </c>
    </row>
    <row r="199" spans="1:4" x14ac:dyDescent="0.25">
      <c r="A199">
        <f t="shared" si="3"/>
        <v>2041</v>
      </c>
      <c r="B199" t="s">
        <v>138</v>
      </c>
      <c r="C199">
        <v>8</v>
      </c>
      <c r="D199">
        <v>3.5110000000000001</v>
      </c>
    </row>
    <row r="200" spans="1:4" x14ac:dyDescent="0.25">
      <c r="A200">
        <f t="shared" si="3"/>
        <v>2041</v>
      </c>
      <c r="B200" t="s">
        <v>138</v>
      </c>
      <c r="C200">
        <v>9</v>
      </c>
      <c r="D200">
        <v>6.7409999999999997</v>
      </c>
    </row>
    <row r="201" spans="1:4" x14ac:dyDescent="0.25">
      <c r="A201">
        <f t="shared" si="3"/>
        <v>2041</v>
      </c>
      <c r="B201" t="s">
        <v>138</v>
      </c>
      <c r="C201">
        <v>10</v>
      </c>
      <c r="D201">
        <v>5.1210000000000004</v>
      </c>
    </row>
    <row r="202" spans="1:4" x14ac:dyDescent="0.25">
      <c r="A202">
        <f t="shared" si="3"/>
        <v>2042</v>
      </c>
      <c r="B202" t="s">
        <v>139</v>
      </c>
      <c r="C202">
        <v>1</v>
      </c>
      <c r="D202">
        <v>4.7750000000000004</v>
      </c>
    </row>
    <row r="203" spans="1:4" x14ac:dyDescent="0.25">
      <c r="A203">
        <f t="shared" si="3"/>
        <v>2042</v>
      </c>
      <c r="B203" t="s">
        <v>139</v>
      </c>
      <c r="C203">
        <v>2</v>
      </c>
      <c r="D203">
        <v>4.7750000000000004</v>
      </c>
    </row>
    <row r="204" spans="1:4" x14ac:dyDescent="0.25">
      <c r="A204">
        <f t="shared" si="3"/>
        <v>2042</v>
      </c>
      <c r="B204" t="s">
        <v>139</v>
      </c>
      <c r="C204">
        <v>3</v>
      </c>
      <c r="D204">
        <v>4.7750000000000004</v>
      </c>
    </row>
    <row r="205" spans="1:4" x14ac:dyDescent="0.25">
      <c r="A205">
        <f t="shared" si="3"/>
        <v>2042</v>
      </c>
      <c r="B205" t="s">
        <v>139</v>
      </c>
      <c r="C205">
        <v>4</v>
      </c>
      <c r="D205">
        <v>4.7750000000000004</v>
      </c>
    </row>
    <row r="206" spans="1:4" x14ac:dyDescent="0.25">
      <c r="A206">
        <f t="shared" si="3"/>
        <v>2042</v>
      </c>
      <c r="B206" t="s">
        <v>139</v>
      </c>
      <c r="C206">
        <v>5</v>
      </c>
      <c r="D206">
        <v>4.7750000000000004</v>
      </c>
    </row>
    <row r="207" spans="1:4" x14ac:dyDescent="0.25">
      <c r="A207">
        <f t="shared" si="3"/>
        <v>2042</v>
      </c>
      <c r="B207" t="s">
        <v>139</v>
      </c>
      <c r="C207">
        <v>6</v>
      </c>
      <c r="D207">
        <v>4.7750000000000004</v>
      </c>
    </row>
    <row r="208" spans="1:4" x14ac:dyDescent="0.25">
      <c r="A208">
        <f t="shared" si="3"/>
        <v>2042</v>
      </c>
      <c r="B208" t="s">
        <v>139</v>
      </c>
      <c r="C208">
        <v>7</v>
      </c>
      <c r="D208">
        <v>4.7750000000000004</v>
      </c>
    </row>
    <row r="209" spans="1:4" x14ac:dyDescent="0.25">
      <c r="A209">
        <f t="shared" si="3"/>
        <v>2042</v>
      </c>
      <c r="B209" t="s">
        <v>139</v>
      </c>
      <c r="C209">
        <v>8</v>
      </c>
      <c r="D209">
        <v>3.2250000000000001</v>
      </c>
    </row>
    <row r="210" spans="1:4" x14ac:dyDescent="0.25">
      <c r="A210">
        <f t="shared" si="3"/>
        <v>2042</v>
      </c>
      <c r="B210" t="s">
        <v>139</v>
      </c>
      <c r="C210">
        <v>9</v>
      </c>
      <c r="D210">
        <v>6.3250000000000002</v>
      </c>
    </row>
    <row r="211" spans="1:4" x14ac:dyDescent="0.25">
      <c r="A211">
        <f t="shared" si="3"/>
        <v>2042</v>
      </c>
      <c r="B211" t="s">
        <v>139</v>
      </c>
      <c r="C211">
        <v>10</v>
      </c>
      <c r="D211">
        <v>4.7750000000000004</v>
      </c>
    </row>
    <row r="212" spans="1:4" x14ac:dyDescent="0.25">
      <c r="A212">
        <f t="shared" si="3"/>
        <v>2043</v>
      </c>
      <c r="B212" t="s">
        <v>140</v>
      </c>
      <c r="C212">
        <v>1</v>
      </c>
      <c r="D212">
        <v>4.34</v>
      </c>
    </row>
    <row r="213" spans="1:4" x14ac:dyDescent="0.25">
      <c r="A213">
        <f t="shared" si="3"/>
        <v>2043</v>
      </c>
      <c r="B213" t="s">
        <v>140</v>
      </c>
      <c r="C213">
        <v>2</v>
      </c>
      <c r="D213">
        <v>4.34</v>
      </c>
    </row>
    <row r="214" spans="1:4" x14ac:dyDescent="0.25">
      <c r="A214">
        <f t="shared" si="3"/>
        <v>2043</v>
      </c>
      <c r="B214" t="s">
        <v>140</v>
      </c>
      <c r="C214">
        <v>3</v>
      </c>
      <c r="D214">
        <v>4.34</v>
      </c>
    </row>
    <row r="215" spans="1:4" x14ac:dyDescent="0.25">
      <c r="A215">
        <f t="shared" si="3"/>
        <v>2043</v>
      </c>
      <c r="B215" t="s">
        <v>140</v>
      </c>
      <c r="C215">
        <v>4</v>
      </c>
      <c r="D215">
        <v>4.34</v>
      </c>
    </row>
    <row r="216" spans="1:4" x14ac:dyDescent="0.25">
      <c r="A216">
        <f t="shared" si="3"/>
        <v>2043</v>
      </c>
      <c r="B216" t="s">
        <v>140</v>
      </c>
      <c r="C216">
        <v>5</v>
      </c>
      <c r="D216">
        <v>4.34</v>
      </c>
    </row>
    <row r="217" spans="1:4" x14ac:dyDescent="0.25">
      <c r="A217">
        <f t="shared" si="3"/>
        <v>2043</v>
      </c>
      <c r="B217" t="s">
        <v>140</v>
      </c>
      <c r="C217">
        <v>6</v>
      </c>
      <c r="D217">
        <v>4.34</v>
      </c>
    </row>
    <row r="218" spans="1:4" x14ac:dyDescent="0.25">
      <c r="A218">
        <f t="shared" si="3"/>
        <v>2043</v>
      </c>
      <c r="B218" t="s">
        <v>140</v>
      </c>
      <c r="C218">
        <v>7</v>
      </c>
      <c r="D218">
        <v>4.34</v>
      </c>
    </row>
    <row r="219" spans="1:4" x14ac:dyDescent="0.25">
      <c r="A219">
        <f t="shared" si="3"/>
        <v>2043</v>
      </c>
      <c r="B219" t="s">
        <v>140</v>
      </c>
      <c r="C219">
        <v>8</v>
      </c>
      <c r="D219">
        <v>2.85</v>
      </c>
    </row>
    <row r="220" spans="1:4" x14ac:dyDescent="0.25">
      <c r="A220">
        <f t="shared" si="3"/>
        <v>2043</v>
      </c>
      <c r="B220" t="s">
        <v>140</v>
      </c>
      <c r="C220">
        <v>9</v>
      </c>
      <c r="D220">
        <v>5.82</v>
      </c>
    </row>
    <row r="221" spans="1:4" x14ac:dyDescent="0.25">
      <c r="A221">
        <f t="shared" si="3"/>
        <v>2043</v>
      </c>
      <c r="B221" t="s">
        <v>140</v>
      </c>
      <c r="C221">
        <v>10</v>
      </c>
      <c r="D221">
        <v>4.34</v>
      </c>
    </row>
    <row r="222" spans="1:4" x14ac:dyDescent="0.25">
      <c r="A222">
        <f t="shared" si="3"/>
        <v>2044</v>
      </c>
      <c r="B222" t="s">
        <v>141</v>
      </c>
      <c r="C222">
        <v>1</v>
      </c>
      <c r="D222">
        <v>3.9830000000000001</v>
      </c>
    </row>
    <row r="223" spans="1:4" x14ac:dyDescent="0.25">
      <c r="A223">
        <f t="shared" si="3"/>
        <v>2044</v>
      </c>
      <c r="B223" t="s">
        <v>141</v>
      </c>
      <c r="C223">
        <v>2</v>
      </c>
      <c r="D223">
        <v>3.9830000000000001</v>
      </c>
    </row>
    <row r="224" spans="1:4" x14ac:dyDescent="0.25">
      <c r="A224">
        <f t="shared" si="3"/>
        <v>2044</v>
      </c>
      <c r="B224" t="s">
        <v>141</v>
      </c>
      <c r="C224">
        <v>3</v>
      </c>
      <c r="D224">
        <v>3.9830000000000001</v>
      </c>
    </row>
    <row r="225" spans="1:4" x14ac:dyDescent="0.25">
      <c r="A225">
        <f t="shared" si="3"/>
        <v>2044</v>
      </c>
      <c r="B225" t="s">
        <v>141</v>
      </c>
      <c r="C225">
        <v>4</v>
      </c>
      <c r="D225">
        <v>3.9830000000000001</v>
      </c>
    </row>
    <row r="226" spans="1:4" x14ac:dyDescent="0.25">
      <c r="A226">
        <f t="shared" si="3"/>
        <v>2044</v>
      </c>
      <c r="B226" t="s">
        <v>141</v>
      </c>
      <c r="C226">
        <v>5</v>
      </c>
      <c r="D226">
        <v>3.9830000000000001</v>
      </c>
    </row>
    <row r="227" spans="1:4" x14ac:dyDescent="0.25">
      <c r="A227">
        <f t="shared" si="3"/>
        <v>2044</v>
      </c>
      <c r="B227" t="s">
        <v>141</v>
      </c>
      <c r="C227">
        <v>6</v>
      </c>
      <c r="D227">
        <v>3.9830000000000001</v>
      </c>
    </row>
    <row r="228" spans="1:4" x14ac:dyDescent="0.25">
      <c r="A228">
        <f t="shared" si="3"/>
        <v>2044</v>
      </c>
      <c r="B228" t="s">
        <v>141</v>
      </c>
      <c r="C228">
        <v>7</v>
      </c>
      <c r="D228">
        <v>3.9830000000000001</v>
      </c>
    </row>
    <row r="229" spans="1:4" x14ac:dyDescent="0.25">
      <c r="A229">
        <f t="shared" si="3"/>
        <v>2044</v>
      </c>
      <c r="B229" t="s">
        <v>141</v>
      </c>
      <c r="C229">
        <v>8</v>
      </c>
      <c r="D229">
        <v>2.5630000000000002</v>
      </c>
    </row>
    <row r="230" spans="1:4" x14ac:dyDescent="0.25">
      <c r="A230">
        <f t="shared" si="3"/>
        <v>2044</v>
      </c>
      <c r="B230" t="s">
        <v>141</v>
      </c>
      <c r="C230">
        <v>9</v>
      </c>
      <c r="D230">
        <v>5.4029999999999996</v>
      </c>
    </row>
    <row r="231" spans="1:4" x14ac:dyDescent="0.25">
      <c r="A231">
        <f t="shared" si="3"/>
        <v>2044</v>
      </c>
      <c r="B231" t="s">
        <v>141</v>
      </c>
      <c r="C231">
        <v>10</v>
      </c>
      <c r="D231">
        <v>3.9830000000000001</v>
      </c>
    </row>
    <row r="232" spans="1:4" x14ac:dyDescent="0.25">
      <c r="A232">
        <f t="shared" si="3"/>
        <v>2045</v>
      </c>
      <c r="B232" t="s">
        <v>142</v>
      </c>
      <c r="C232">
        <v>1</v>
      </c>
      <c r="D232">
        <v>3.512</v>
      </c>
    </row>
    <row r="233" spans="1:4" x14ac:dyDescent="0.25">
      <c r="A233">
        <f t="shared" si="3"/>
        <v>2045</v>
      </c>
      <c r="B233" t="s">
        <v>142</v>
      </c>
      <c r="C233">
        <v>2</v>
      </c>
      <c r="D233">
        <v>3.512</v>
      </c>
    </row>
    <row r="234" spans="1:4" x14ac:dyDescent="0.25">
      <c r="A234">
        <f t="shared" si="3"/>
        <v>2045</v>
      </c>
      <c r="B234" t="s">
        <v>142</v>
      </c>
      <c r="C234">
        <v>3</v>
      </c>
      <c r="D234">
        <v>3.512</v>
      </c>
    </row>
    <row r="235" spans="1:4" x14ac:dyDescent="0.25">
      <c r="A235">
        <f t="shared" si="3"/>
        <v>2045</v>
      </c>
      <c r="B235" t="s">
        <v>142</v>
      </c>
      <c r="C235">
        <v>4</v>
      </c>
      <c r="D235">
        <v>3.512</v>
      </c>
    </row>
    <row r="236" spans="1:4" x14ac:dyDescent="0.25">
      <c r="A236">
        <f t="shared" si="3"/>
        <v>2045</v>
      </c>
      <c r="B236" t="s">
        <v>142</v>
      </c>
      <c r="C236">
        <v>5</v>
      </c>
      <c r="D236">
        <v>3.512</v>
      </c>
    </row>
    <row r="237" spans="1:4" x14ac:dyDescent="0.25">
      <c r="A237">
        <f t="shared" si="3"/>
        <v>2045</v>
      </c>
      <c r="B237" t="s">
        <v>142</v>
      </c>
      <c r="C237">
        <v>6</v>
      </c>
      <c r="D237">
        <v>3.512</v>
      </c>
    </row>
    <row r="238" spans="1:4" x14ac:dyDescent="0.25">
      <c r="A238">
        <f t="shared" si="3"/>
        <v>2045</v>
      </c>
      <c r="B238" t="s">
        <v>142</v>
      </c>
      <c r="C238">
        <v>7</v>
      </c>
      <c r="D238">
        <v>3.512</v>
      </c>
    </row>
    <row r="239" spans="1:4" x14ac:dyDescent="0.25">
      <c r="A239">
        <f t="shared" si="3"/>
        <v>2045</v>
      </c>
      <c r="B239" t="s">
        <v>142</v>
      </c>
      <c r="C239">
        <v>8</v>
      </c>
      <c r="D239">
        <v>2.1520000000000001</v>
      </c>
    </row>
    <row r="240" spans="1:4" x14ac:dyDescent="0.25">
      <c r="A240">
        <f t="shared" si="3"/>
        <v>2045</v>
      </c>
      <c r="B240" t="s">
        <v>142</v>
      </c>
      <c r="C240">
        <v>9</v>
      </c>
      <c r="D240">
        <v>4.8620000000000001</v>
      </c>
    </row>
    <row r="241" spans="1:4" x14ac:dyDescent="0.25">
      <c r="A241">
        <f t="shared" si="3"/>
        <v>2045</v>
      </c>
      <c r="B241" t="s">
        <v>142</v>
      </c>
      <c r="C241">
        <v>10</v>
      </c>
      <c r="D241">
        <v>3.512</v>
      </c>
    </row>
    <row r="242" spans="1:4" x14ac:dyDescent="0.25">
      <c r="A242">
        <f t="shared" si="3"/>
        <v>2046</v>
      </c>
      <c r="B242" t="s">
        <v>143</v>
      </c>
      <c r="C242">
        <v>1</v>
      </c>
      <c r="D242">
        <v>3.0409999999999999</v>
      </c>
    </row>
    <row r="243" spans="1:4" x14ac:dyDescent="0.25">
      <c r="A243">
        <f t="shared" si="3"/>
        <v>2046</v>
      </c>
      <c r="B243" t="s">
        <v>143</v>
      </c>
      <c r="C243">
        <v>2</v>
      </c>
      <c r="D243">
        <v>3.0409999999999999</v>
      </c>
    </row>
    <row r="244" spans="1:4" x14ac:dyDescent="0.25">
      <c r="A244">
        <f t="shared" si="3"/>
        <v>2046</v>
      </c>
      <c r="B244" t="s">
        <v>143</v>
      </c>
      <c r="C244">
        <v>3</v>
      </c>
      <c r="D244">
        <v>3.0409999999999999</v>
      </c>
    </row>
    <row r="245" spans="1:4" x14ac:dyDescent="0.25">
      <c r="A245">
        <f t="shared" si="3"/>
        <v>2046</v>
      </c>
      <c r="B245" t="s">
        <v>143</v>
      </c>
      <c r="C245">
        <v>4</v>
      </c>
      <c r="D245">
        <v>3.0409999999999999</v>
      </c>
    </row>
    <row r="246" spans="1:4" x14ac:dyDescent="0.25">
      <c r="A246">
        <f t="shared" si="3"/>
        <v>2046</v>
      </c>
      <c r="B246" t="s">
        <v>143</v>
      </c>
      <c r="C246">
        <v>5</v>
      </c>
      <c r="D246">
        <v>3.0409999999999999</v>
      </c>
    </row>
    <row r="247" spans="1:4" x14ac:dyDescent="0.25">
      <c r="A247">
        <f t="shared" si="3"/>
        <v>2046</v>
      </c>
      <c r="B247" t="s">
        <v>143</v>
      </c>
      <c r="C247">
        <v>6</v>
      </c>
      <c r="D247">
        <v>3.0409999999999999</v>
      </c>
    </row>
    <row r="248" spans="1:4" x14ac:dyDescent="0.25">
      <c r="A248">
        <f t="shared" si="3"/>
        <v>2046</v>
      </c>
      <c r="B248" t="s">
        <v>143</v>
      </c>
      <c r="C248">
        <v>7</v>
      </c>
      <c r="D248">
        <v>3.0409999999999999</v>
      </c>
    </row>
    <row r="249" spans="1:4" x14ac:dyDescent="0.25">
      <c r="A249">
        <f t="shared" si="3"/>
        <v>2046</v>
      </c>
      <c r="B249" t="s">
        <v>143</v>
      </c>
      <c r="C249">
        <v>8</v>
      </c>
      <c r="D249">
        <v>1.7509999999999999</v>
      </c>
    </row>
    <row r="250" spans="1:4" x14ac:dyDescent="0.25">
      <c r="A250">
        <f t="shared" si="3"/>
        <v>2046</v>
      </c>
      <c r="B250" t="s">
        <v>143</v>
      </c>
      <c r="C250">
        <v>9</v>
      </c>
      <c r="D250">
        <v>4.3410000000000002</v>
      </c>
    </row>
    <row r="251" spans="1:4" x14ac:dyDescent="0.25">
      <c r="A251">
        <f t="shared" si="3"/>
        <v>2046</v>
      </c>
      <c r="B251" t="s">
        <v>143</v>
      </c>
      <c r="C251">
        <v>10</v>
      </c>
      <c r="D251">
        <v>3.0409999999999999</v>
      </c>
    </row>
    <row r="252" spans="1:4" x14ac:dyDescent="0.25">
      <c r="A252">
        <f t="shared" si="3"/>
        <v>2047</v>
      </c>
      <c r="B252" t="s">
        <v>144</v>
      </c>
      <c r="C252">
        <v>1</v>
      </c>
      <c r="D252">
        <v>2.714</v>
      </c>
    </row>
    <row r="253" spans="1:4" x14ac:dyDescent="0.25">
      <c r="A253">
        <f t="shared" si="3"/>
        <v>2047</v>
      </c>
      <c r="B253" t="s">
        <v>144</v>
      </c>
      <c r="C253">
        <v>2</v>
      </c>
      <c r="D253">
        <v>2.714</v>
      </c>
    </row>
    <row r="254" spans="1:4" x14ac:dyDescent="0.25">
      <c r="A254">
        <f t="shared" si="3"/>
        <v>2047</v>
      </c>
      <c r="B254" t="s">
        <v>144</v>
      </c>
      <c r="C254">
        <v>3</v>
      </c>
      <c r="D254">
        <v>2.714</v>
      </c>
    </row>
    <row r="255" spans="1:4" x14ac:dyDescent="0.25">
      <c r="A255">
        <f t="shared" si="3"/>
        <v>2047</v>
      </c>
      <c r="B255" t="s">
        <v>144</v>
      </c>
      <c r="C255">
        <v>4</v>
      </c>
      <c r="D255">
        <v>2.714</v>
      </c>
    </row>
    <row r="256" spans="1:4" x14ac:dyDescent="0.25">
      <c r="A256">
        <f t="shared" si="3"/>
        <v>2047</v>
      </c>
      <c r="B256" t="s">
        <v>144</v>
      </c>
      <c r="C256">
        <v>5</v>
      </c>
      <c r="D256">
        <v>2.714</v>
      </c>
    </row>
    <row r="257" spans="1:4" x14ac:dyDescent="0.25">
      <c r="A257">
        <f t="shared" si="3"/>
        <v>2047</v>
      </c>
      <c r="B257" t="s">
        <v>144</v>
      </c>
      <c r="C257">
        <v>6</v>
      </c>
      <c r="D257">
        <v>2.714</v>
      </c>
    </row>
    <row r="258" spans="1:4" x14ac:dyDescent="0.25">
      <c r="A258">
        <f t="shared" si="3"/>
        <v>2047</v>
      </c>
      <c r="B258" t="s">
        <v>144</v>
      </c>
      <c r="C258">
        <v>7</v>
      </c>
      <c r="D258">
        <v>2.714</v>
      </c>
    </row>
    <row r="259" spans="1:4" x14ac:dyDescent="0.25">
      <c r="A259">
        <f t="shared" ref="A259:A301" si="4">VALUE(RIGHT(B259,4))</f>
        <v>2047</v>
      </c>
      <c r="B259" t="s">
        <v>144</v>
      </c>
      <c r="C259">
        <v>8</v>
      </c>
      <c r="D259">
        <v>1.484</v>
      </c>
    </row>
    <row r="260" spans="1:4" x14ac:dyDescent="0.25">
      <c r="A260">
        <f t="shared" si="4"/>
        <v>2047</v>
      </c>
      <c r="B260" t="s">
        <v>144</v>
      </c>
      <c r="C260">
        <v>9</v>
      </c>
      <c r="D260">
        <v>3.944</v>
      </c>
    </row>
    <row r="261" spans="1:4" x14ac:dyDescent="0.25">
      <c r="A261">
        <f t="shared" si="4"/>
        <v>2047</v>
      </c>
      <c r="B261" t="s">
        <v>144</v>
      </c>
      <c r="C261">
        <v>10</v>
      </c>
      <c r="D261">
        <v>2.714</v>
      </c>
    </row>
    <row r="262" spans="1:4" x14ac:dyDescent="0.25">
      <c r="A262">
        <f t="shared" si="4"/>
        <v>2048</v>
      </c>
      <c r="B262" t="s">
        <v>145</v>
      </c>
      <c r="C262">
        <v>1</v>
      </c>
      <c r="D262">
        <v>2.3929999999999998</v>
      </c>
    </row>
    <row r="263" spans="1:4" x14ac:dyDescent="0.25">
      <c r="A263">
        <f t="shared" si="4"/>
        <v>2048</v>
      </c>
      <c r="B263" t="s">
        <v>145</v>
      </c>
      <c r="C263">
        <v>2</v>
      </c>
      <c r="D263">
        <v>2.3929999999999998</v>
      </c>
    </row>
    <row r="264" spans="1:4" x14ac:dyDescent="0.25">
      <c r="A264">
        <f t="shared" si="4"/>
        <v>2048</v>
      </c>
      <c r="B264" t="s">
        <v>145</v>
      </c>
      <c r="C264">
        <v>3</v>
      </c>
      <c r="D264">
        <v>2.3929999999999998</v>
      </c>
    </row>
    <row r="265" spans="1:4" x14ac:dyDescent="0.25">
      <c r="A265">
        <f t="shared" si="4"/>
        <v>2048</v>
      </c>
      <c r="B265" t="s">
        <v>145</v>
      </c>
      <c r="C265">
        <v>4</v>
      </c>
      <c r="D265">
        <v>2.3929999999999998</v>
      </c>
    </row>
    <row r="266" spans="1:4" x14ac:dyDescent="0.25">
      <c r="A266">
        <f t="shared" si="4"/>
        <v>2048</v>
      </c>
      <c r="B266" t="s">
        <v>145</v>
      </c>
      <c r="C266">
        <v>5</v>
      </c>
      <c r="D266">
        <v>2.3929999999999998</v>
      </c>
    </row>
    <row r="267" spans="1:4" x14ac:dyDescent="0.25">
      <c r="A267">
        <f t="shared" si="4"/>
        <v>2048</v>
      </c>
      <c r="B267" t="s">
        <v>145</v>
      </c>
      <c r="C267">
        <v>6</v>
      </c>
      <c r="D267">
        <v>2.3929999999999998</v>
      </c>
    </row>
    <row r="268" spans="1:4" x14ac:dyDescent="0.25">
      <c r="A268">
        <f t="shared" si="4"/>
        <v>2048</v>
      </c>
      <c r="B268" t="s">
        <v>145</v>
      </c>
      <c r="C268">
        <v>7</v>
      </c>
      <c r="D268">
        <v>2.3929999999999998</v>
      </c>
    </row>
    <row r="269" spans="1:4" x14ac:dyDescent="0.25">
      <c r="A269">
        <f t="shared" si="4"/>
        <v>2048</v>
      </c>
      <c r="B269" t="s">
        <v>145</v>
      </c>
      <c r="C269">
        <v>8</v>
      </c>
      <c r="D269">
        <v>1.2230000000000001</v>
      </c>
    </row>
    <row r="270" spans="1:4" x14ac:dyDescent="0.25">
      <c r="A270">
        <f t="shared" si="4"/>
        <v>2048</v>
      </c>
      <c r="B270" t="s">
        <v>145</v>
      </c>
      <c r="C270">
        <v>9</v>
      </c>
      <c r="D270">
        <v>3.5529999999999999</v>
      </c>
    </row>
    <row r="271" spans="1:4" x14ac:dyDescent="0.25">
      <c r="A271">
        <f t="shared" si="4"/>
        <v>2048</v>
      </c>
      <c r="B271" t="s">
        <v>145</v>
      </c>
      <c r="C271">
        <v>10</v>
      </c>
      <c r="D271">
        <v>2.3929999999999998</v>
      </c>
    </row>
    <row r="272" spans="1:4" x14ac:dyDescent="0.25">
      <c r="A272">
        <f t="shared" si="4"/>
        <v>2049</v>
      </c>
      <c r="B272" t="s">
        <v>146</v>
      </c>
      <c r="C272">
        <v>1</v>
      </c>
      <c r="D272">
        <v>2.012</v>
      </c>
    </row>
    <row r="273" spans="1:4" x14ac:dyDescent="0.25">
      <c r="A273">
        <f t="shared" si="4"/>
        <v>2049</v>
      </c>
      <c r="B273" t="s">
        <v>146</v>
      </c>
      <c r="C273">
        <v>2</v>
      </c>
      <c r="D273">
        <v>2.012</v>
      </c>
    </row>
    <row r="274" spans="1:4" x14ac:dyDescent="0.25">
      <c r="A274">
        <f t="shared" si="4"/>
        <v>2049</v>
      </c>
      <c r="B274" t="s">
        <v>146</v>
      </c>
      <c r="C274">
        <v>3</v>
      </c>
      <c r="D274">
        <v>2.012</v>
      </c>
    </row>
    <row r="275" spans="1:4" x14ac:dyDescent="0.25">
      <c r="A275">
        <f t="shared" si="4"/>
        <v>2049</v>
      </c>
      <c r="B275" t="s">
        <v>146</v>
      </c>
      <c r="C275">
        <v>4</v>
      </c>
      <c r="D275">
        <v>2.012</v>
      </c>
    </row>
    <row r="276" spans="1:4" x14ac:dyDescent="0.25">
      <c r="A276">
        <f t="shared" si="4"/>
        <v>2049</v>
      </c>
      <c r="B276" t="s">
        <v>146</v>
      </c>
      <c r="C276">
        <v>5</v>
      </c>
      <c r="D276">
        <v>2.012</v>
      </c>
    </row>
    <row r="277" spans="1:4" x14ac:dyDescent="0.25">
      <c r="A277">
        <f t="shared" si="4"/>
        <v>2049</v>
      </c>
      <c r="B277" t="s">
        <v>146</v>
      </c>
      <c r="C277">
        <v>6</v>
      </c>
      <c r="D277">
        <v>2.012</v>
      </c>
    </row>
    <row r="278" spans="1:4" x14ac:dyDescent="0.25">
      <c r="A278">
        <f t="shared" si="4"/>
        <v>2049</v>
      </c>
      <c r="B278" t="s">
        <v>146</v>
      </c>
      <c r="C278">
        <v>7</v>
      </c>
      <c r="D278">
        <v>2.012</v>
      </c>
    </row>
    <row r="279" spans="1:4" x14ac:dyDescent="0.25">
      <c r="A279">
        <f t="shared" si="4"/>
        <v>2049</v>
      </c>
      <c r="B279" t="s">
        <v>146</v>
      </c>
      <c r="C279">
        <v>8</v>
      </c>
      <c r="D279">
        <v>0.91200000000000003</v>
      </c>
    </row>
    <row r="280" spans="1:4" x14ac:dyDescent="0.25">
      <c r="A280">
        <f t="shared" si="4"/>
        <v>2049</v>
      </c>
      <c r="B280" t="s">
        <v>146</v>
      </c>
      <c r="C280">
        <v>9</v>
      </c>
      <c r="D280">
        <v>3.1120000000000001</v>
      </c>
    </row>
    <row r="281" spans="1:4" x14ac:dyDescent="0.25">
      <c r="A281">
        <f t="shared" si="4"/>
        <v>2049</v>
      </c>
      <c r="B281" t="s">
        <v>146</v>
      </c>
      <c r="C281">
        <v>10</v>
      </c>
      <c r="D281">
        <v>2.012</v>
      </c>
    </row>
    <row r="282" spans="1:4" x14ac:dyDescent="0.25">
      <c r="A282">
        <f t="shared" si="4"/>
        <v>2050</v>
      </c>
      <c r="B282" t="s">
        <v>147</v>
      </c>
      <c r="C282">
        <v>1</v>
      </c>
      <c r="D282">
        <v>1.625</v>
      </c>
    </row>
    <row r="283" spans="1:4" x14ac:dyDescent="0.25">
      <c r="A283">
        <f t="shared" si="4"/>
        <v>2050</v>
      </c>
      <c r="B283" t="s">
        <v>147</v>
      </c>
      <c r="C283">
        <v>2</v>
      </c>
      <c r="D283">
        <v>1.625</v>
      </c>
    </row>
    <row r="284" spans="1:4" x14ac:dyDescent="0.25">
      <c r="A284">
        <f t="shared" si="4"/>
        <v>2050</v>
      </c>
      <c r="B284" t="s">
        <v>147</v>
      </c>
      <c r="C284">
        <v>3</v>
      </c>
      <c r="D284">
        <v>1.625</v>
      </c>
    </row>
    <row r="285" spans="1:4" x14ac:dyDescent="0.25">
      <c r="A285">
        <f t="shared" si="4"/>
        <v>2050</v>
      </c>
      <c r="B285" t="s">
        <v>147</v>
      </c>
      <c r="C285">
        <v>4</v>
      </c>
      <c r="D285">
        <v>1.625</v>
      </c>
    </row>
    <row r="286" spans="1:4" x14ac:dyDescent="0.25">
      <c r="A286">
        <f t="shared" si="4"/>
        <v>2050</v>
      </c>
      <c r="B286" t="s">
        <v>147</v>
      </c>
      <c r="C286">
        <v>5</v>
      </c>
      <c r="D286">
        <v>1.625</v>
      </c>
    </row>
    <row r="287" spans="1:4" x14ac:dyDescent="0.25">
      <c r="A287">
        <f t="shared" si="4"/>
        <v>2050</v>
      </c>
      <c r="B287" t="s">
        <v>147</v>
      </c>
      <c r="C287">
        <v>6</v>
      </c>
      <c r="D287">
        <v>1.625</v>
      </c>
    </row>
    <row r="288" spans="1:4" x14ac:dyDescent="0.25">
      <c r="A288">
        <f t="shared" si="4"/>
        <v>2050</v>
      </c>
      <c r="B288" t="s">
        <v>147</v>
      </c>
      <c r="C288">
        <v>7</v>
      </c>
      <c r="D288">
        <v>1.625</v>
      </c>
    </row>
    <row r="289" spans="1:4" x14ac:dyDescent="0.25">
      <c r="A289">
        <f t="shared" si="4"/>
        <v>2050</v>
      </c>
      <c r="B289" t="s">
        <v>147</v>
      </c>
      <c r="C289">
        <v>8</v>
      </c>
      <c r="D289">
        <v>0.58499999999999996</v>
      </c>
    </row>
    <row r="290" spans="1:4" x14ac:dyDescent="0.25">
      <c r="A290">
        <f t="shared" si="4"/>
        <v>2050</v>
      </c>
      <c r="B290" t="s">
        <v>147</v>
      </c>
      <c r="C290">
        <v>9</v>
      </c>
      <c r="D290">
        <v>2.6549999999999998</v>
      </c>
    </row>
    <row r="291" spans="1:4" x14ac:dyDescent="0.25">
      <c r="A291">
        <f t="shared" si="4"/>
        <v>2050</v>
      </c>
      <c r="B291" t="s">
        <v>147</v>
      </c>
      <c r="C291">
        <v>10</v>
      </c>
      <c r="D291">
        <v>1.625</v>
      </c>
    </row>
    <row r="292" spans="1:4" x14ac:dyDescent="0.25">
      <c r="A292">
        <f t="shared" si="4"/>
        <v>2051</v>
      </c>
      <c r="B292" t="s">
        <v>148</v>
      </c>
      <c r="C292">
        <v>1</v>
      </c>
      <c r="D292">
        <v>1.625</v>
      </c>
    </row>
    <row r="293" spans="1:4" x14ac:dyDescent="0.25">
      <c r="A293">
        <f t="shared" si="4"/>
        <v>2051</v>
      </c>
      <c r="B293" t="s">
        <v>148</v>
      </c>
      <c r="C293">
        <v>2</v>
      </c>
      <c r="D293">
        <v>1.625</v>
      </c>
    </row>
    <row r="294" spans="1:4" x14ac:dyDescent="0.25">
      <c r="A294">
        <f t="shared" si="4"/>
        <v>2051</v>
      </c>
      <c r="B294" t="s">
        <v>148</v>
      </c>
      <c r="C294">
        <v>3</v>
      </c>
      <c r="D294">
        <v>1.625</v>
      </c>
    </row>
    <row r="295" spans="1:4" x14ac:dyDescent="0.25">
      <c r="A295">
        <f t="shared" si="4"/>
        <v>2051</v>
      </c>
      <c r="B295" t="s">
        <v>148</v>
      </c>
      <c r="C295">
        <v>4</v>
      </c>
      <c r="D295">
        <v>1.625</v>
      </c>
    </row>
    <row r="296" spans="1:4" x14ac:dyDescent="0.25">
      <c r="A296">
        <f t="shared" si="4"/>
        <v>2051</v>
      </c>
      <c r="B296" t="s">
        <v>148</v>
      </c>
      <c r="C296">
        <v>5</v>
      </c>
      <c r="D296">
        <v>1.625</v>
      </c>
    </row>
    <row r="297" spans="1:4" x14ac:dyDescent="0.25">
      <c r="A297">
        <f t="shared" si="4"/>
        <v>2051</v>
      </c>
      <c r="B297" t="s">
        <v>148</v>
      </c>
      <c r="C297">
        <v>6</v>
      </c>
      <c r="D297">
        <v>1.625</v>
      </c>
    </row>
    <row r="298" spans="1:4" x14ac:dyDescent="0.25">
      <c r="A298">
        <f t="shared" si="4"/>
        <v>2051</v>
      </c>
      <c r="B298" t="s">
        <v>148</v>
      </c>
      <c r="C298">
        <v>7</v>
      </c>
      <c r="D298">
        <v>1.625</v>
      </c>
    </row>
    <row r="299" spans="1:4" x14ac:dyDescent="0.25">
      <c r="A299">
        <f t="shared" si="4"/>
        <v>2051</v>
      </c>
      <c r="B299" t="s">
        <v>148</v>
      </c>
      <c r="C299">
        <v>8</v>
      </c>
      <c r="D299">
        <v>0.58499999999999996</v>
      </c>
    </row>
    <row r="300" spans="1:4" x14ac:dyDescent="0.25">
      <c r="A300">
        <f t="shared" si="4"/>
        <v>2051</v>
      </c>
      <c r="B300" t="s">
        <v>148</v>
      </c>
      <c r="C300">
        <v>9</v>
      </c>
      <c r="D300">
        <v>2.6549999999999998</v>
      </c>
    </row>
    <row r="301" spans="1:4" x14ac:dyDescent="0.25">
      <c r="A301">
        <f t="shared" si="4"/>
        <v>2051</v>
      </c>
      <c r="B301" t="s">
        <v>148</v>
      </c>
      <c r="C301">
        <v>10</v>
      </c>
      <c r="D301">
        <v>1.625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83378-3330-4398-B7E0-A2FFBE12DDCC}">
  <sheetPr>
    <tabColor rgb="FF00B0F0"/>
  </sheetPr>
  <dimension ref="A1:D301"/>
  <sheetViews>
    <sheetView workbookViewId="0">
      <selection activeCell="K40" sqref="K39:K40"/>
    </sheetView>
  </sheetViews>
  <sheetFormatPr defaultRowHeight="15" x14ac:dyDescent="0.25"/>
  <sheetData>
    <row r="1" spans="1:4" x14ac:dyDescent="0.25">
      <c r="A1" t="s">
        <v>242</v>
      </c>
      <c r="B1" t="s">
        <v>30</v>
      </c>
      <c r="C1" t="s">
        <v>46</v>
      </c>
      <c r="D1" t="s">
        <v>31</v>
      </c>
    </row>
    <row r="2" spans="1:4" x14ac:dyDescent="0.25">
      <c r="A2">
        <f>VALUE(RIGHT(B2,4))</f>
        <v>2022</v>
      </c>
      <c r="B2" t="s">
        <v>209</v>
      </c>
      <c r="C2">
        <v>1</v>
      </c>
      <c r="D2">
        <v>25.797000000000001</v>
      </c>
    </row>
    <row r="3" spans="1:4" x14ac:dyDescent="0.25">
      <c r="A3">
        <f t="shared" ref="A3:A66" si="0">VALUE(RIGHT(B3,4))</f>
        <v>2022</v>
      </c>
      <c r="B3" t="s">
        <v>209</v>
      </c>
      <c r="C3">
        <v>2</v>
      </c>
      <c r="D3">
        <v>25.797000000000001</v>
      </c>
    </row>
    <row r="4" spans="1:4" x14ac:dyDescent="0.25">
      <c r="A4">
        <f t="shared" si="0"/>
        <v>2022</v>
      </c>
      <c r="B4" t="s">
        <v>209</v>
      </c>
      <c r="C4">
        <v>3</v>
      </c>
      <c r="D4">
        <v>25.797000000000001</v>
      </c>
    </row>
    <row r="5" spans="1:4" x14ac:dyDescent="0.25">
      <c r="A5">
        <f t="shared" si="0"/>
        <v>2022</v>
      </c>
      <c r="B5" t="s">
        <v>209</v>
      </c>
      <c r="C5">
        <v>4</v>
      </c>
      <c r="D5">
        <v>25.797000000000001</v>
      </c>
    </row>
    <row r="6" spans="1:4" x14ac:dyDescent="0.25">
      <c r="A6">
        <f t="shared" si="0"/>
        <v>2022</v>
      </c>
      <c r="B6" t="s">
        <v>209</v>
      </c>
      <c r="C6">
        <v>5</v>
      </c>
      <c r="D6">
        <v>25.797000000000001</v>
      </c>
    </row>
    <row r="7" spans="1:4" x14ac:dyDescent="0.25">
      <c r="A7">
        <f t="shared" si="0"/>
        <v>2022</v>
      </c>
      <c r="B7" t="s">
        <v>209</v>
      </c>
      <c r="C7">
        <v>6</v>
      </c>
      <c r="D7">
        <v>25.797000000000001</v>
      </c>
    </row>
    <row r="8" spans="1:4" x14ac:dyDescent="0.25">
      <c r="A8">
        <f t="shared" si="0"/>
        <v>2022</v>
      </c>
      <c r="B8" t="s">
        <v>209</v>
      </c>
      <c r="C8">
        <v>7</v>
      </c>
      <c r="D8">
        <v>25.797000000000001</v>
      </c>
    </row>
    <row r="9" spans="1:4" x14ac:dyDescent="0.25">
      <c r="A9">
        <f t="shared" si="0"/>
        <v>2022</v>
      </c>
      <c r="B9" t="s">
        <v>209</v>
      </c>
      <c r="C9">
        <v>8</v>
      </c>
      <c r="D9">
        <v>19.675999999999998</v>
      </c>
    </row>
    <row r="10" spans="1:4" x14ac:dyDescent="0.25">
      <c r="A10">
        <f t="shared" si="0"/>
        <v>2022</v>
      </c>
      <c r="B10" t="s">
        <v>209</v>
      </c>
      <c r="C10">
        <v>9</v>
      </c>
      <c r="D10">
        <v>31.916</v>
      </c>
    </row>
    <row r="11" spans="1:4" x14ac:dyDescent="0.25">
      <c r="A11">
        <f t="shared" si="0"/>
        <v>2022</v>
      </c>
      <c r="B11" t="s">
        <v>209</v>
      </c>
      <c r="C11">
        <v>10</v>
      </c>
      <c r="D11">
        <v>25.797000000000001</v>
      </c>
    </row>
    <row r="12" spans="1:4" x14ac:dyDescent="0.25">
      <c r="A12">
        <f t="shared" si="0"/>
        <v>2023</v>
      </c>
      <c r="B12" t="s">
        <v>210</v>
      </c>
      <c r="C12">
        <v>1</v>
      </c>
      <c r="D12">
        <v>25.146000000000001</v>
      </c>
    </row>
    <row r="13" spans="1:4" x14ac:dyDescent="0.25">
      <c r="A13">
        <f t="shared" si="0"/>
        <v>2023</v>
      </c>
      <c r="B13" t="s">
        <v>210</v>
      </c>
      <c r="C13">
        <v>2</v>
      </c>
      <c r="D13">
        <v>25.146000000000001</v>
      </c>
    </row>
    <row r="14" spans="1:4" x14ac:dyDescent="0.25">
      <c r="A14">
        <f t="shared" si="0"/>
        <v>2023</v>
      </c>
      <c r="B14" t="s">
        <v>210</v>
      </c>
      <c r="C14">
        <v>3</v>
      </c>
      <c r="D14">
        <v>25.146000000000001</v>
      </c>
    </row>
    <row r="15" spans="1:4" x14ac:dyDescent="0.25">
      <c r="A15">
        <f t="shared" si="0"/>
        <v>2023</v>
      </c>
      <c r="B15" t="s">
        <v>210</v>
      </c>
      <c r="C15">
        <v>4</v>
      </c>
      <c r="D15">
        <v>25.146000000000001</v>
      </c>
    </row>
    <row r="16" spans="1:4" x14ac:dyDescent="0.25">
      <c r="A16">
        <f t="shared" si="0"/>
        <v>2023</v>
      </c>
      <c r="B16" t="s">
        <v>210</v>
      </c>
      <c r="C16">
        <v>5</v>
      </c>
      <c r="D16">
        <v>25.146000000000001</v>
      </c>
    </row>
    <row r="17" spans="1:4" x14ac:dyDescent="0.25">
      <c r="A17">
        <f t="shared" si="0"/>
        <v>2023</v>
      </c>
      <c r="B17" t="s">
        <v>210</v>
      </c>
      <c r="C17">
        <v>6</v>
      </c>
      <c r="D17">
        <v>25.146000000000001</v>
      </c>
    </row>
    <row r="18" spans="1:4" x14ac:dyDescent="0.25">
      <c r="A18">
        <f t="shared" si="0"/>
        <v>2023</v>
      </c>
      <c r="B18" t="s">
        <v>210</v>
      </c>
      <c r="C18">
        <v>7</v>
      </c>
      <c r="D18">
        <v>25.146000000000001</v>
      </c>
    </row>
    <row r="19" spans="1:4" x14ac:dyDescent="0.25">
      <c r="A19">
        <f t="shared" si="0"/>
        <v>2023</v>
      </c>
      <c r="B19" t="s">
        <v>210</v>
      </c>
      <c r="C19">
        <v>8</v>
      </c>
      <c r="D19">
        <v>19.337</v>
      </c>
    </row>
    <row r="20" spans="1:4" x14ac:dyDescent="0.25">
      <c r="A20">
        <f t="shared" si="0"/>
        <v>2023</v>
      </c>
      <c r="B20" t="s">
        <v>210</v>
      </c>
      <c r="C20">
        <v>9</v>
      </c>
      <c r="D20">
        <v>30.957000000000001</v>
      </c>
    </row>
    <row r="21" spans="1:4" x14ac:dyDescent="0.25">
      <c r="A21">
        <f t="shared" si="0"/>
        <v>2023</v>
      </c>
      <c r="B21" t="s">
        <v>210</v>
      </c>
      <c r="C21">
        <v>10</v>
      </c>
      <c r="D21">
        <v>25.146000000000001</v>
      </c>
    </row>
    <row r="22" spans="1:4" x14ac:dyDescent="0.25">
      <c r="A22">
        <f t="shared" si="0"/>
        <v>2024</v>
      </c>
      <c r="B22" t="s">
        <v>211</v>
      </c>
      <c r="C22">
        <v>1</v>
      </c>
      <c r="D22">
        <v>24.722999999999999</v>
      </c>
    </row>
    <row r="23" spans="1:4" x14ac:dyDescent="0.25">
      <c r="A23">
        <f t="shared" si="0"/>
        <v>2024</v>
      </c>
      <c r="B23" t="s">
        <v>211</v>
      </c>
      <c r="C23">
        <v>2</v>
      </c>
      <c r="D23">
        <v>24.722999999999999</v>
      </c>
    </row>
    <row r="24" spans="1:4" x14ac:dyDescent="0.25">
      <c r="A24">
        <f t="shared" si="0"/>
        <v>2024</v>
      </c>
      <c r="B24" t="s">
        <v>211</v>
      </c>
      <c r="C24">
        <v>3</v>
      </c>
      <c r="D24">
        <v>24.722999999999999</v>
      </c>
    </row>
    <row r="25" spans="1:4" x14ac:dyDescent="0.25">
      <c r="A25">
        <f t="shared" si="0"/>
        <v>2024</v>
      </c>
      <c r="B25" t="s">
        <v>211</v>
      </c>
      <c r="C25">
        <v>4</v>
      </c>
      <c r="D25">
        <v>24.722999999999999</v>
      </c>
    </row>
    <row r="26" spans="1:4" x14ac:dyDescent="0.25">
      <c r="A26">
        <f t="shared" si="0"/>
        <v>2024</v>
      </c>
      <c r="B26" t="s">
        <v>211</v>
      </c>
      <c r="C26">
        <v>5</v>
      </c>
      <c r="D26">
        <v>24.722999999999999</v>
      </c>
    </row>
    <row r="27" spans="1:4" x14ac:dyDescent="0.25">
      <c r="A27">
        <f t="shared" si="0"/>
        <v>2024</v>
      </c>
      <c r="B27" t="s">
        <v>211</v>
      </c>
      <c r="C27">
        <v>6</v>
      </c>
      <c r="D27">
        <v>24.722999999999999</v>
      </c>
    </row>
    <row r="28" spans="1:4" x14ac:dyDescent="0.25">
      <c r="A28">
        <f t="shared" si="0"/>
        <v>2024</v>
      </c>
      <c r="B28" t="s">
        <v>211</v>
      </c>
      <c r="C28">
        <v>7</v>
      </c>
      <c r="D28">
        <v>24.722999999999999</v>
      </c>
    </row>
    <row r="29" spans="1:4" x14ac:dyDescent="0.25">
      <c r="A29">
        <f t="shared" si="0"/>
        <v>2024</v>
      </c>
      <c r="B29" t="s">
        <v>211</v>
      </c>
      <c r="C29">
        <v>8</v>
      </c>
      <c r="D29">
        <v>19.225999999999999</v>
      </c>
    </row>
    <row r="30" spans="1:4" x14ac:dyDescent="0.25">
      <c r="A30">
        <f t="shared" si="0"/>
        <v>2024</v>
      </c>
      <c r="B30" t="s">
        <v>211</v>
      </c>
      <c r="C30">
        <v>9</v>
      </c>
      <c r="D30">
        <v>30.216000000000001</v>
      </c>
    </row>
    <row r="31" spans="1:4" x14ac:dyDescent="0.25">
      <c r="A31">
        <f t="shared" si="0"/>
        <v>2024</v>
      </c>
      <c r="B31" t="s">
        <v>211</v>
      </c>
      <c r="C31">
        <v>10</v>
      </c>
      <c r="D31">
        <v>24.722999999999999</v>
      </c>
    </row>
    <row r="32" spans="1:4" x14ac:dyDescent="0.25">
      <c r="A32">
        <f t="shared" si="0"/>
        <v>2025</v>
      </c>
      <c r="B32" t="s">
        <v>212</v>
      </c>
      <c r="C32">
        <v>1</v>
      </c>
      <c r="D32">
        <v>22.728000000000002</v>
      </c>
    </row>
    <row r="33" spans="1:4" x14ac:dyDescent="0.25">
      <c r="A33">
        <f t="shared" si="0"/>
        <v>2025</v>
      </c>
      <c r="B33" t="s">
        <v>212</v>
      </c>
      <c r="C33">
        <v>2</v>
      </c>
      <c r="D33">
        <v>22.728000000000002</v>
      </c>
    </row>
    <row r="34" spans="1:4" x14ac:dyDescent="0.25">
      <c r="A34">
        <f t="shared" si="0"/>
        <v>2025</v>
      </c>
      <c r="B34" t="s">
        <v>212</v>
      </c>
      <c r="C34">
        <v>3</v>
      </c>
      <c r="D34">
        <v>22.728000000000002</v>
      </c>
    </row>
    <row r="35" spans="1:4" x14ac:dyDescent="0.25">
      <c r="A35">
        <f t="shared" si="0"/>
        <v>2025</v>
      </c>
      <c r="B35" t="s">
        <v>212</v>
      </c>
      <c r="C35">
        <v>4</v>
      </c>
      <c r="D35">
        <v>22.728000000000002</v>
      </c>
    </row>
    <row r="36" spans="1:4" x14ac:dyDescent="0.25">
      <c r="A36">
        <f t="shared" si="0"/>
        <v>2025</v>
      </c>
      <c r="B36" t="s">
        <v>212</v>
      </c>
      <c r="C36">
        <v>5</v>
      </c>
      <c r="D36">
        <v>22.728000000000002</v>
      </c>
    </row>
    <row r="37" spans="1:4" x14ac:dyDescent="0.25">
      <c r="A37">
        <f t="shared" si="0"/>
        <v>2025</v>
      </c>
      <c r="B37" t="s">
        <v>212</v>
      </c>
      <c r="C37">
        <v>6</v>
      </c>
      <c r="D37">
        <v>22.728000000000002</v>
      </c>
    </row>
    <row r="38" spans="1:4" x14ac:dyDescent="0.25">
      <c r="A38">
        <f t="shared" si="0"/>
        <v>2025</v>
      </c>
      <c r="B38" t="s">
        <v>212</v>
      </c>
      <c r="C38">
        <v>7</v>
      </c>
      <c r="D38">
        <v>22.728000000000002</v>
      </c>
    </row>
    <row r="39" spans="1:4" x14ac:dyDescent="0.25">
      <c r="A39">
        <f t="shared" si="0"/>
        <v>2025</v>
      </c>
      <c r="B39" t="s">
        <v>212</v>
      </c>
      <c r="C39">
        <v>8</v>
      </c>
      <c r="D39">
        <v>17.544</v>
      </c>
    </row>
    <row r="40" spans="1:4" x14ac:dyDescent="0.25">
      <c r="A40">
        <f t="shared" si="0"/>
        <v>2025</v>
      </c>
      <c r="B40" t="s">
        <v>212</v>
      </c>
      <c r="C40">
        <v>9</v>
      </c>
      <c r="D40">
        <v>27.914000000000001</v>
      </c>
    </row>
    <row r="41" spans="1:4" x14ac:dyDescent="0.25">
      <c r="A41">
        <f t="shared" si="0"/>
        <v>2025</v>
      </c>
      <c r="B41" t="s">
        <v>212</v>
      </c>
      <c r="C41">
        <v>10</v>
      </c>
      <c r="D41">
        <v>22.728000000000002</v>
      </c>
    </row>
    <row r="42" spans="1:4" x14ac:dyDescent="0.25">
      <c r="A42">
        <f t="shared" si="0"/>
        <v>2026</v>
      </c>
      <c r="B42" t="s">
        <v>213</v>
      </c>
      <c r="C42">
        <v>1</v>
      </c>
      <c r="D42">
        <v>21.736999999999998</v>
      </c>
    </row>
    <row r="43" spans="1:4" x14ac:dyDescent="0.25">
      <c r="A43">
        <f t="shared" si="0"/>
        <v>2026</v>
      </c>
      <c r="B43" t="s">
        <v>213</v>
      </c>
      <c r="C43">
        <v>2</v>
      </c>
      <c r="D43">
        <v>21.736999999999998</v>
      </c>
    </row>
    <row r="44" spans="1:4" x14ac:dyDescent="0.25">
      <c r="A44">
        <f t="shared" si="0"/>
        <v>2026</v>
      </c>
      <c r="B44" t="s">
        <v>213</v>
      </c>
      <c r="C44">
        <v>3</v>
      </c>
      <c r="D44">
        <v>21.736999999999998</v>
      </c>
    </row>
    <row r="45" spans="1:4" x14ac:dyDescent="0.25">
      <c r="A45">
        <f t="shared" si="0"/>
        <v>2026</v>
      </c>
      <c r="B45" t="s">
        <v>213</v>
      </c>
      <c r="C45">
        <v>4</v>
      </c>
      <c r="D45">
        <v>21.736999999999998</v>
      </c>
    </row>
    <row r="46" spans="1:4" x14ac:dyDescent="0.25">
      <c r="A46">
        <f t="shared" si="0"/>
        <v>2026</v>
      </c>
      <c r="B46" t="s">
        <v>213</v>
      </c>
      <c r="C46">
        <v>5</v>
      </c>
      <c r="D46">
        <v>21.736999999999998</v>
      </c>
    </row>
    <row r="47" spans="1:4" x14ac:dyDescent="0.25">
      <c r="A47">
        <f t="shared" si="0"/>
        <v>2026</v>
      </c>
      <c r="B47" t="s">
        <v>213</v>
      </c>
      <c r="C47">
        <v>6</v>
      </c>
      <c r="D47">
        <v>21.736999999999998</v>
      </c>
    </row>
    <row r="48" spans="1:4" x14ac:dyDescent="0.25">
      <c r="A48">
        <f t="shared" si="0"/>
        <v>2026</v>
      </c>
      <c r="B48" t="s">
        <v>213</v>
      </c>
      <c r="C48">
        <v>7</v>
      </c>
      <c r="D48">
        <v>21.736999999999998</v>
      </c>
    </row>
    <row r="49" spans="1:4" x14ac:dyDescent="0.25">
      <c r="A49">
        <f t="shared" si="0"/>
        <v>2026</v>
      </c>
      <c r="B49" t="s">
        <v>213</v>
      </c>
      <c r="C49">
        <v>8</v>
      </c>
      <c r="D49">
        <v>16.864000000000001</v>
      </c>
    </row>
    <row r="50" spans="1:4" x14ac:dyDescent="0.25">
      <c r="A50">
        <f t="shared" si="0"/>
        <v>2026</v>
      </c>
      <c r="B50" t="s">
        <v>213</v>
      </c>
      <c r="C50">
        <v>9</v>
      </c>
      <c r="D50">
        <v>26.603999999999999</v>
      </c>
    </row>
    <row r="51" spans="1:4" x14ac:dyDescent="0.25">
      <c r="A51">
        <f t="shared" si="0"/>
        <v>2026</v>
      </c>
      <c r="B51" t="s">
        <v>213</v>
      </c>
      <c r="C51">
        <v>10</v>
      </c>
      <c r="D51">
        <v>21.736999999999998</v>
      </c>
    </row>
    <row r="52" spans="1:4" x14ac:dyDescent="0.25">
      <c r="A52">
        <f t="shared" si="0"/>
        <v>2027</v>
      </c>
      <c r="B52" t="s">
        <v>214</v>
      </c>
      <c r="C52">
        <v>1</v>
      </c>
      <c r="D52">
        <v>20.224</v>
      </c>
    </row>
    <row r="53" spans="1:4" x14ac:dyDescent="0.25">
      <c r="A53">
        <f t="shared" si="0"/>
        <v>2027</v>
      </c>
      <c r="B53" t="s">
        <v>214</v>
      </c>
      <c r="C53">
        <v>2</v>
      </c>
      <c r="D53">
        <v>20.224</v>
      </c>
    </row>
    <row r="54" spans="1:4" x14ac:dyDescent="0.25">
      <c r="A54">
        <f t="shared" si="0"/>
        <v>2027</v>
      </c>
      <c r="B54" t="s">
        <v>214</v>
      </c>
      <c r="C54">
        <v>3</v>
      </c>
      <c r="D54">
        <v>20.224</v>
      </c>
    </row>
    <row r="55" spans="1:4" x14ac:dyDescent="0.25">
      <c r="A55">
        <f t="shared" si="0"/>
        <v>2027</v>
      </c>
      <c r="B55" t="s">
        <v>214</v>
      </c>
      <c r="C55">
        <v>4</v>
      </c>
      <c r="D55">
        <v>20.224</v>
      </c>
    </row>
    <row r="56" spans="1:4" x14ac:dyDescent="0.25">
      <c r="A56">
        <f t="shared" si="0"/>
        <v>2027</v>
      </c>
      <c r="B56" t="s">
        <v>214</v>
      </c>
      <c r="C56">
        <v>5</v>
      </c>
      <c r="D56">
        <v>20.224</v>
      </c>
    </row>
    <row r="57" spans="1:4" x14ac:dyDescent="0.25">
      <c r="A57">
        <f t="shared" si="0"/>
        <v>2027</v>
      </c>
      <c r="B57" t="s">
        <v>214</v>
      </c>
      <c r="C57">
        <v>6</v>
      </c>
      <c r="D57">
        <v>20.224</v>
      </c>
    </row>
    <row r="58" spans="1:4" x14ac:dyDescent="0.25">
      <c r="A58">
        <f t="shared" si="0"/>
        <v>2027</v>
      </c>
      <c r="B58" t="s">
        <v>214</v>
      </c>
      <c r="C58">
        <v>7</v>
      </c>
      <c r="D58">
        <v>20.224</v>
      </c>
    </row>
    <row r="59" spans="1:4" x14ac:dyDescent="0.25">
      <c r="A59">
        <f t="shared" si="0"/>
        <v>2027</v>
      </c>
      <c r="B59" t="s">
        <v>214</v>
      </c>
      <c r="C59">
        <v>8</v>
      </c>
      <c r="D59">
        <v>15.664</v>
      </c>
    </row>
    <row r="60" spans="1:4" x14ac:dyDescent="0.25">
      <c r="A60">
        <f t="shared" si="0"/>
        <v>2027</v>
      </c>
      <c r="B60" t="s">
        <v>214</v>
      </c>
      <c r="C60">
        <v>9</v>
      </c>
      <c r="D60">
        <v>24.783999999999999</v>
      </c>
    </row>
    <row r="61" spans="1:4" x14ac:dyDescent="0.25">
      <c r="A61">
        <f t="shared" si="0"/>
        <v>2027</v>
      </c>
      <c r="B61" t="s">
        <v>214</v>
      </c>
      <c r="C61">
        <v>10</v>
      </c>
      <c r="D61">
        <v>20.224</v>
      </c>
    </row>
    <row r="62" spans="1:4" x14ac:dyDescent="0.25">
      <c r="A62">
        <f t="shared" si="0"/>
        <v>2028</v>
      </c>
      <c r="B62" t="s">
        <v>215</v>
      </c>
      <c r="C62">
        <v>1</v>
      </c>
      <c r="D62">
        <v>18.606000000000002</v>
      </c>
    </row>
    <row r="63" spans="1:4" x14ac:dyDescent="0.25">
      <c r="A63">
        <f t="shared" si="0"/>
        <v>2028</v>
      </c>
      <c r="B63" t="s">
        <v>215</v>
      </c>
      <c r="C63">
        <v>2</v>
      </c>
      <c r="D63">
        <v>18.606000000000002</v>
      </c>
    </row>
    <row r="64" spans="1:4" x14ac:dyDescent="0.25">
      <c r="A64">
        <f t="shared" si="0"/>
        <v>2028</v>
      </c>
      <c r="B64" t="s">
        <v>215</v>
      </c>
      <c r="C64">
        <v>3</v>
      </c>
      <c r="D64">
        <v>18.606000000000002</v>
      </c>
    </row>
    <row r="65" spans="1:4" x14ac:dyDescent="0.25">
      <c r="A65">
        <f t="shared" si="0"/>
        <v>2028</v>
      </c>
      <c r="B65" t="s">
        <v>215</v>
      </c>
      <c r="C65">
        <v>4</v>
      </c>
      <c r="D65">
        <v>18.606000000000002</v>
      </c>
    </row>
    <row r="66" spans="1:4" x14ac:dyDescent="0.25">
      <c r="A66">
        <f t="shared" si="0"/>
        <v>2028</v>
      </c>
      <c r="B66" t="s">
        <v>215</v>
      </c>
      <c r="C66">
        <v>5</v>
      </c>
      <c r="D66">
        <v>18.606000000000002</v>
      </c>
    </row>
    <row r="67" spans="1:4" x14ac:dyDescent="0.25">
      <c r="A67">
        <f t="shared" ref="A67:A130" si="1">VALUE(RIGHT(B67,4))</f>
        <v>2028</v>
      </c>
      <c r="B67" t="s">
        <v>215</v>
      </c>
      <c r="C67">
        <v>6</v>
      </c>
      <c r="D67">
        <v>18.606000000000002</v>
      </c>
    </row>
    <row r="68" spans="1:4" x14ac:dyDescent="0.25">
      <c r="A68">
        <f t="shared" si="1"/>
        <v>2028</v>
      </c>
      <c r="B68" t="s">
        <v>215</v>
      </c>
      <c r="C68">
        <v>7</v>
      </c>
      <c r="D68">
        <v>18.606000000000002</v>
      </c>
    </row>
    <row r="69" spans="1:4" x14ac:dyDescent="0.25">
      <c r="A69">
        <f t="shared" si="1"/>
        <v>2028</v>
      </c>
      <c r="B69" t="s">
        <v>215</v>
      </c>
      <c r="C69">
        <v>8</v>
      </c>
      <c r="D69">
        <v>14.358000000000001</v>
      </c>
    </row>
    <row r="70" spans="1:4" x14ac:dyDescent="0.25">
      <c r="A70">
        <f t="shared" si="1"/>
        <v>2028</v>
      </c>
      <c r="B70" t="s">
        <v>215</v>
      </c>
      <c r="C70">
        <v>9</v>
      </c>
      <c r="D70">
        <v>22.858000000000001</v>
      </c>
    </row>
    <row r="71" spans="1:4" x14ac:dyDescent="0.25">
      <c r="A71">
        <f t="shared" si="1"/>
        <v>2028</v>
      </c>
      <c r="B71" t="s">
        <v>215</v>
      </c>
      <c r="C71">
        <v>10</v>
      </c>
      <c r="D71">
        <v>18.606000000000002</v>
      </c>
    </row>
    <row r="72" spans="1:4" x14ac:dyDescent="0.25">
      <c r="A72">
        <f t="shared" si="1"/>
        <v>2029</v>
      </c>
      <c r="B72" t="s">
        <v>216</v>
      </c>
      <c r="C72">
        <v>1</v>
      </c>
      <c r="D72">
        <v>17.004000000000001</v>
      </c>
    </row>
    <row r="73" spans="1:4" x14ac:dyDescent="0.25">
      <c r="A73">
        <f t="shared" si="1"/>
        <v>2029</v>
      </c>
      <c r="B73" t="s">
        <v>216</v>
      </c>
      <c r="C73">
        <v>2</v>
      </c>
      <c r="D73">
        <v>17.004000000000001</v>
      </c>
    </row>
    <row r="74" spans="1:4" x14ac:dyDescent="0.25">
      <c r="A74">
        <f t="shared" si="1"/>
        <v>2029</v>
      </c>
      <c r="B74" t="s">
        <v>216</v>
      </c>
      <c r="C74">
        <v>3</v>
      </c>
      <c r="D74">
        <v>17.004000000000001</v>
      </c>
    </row>
    <row r="75" spans="1:4" x14ac:dyDescent="0.25">
      <c r="A75">
        <f t="shared" si="1"/>
        <v>2029</v>
      </c>
      <c r="B75" t="s">
        <v>216</v>
      </c>
      <c r="C75">
        <v>4</v>
      </c>
      <c r="D75">
        <v>17.004000000000001</v>
      </c>
    </row>
    <row r="76" spans="1:4" x14ac:dyDescent="0.25">
      <c r="A76">
        <f t="shared" si="1"/>
        <v>2029</v>
      </c>
      <c r="B76" t="s">
        <v>216</v>
      </c>
      <c r="C76">
        <v>5</v>
      </c>
      <c r="D76">
        <v>17.004000000000001</v>
      </c>
    </row>
    <row r="77" spans="1:4" x14ac:dyDescent="0.25">
      <c r="A77">
        <f t="shared" si="1"/>
        <v>2029</v>
      </c>
      <c r="B77" t="s">
        <v>216</v>
      </c>
      <c r="C77">
        <v>6</v>
      </c>
      <c r="D77">
        <v>17.004000000000001</v>
      </c>
    </row>
    <row r="78" spans="1:4" x14ac:dyDescent="0.25">
      <c r="A78">
        <f t="shared" si="1"/>
        <v>2029</v>
      </c>
      <c r="B78" t="s">
        <v>216</v>
      </c>
      <c r="C78">
        <v>7</v>
      </c>
      <c r="D78">
        <v>17.004000000000001</v>
      </c>
    </row>
    <row r="79" spans="1:4" x14ac:dyDescent="0.25">
      <c r="A79">
        <f t="shared" si="1"/>
        <v>2029</v>
      </c>
      <c r="B79" t="s">
        <v>216</v>
      </c>
      <c r="C79">
        <v>8</v>
      </c>
      <c r="D79">
        <v>13.068</v>
      </c>
    </row>
    <row r="80" spans="1:4" x14ac:dyDescent="0.25">
      <c r="A80">
        <f t="shared" si="1"/>
        <v>2029</v>
      </c>
      <c r="B80" t="s">
        <v>216</v>
      </c>
      <c r="C80">
        <v>9</v>
      </c>
      <c r="D80">
        <v>20.937999999999999</v>
      </c>
    </row>
    <row r="81" spans="1:4" x14ac:dyDescent="0.25">
      <c r="A81">
        <f t="shared" si="1"/>
        <v>2029</v>
      </c>
      <c r="B81" t="s">
        <v>216</v>
      </c>
      <c r="C81">
        <v>10</v>
      </c>
      <c r="D81">
        <v>17.004000000000001</v>
      </c>
    </row>
    <row r="82" spans="1:4" x14ac:dyDescent="0.25">
      <c r="A82">
        <f t="shared" si="1"/>
        <v>2030</v>
      </c>
      <c r="B82" t="s">
        <v>217</v>
      </c>
      <c r="C82">
        <v>1</v>
      </c>
      <c r="D82">
        <v>15.451000000000001</v>
      </c>
    </row>
    <row r="83" spans="1:4" x14ac:dyDescent="0.25">
      <c r="A83">
        <f t="shared" si="1"/>
        <v>2030</v>
      </c>
      <c r="B83" t="s">
        <v>217</v>
      </c>
      <c r="C83">
        <v>2</v>
      </c>
      <c r="D83">
        <v>15.451000000000001</v>
      </c>
    </row>
    <row r="84" spans="1:4" x14ac:dyDescent="0.25">
      <c r="A84">
        <f t="shared" si="1"/>
        <v>2030</v>
      </c>
      <c r="B84" t="s">
        <v>217</v>
      </c>
      <c r="C84">
        <v>3</v>
      </c>
      <c r="D84">
        <v>15.451000000000001</v>
      </c>
    </row>
    <row r="85" spans="1:4" x14ac:dyDescent="0.25">
      <c r="A85">
        <f t="shared" si="1"/>
        <v>2030</v>
      </c>
      <c r="B85" t="s">
        <v>217</v>
      </c>
      <c r="C85">
        <v>4</v>
      </c>
      <c r="D85">
        <v>15.451000000000001</v>
      </c>
    </row>
    <row r="86" spans="1:4" x14ac:dyDescent="0.25">
      <c r="A86">
        <f t="shared" si="1"/>
        <v>2030</v>
      </c>
      <c r="B86" t="s">
        <v>217</v>
      </c>
      <c r="C86">
        <v>5</v>
      </c>
      <c r="D86">
        <v>15.451000000000001</v>
      </c>
    </row>
    <row r="87" spans="1:4" x14ac:dyDescent="0.25">
      <c r="A87">
        <f t="shared" si="1"/>
        <v>2030</v>
      </c>
      <c r="B87" t="s">
        <v>217</v>
      </c>
      <c r="C87">
        <v>6</v>
      </c>
      <c r="D87">
        <v>15.451000000000001</v>
      </c>
    </row>
    <row r="88" spans="1:4" x14ac:dyDescent="0.25">
      <c r="A88">
        <f t="shared" si="1"/>
        <v>2030</v>
      </c>
      <c r="B88" t="s">
        <v>217</v>
      </c>
      <c r="C88">
        <v>7</v>
      </c>
      <c r="D88">
        <v>15.451000000000001</v>
      </c>
    </row>
    <row r="89" spans="1:4" x14ac:dyDescent="0.25">
      <c r="A89">
        <f t="shared" si="1"/>
        <v>2030</v>
      </c>
      <c r="B89" t="s">
        <v>217</v>
      </c>
      <c r="C89">
        <v>8</v>
      </c>
      <c r="D89">
        <v>11.827</v>
      </c>
    </row>
    <row r="90" spans="1:4" x14ac:dyDescent="0.25">
      <c r="A90">
        <f t="shared" si="1"/>
        <v>2030</v>
      </c>
      <c r="B90" t="s">
        <v>217</v>
      </c>
      <c r="C90">
        <v>9</v>
      </c>
      <c r="D90">
        <v>19.077000000000002</v>
      </c>
    </row>
    <row r="91" spans="1:4" x14ac:dyDescent="0.25">
      <c r="A91">
        <f t="shared" si="1"/>
        <v>2030</v>
      </c>
      <c r="B91" t="s">
        <v>217</v>
      </c>
      <c r="C91">
        <v>10</v>
      </c>
      <c r="D91">
        <v>15.451000000000001</v>
      </c>
    </row>
    <row r="92" spans="1:4" x14ac:dyDescent="0.25">
      <c r="A92">
        <f t="shared" si="1"/>
        <v>2031</v>
      </c>
      <c r="B92" t="s">
        <v>218</v>
      </c>
      <c r="C92">
        <v>1</v>
      </c>
      <c r="D92">
        <v>14.996</v>
      </c>
    </row>
    <row r="93" spans="1:4" x14ac:dyDescent="0.25">
      <c r="A93">
        <f t="shared" si="1"/>
        <v>2031</v>
      </c>
      <c r="B93" t="s">
        <v>218</v>
      </c>
      <c r="C93">
        <v>2</v>
      </c>
      <c r="D93">
        <v>14.996</v>
      </c>
    </row>
    <row r="94" spans="1:4" x14ac:dyDescent="0.25">
      <c r="A94">
        <f t="shared" si="1"/>
        <v>2031</v>
      </c>
      <c r="B94" t="s">
        <v>218</v>
      </c>
      <c r="C94">
        <v>3</v>
      </c>
      <c r="D94">
        <v>14.996</v>
      </c>
    </row>
    <row r="95" spans="1:4" x14ac:dyDescent="0.25">
      <c r="A95">
        <f t="shared" si="1"/>
        <v>2031</v>
      </c>
      <c r="B95" t="s">
        <v>218</v>
      </c>
      <c r="C95">
        <v>4</v>
      </c>
      <c r="D95">
        <v>14.996</v>
      </c>
    </row>
    <row r="96" spans="1:4" x14ac:dyDescent="0.25">
      <c r="A96">
        <f t="shared" si="1"/>
        <v>2031</v>
      </c>
      <c r="B96" t="s">
        <v>218</v>
      </c>
      <c r="C96">
        <v>5</v>
      </c>
      <c r="D96">
        <v>14.996</v>
      </c>
    </row>
    <row r="97" spans="1:4" x14ac:dyDescent="0.25">
      <c r="A97">
        <f t="shared" si="1"/>
        <v>2031</v>
      </c>
      <c r="B97" t="s">
        <v>218</v>
      </c>
      <c r="C97">
        <v>6</v>
      </c>
      <c r="D97">
        <v>14.996</v>
      </c>
    </row>
    <row r="98" spans="1:4" x14ac:dyDescent="0.25">
      <c r="A98">
        <f t="shared" si="1"/>
        <v>2031</v>
      </c>
      <c r="B98" t="s">
        <v>218</v>
      </c>
      <c r="C98">
        <v>7</v>
      </c>
      <c r="D98">
        <v>14.996</v>
      </c>
    </row>
    <row r="99" spans="1:4" x14ac:dyDescent="0.25">
      <c r="A99">
        <f t="shared" si="1"/>
        <v>2031</v>
      </c>
      <c r="B99" t="s">
        <v>218</v>
      </c>
      <c r="C99">
        <v>8</v>
      </c>
      <c r="D99">
        <v>11.459</v>
      </c>
    </row>
    <row r="100" spans="1:4" x14ac:dyDescent="0.25">
      <c r="A100">
        <f t="shared" si="1"/>
        <v>2031</v>
      </c>
      <c r="B100" t="s">
        <v>218</v>
      </c>
      <c r="C100">
        <v>9</v>
      </c>
      <c r="D100">
        <v>18.529</v>
      </c>
    </row>
    <row r="101" spans="1:4" x14ac:dyDescent="0.25">
      <c r="A101">
        <f t="shared" si="1"/>
        <v>2031</v>
      </c>
      <c r="B101" t="s">
        <v>218</v>
      </c>
      <c r="C101">
        <v>10</v>
      </c>
      <c r="D101">
        <v>14.996</v>
      </c>
    </row>
    <row r="102" spans="1:4" x14ac:dyDescent="0.25">
      <c r="A102">
        <f t="shared" si="1"/>
        <v>2032</v>
      </c>
      <c r="B102" t="s">
        <v>219</v>
      </c>
      <c r="C102">
        <v>1</v>
      </c>
      <c r="D102">
        <v>14.544</v>
      </c>
    </row>
    <row r="103" spans="1:4" x14ac:dyDescent="0.25">
      <c r="A103">
        <f t="shared" si="1"/>
        <v>2032</v>
      </c>
      <c r="B103" t="s">
        <v>219</v>
      </c>
      <c r="C103">
        <v>2</v>
      </c>
      <c r="D103">
        <v>14.544</v>
      </c>
    </row>
    <row r="104" spans="1:4" x14ac:dyDescent="0.25">
      <c r="A104">
        <f t="shared" si="1"/>
        <v>2032</v>
      </c>
      <c r="B104" t="s">
        <v>219</v>
      </c>
      <c r="C104">
        <v>3</v>
      </c>
      <c r="D104">
        <v>14.544</v>
      </c>
    </row>
    <row r="105" spans="1:4" x14ac:dyDescent="0.25">
      <c r="A105">
        <f t="shared" si="1"/>
        <v>2032</v>
      </c>
      <c r="B105" t="s">
        <v>219</v>
      </c>
      <c r="C105">
        <v>4</v>
      </c>
      <c r="D105">
        <v>14.544</v>
      </c>
    </row>
    <row r="106" spans="1:4" x14ac:dyDescent="0.25">
      <c r="A106">
        <f t="shared" si="1"/>
        <v>2032</v>
      </c>
      <c r="B106" t="s">
        <v>219</v>
      </c>
      <c r="C106">
        <v>5</v>
      </c>
      <c r="D106">
        <v>14.544</v>
      </c>
    </row>
    <row r="107" spans="1:4" x14ac:dyDescent="0.25">
      <c r="A107">
        <f t="shared" si="1"/>
        <v>2032</v>
      </c>
      <c r="B107" t="s">
        <v>219</v>
      </c>
      <c r="C107">
        <v>6</v>
      </c>
      <c r="D107">
        <v>14.544</v>
      </c>
    </row>
    <row r="108" spans="1:4" x14ac:dyDescent="0.25">
      <c r="A108">
        <f t="shared" si="1"/>
        <v>2032</v>
      </c>
      <c r="B108" t="s">
        <v>219</v>
      </c>
      <c r="C108">
        <v>7</v>
      </c>
      <c r="D108">
        <v>14.544</v>
      </c>
    </row>
    <row r="109" spans="1:4" x14ac:dyDescent="0.25">
      <c r="A109">
        <f t="shared" si="1"/>
        <v>2032</v>
      </c>
      <c r="B109" t="s">
        <v>219</v>
      </c>
      <c r="C109">
        <v>8</v>
      </c>
      <c r="D109">
        <v>11.093</v>
      </c>
    </row>
    <row r="110" spans="1:4" x14ac:dyDescent="0.25">
      <c r="A110">
        <f t="shared" si="1"/>
        <v>2032</v>
      </c>
      <c r="B110" t="s">
        <v>219</v>
      </c>
      <c r="C110">
        <v>9</v>
      </c>
      <c r="D110">
        <v>17.992999999999999</v>
      </c>
    </row>
    <row r="111" spans="1:4" x14ac:dyDescent="0.25">
      <c r="A111">
        <f t="shared" si="1"/>
        <v>2032</v>
      </c>
      <c r="B111" t="s">
        <v>219</v>
      </c>
      <c r="C111">
        <v>10</v>
      </c>
      <c r="D111">
        <v>14.544</v>
      </c>
    </row>
    <row r="112" spans="1:4" x14ac:dyDescent="0.25">
      <c r="A112">
        <f t="shared" si="1"/>
        <v>2033</v>
      </c>
      <c r="B112" t="s">
        <v>220</v>
      </c>
      <c r="C112">
        <v>1</v>
      </c>
      <c r="D112">
        <v>14.007999999999999</v>
      </c>
    </row>
    <row r="113" spans="1:4" x14ac:dyDescent="0.25">
      <c r="A113">
        <f t="shared" si="1"/>
        <v>2033</v>
      </c>
      <c r="B113" t="s">
        <v>220</v>
      </c>
      <c r="C113">
        <v>2</v>
      </c>
      <c r="D113">
        <v>14.007999999999999</v>
      </c>
    </row>
    <row r="114" spans="1:4" x14ac:dyDescent="0.25">
      <c r="A114">
        <f t="shared" si="1"/>
        <v>2033</v>
      </c>
      <c r="B114" t="s">
        <v>220</v>
      </c>
      <c r="C114">
        <v>3</v>
      </c>
      <c r="D114">
        <v>14.007999999999999</v>
      </c>
    </row>
    <row r="115" spans="1:4" x14ac:dyDescent="0.25">
      <c r="A115">
        <f t="shared" si="1"/>
        <v>2033</v>
      </c>
      <c r="B115" t="s">
        <v>220</v>
      </c>
      <c r="C115">
        <v>4</v>
      </c>
      <c r="D115">
        <v>14.007999999999999</v>
      </c>
    </row>
    <row r="116" spans="1:4" x14ac:dyDescent="0.25">
      <c r="A116">
        <f t="shared" si="1"/>
        <v>2033</v>
      </c>
      <c r="B116" t="s">
        <v>220</v>
      </c>
      <c r="C116">
        <v>5</v>
      </c>
      <c r="D116">
        <v>14.007999999999999</v>
      </c>
    </row>
    <row r="117" spans="1:4" x14ac:dyDescent="0.25">
      <c r="A117">
        <f t="shared" si="1"/>
        <v>2033</v>
      </c>
      <c r="B117" t="s">
        <v>220</v>
      </c>
      <c r="C117">
        <v>6</v>
      </c>
      <c r="D117">
        <v>14.007999999999999</v>
      </c>
    </row>
    <row r="118" spans="1:4" x14ac:dyDescent="0.25">
      <c r="A118">
        <f t="shared" si="1"/>
        <v>2033</v>
      </c>
      <c r="B118" t="s">
        <v>220</v>
      </c>
      <c r="C118">
        <v>7</v>
      </c>
      <c r="D118">
        <v>14.007999999999999</v>
      </c>
    </row>
    <row r="119" spans="1:4" x14ac:dyDescent="0.25">
      <c r="A119">
        <f t="shared" si="1"/>
        <v>2033</v>
      </c>
      <c r="B119" t="s">
        <v>220</v>
      </c>
      <c r="C119">
        <v>8</v>
      </c>
      <c r="D119">
        <v>10.644</v>
      </c>
    </row>
    <row r="120" spans="1:4" x14ac:dyDescent="0.25">
      <c r="A120">
        <f t="shared" si="1"/>
        <v>2033</v>
      </c>
      <c r="B120" t="s">
        <v>220</v>
      </c>
      <c r="C120">
        <v>9</v>
      </c>
      <c r="D120">
        <v>17.364000000000001</v>
      </c>
    </row>
    <row r="121" spans="1:4" x14ac:dyDescent="0.25">
      <c r="A121">
        <f t="shared" si="1"/>
        <v>2033</v>
      </c>
      <c r="B121" t="s">
        <v>220</v>
      </c>
      <c r="C121">
        <v>10</v>
      </c>
      <c r="D121">
        <v>14.007999999999999</v>
      </c>
    </row>
    <row r="122" spans="1:4" x14ac:dyDescent="0.25">
      <c r="A122">
        <f t="shared" si="1"/>
        <v>2034</v>
      </c>
      <c r="B122" t="s">
        <v>221</v>
      </c>
      <c r="C122">
        <v>1</v>
      </c>
      <c r="D122">
        <v>13.617000000000001</v>
      </c>
    </row>
    <row r="123" spans="1:4" x14ac:dyDescent="0.25">
      <c r="A123">
        <f t="shared" si="1"/>
        <v>2034</v>
      </c>
      <c r="B123" t="s">
        <v>221</v>
      </c>
      <c r="C123">
        <v>2</v>
      </c>
      <c r="D123">
        <v>13.617000000000001</v>
      </c>
    </row>
    <row r="124" spans="1:4" x14ac:dyDescent="0.25">
      <c r="A124">
        <f t="shared" si="1"/>
        <v>2034</v>
      </c>
      <c r="B124" t="s">
        <v>221</v>
      </c>
      <c r="C124">
        <v>3</v>
      </c>
      <c r="D124">
        <v>13.617000000000001</v>
      </c>
    </row>
    <row r="125" spans="1:4" x14ac:dyDescent="0.25">
      <c r="A125">
        <f t="shared" si="1"/>
        <v>2034</v>
      </c>
      <c r="B125" t="s">
        <v>221</v>
      </c>
      <c r="C125">
        <v>4</v>
      </c>
      <c r="D125">
        <v>13.617000000000001</v>
      </c>
    </row>
    <row r="126" spans="1:4" x14ac:dyDescent="0.25">
      <c r="A126">
        <f t="shared" si="1"/>
        <v>2034</v>
      </c>
      <c r="B126" t="s">
        <v>221</v>
      </c>
      <c r="C126">
        <v>5</v>
      </c>
      <c r="D126">
        <v>13.617000000000001</v>
      </c>
    </row>
    <row r="127" spans="1:4" x14ac:dyDescent="0.25">
      <c r="A127">
        <f t="shared" si="1"/>
        <v>2034</v>
      </c>
      <c r="B127" t="s">
        <v>221</v>
      </c>
      <c r="C127">
        <v>6</v>
      </c>
      <c r="D127">
        <v>13.617000000000001</v>
      </c>
    </row>
    <row r="128" spans="1:4" x14ac:dyDescent="0.25">
      <c r="A128">
        <f t="shared" si="1"/>
        <v>2034</v>
      </c>
      <c r="B128" t="s">
        <v>221</v>
      </c>
      <c r="C128">
        <v>7</v>
      </c>
      <c r="D128">
        <v>13.617000000000001</v>
      </c>
    </row>
    <row r="129" spans="1:4" x14ac:dyDescent="0.25">
      <c r="A129">
        <f t="shared" si="1"/>
        <v>2034</v>
      </c>
      <c r="B129" t="s">
        <v>221</v>
      </c>
      <c r="C129">
        <v>8</v>
      </c>
      <c r="D129">
        <v>10.340999999999999</v>
      </c>
    </row>
    <row r="130" spans="1:4" x14ac:dyDescent="0.25">
      <c r="A130">
        <f t="shared" si="1"/>
        <v>2034</v>
      </c>
      <c r="B130" t="s">
        <v>221</v>
      </c>
      <c r="C130">
        <v>9</v>
      </c>
      <c r="D130">
        <v>16.890999999999998</v>
      </c>
    </row>
    <row r="131" spans="1:4" x14ac:dyDescent="0.25">
      <c r="A131">
        <f t="shared" ref="A131:A194" si="2">VALUE(RIGHT(B131,4))</f>
        <v>2034</v>
      </c>
      <c r="B131" t="s">
        <v>221</v>
      </c>
      <c r="C131">
        <v>10</v>
      </c>
      <c r="D131">
        <v>13.617000000000001</v>
      </c>
    </row>
    <row r="132" spans="1:4" x14ac:dyDescent="0.25">
      <c r="A132">
        <f t="shared" si="2"/>
        <v>2035</v>
      </c>
      <c r="B132" t="s">
        <v>222</v>
      </c>
      <c r="C132">
        <v>1</v>
      </c>
      <c r="D132">
        <v>13.208</v>
      </c>
    </row>
    <row r="133" spans="1:4" x14ac:dyDescent="0.25">
      <c r="A133">
        <f t="shared" si="2"/>
        <v>2035</v>
      </c>
      <c r="B133" t="s">
        <v>222</v>
      </c>
      <c r="C133">
        <v>2</v>
      </c>
      <c r="D133">
        <v>13.208</v>
      </c>
    </row>
    <row r="134" spans="1:4" x14ac:dyDescent="0.25">
      <c r="A134">
        <f t="shared" si="2"/>
        <v>2035</v>
      </c>
      <c r="B134" t="s">
        <v>222</v>
      </c>
      <c r="C134">
        <v>3</v>
      </c>
      <c r="D134">
        <v>13.208</v>
      </c>
    </row>
    <row r="135" spans="1:4" x14ac:dyDescent="0.25">
      <c r="A135">
        <f t="shared" si="2"/>
        <v>2035</v>
      </c>
      <c r="B135" t="s">
        <v>222</v>
      </c>
      <c r="C135">
        <v>4</v>
      </c>
      <c r="D135">
        <v>13.208</v>
      </c>
    </row>
    <row r="136" spans="1:4" x14ac:dyDescent="0.25">
      <c r="A136">
        <f t="shared" si="2"/>
        <v>2035</v>
      </c>
      <c r="B136" t="s">
        <v>222</v>
      </c>
      <c r="C136">
        <v>5</v>
      </c>
      <c r="D136">
        <v>13.208</v>
      </c>
    </row>
    <row r="137" spans="1:4" x14ac:dyDescent="0.25">
      <c r="A137">
        <f t="shared" si="2"/>
        <v>2035</v>
      </c>
      <c r="B137" t="s">
        <v>222</v>
      </c>
      <c r="C137">
        <v>6</v>
      </c>
      <c r="D137">
        <v>13.208</v>
      </c>
    </row>
    <row r="138" spans="1:4" x14ac:dyDescent="0.25">
      <c r="A138">
        <f t="shared" si="2"/>
        <v>2035</v>
      </c>
      <c r="B138" t="s">
        <v>222</v>
      </c>
      <c r="C138">
        <v>7</v>
      </c>
      <c r="D138">
        <v>13.208</v>
      </c>
    </row>
    <row r="139" spans="1:4" x14ac:dyDescent="0.25">
      <c r="A139">
        <f t="shared" si="2"/>
        <v>2035</v>
      </c>
      <c r="B139" t="s">
        <v>222</v>
      </c>
      <c r="C139">
        <v>8</v>
      </c>
      <c r="D139">
        <v>10.018000000000001</v>
      </c>
    </row>
    <row r="140" spans="1:4" x14ac:dyDescent="0.25">
      <c r="A140">
        <f t="shared" si="2"/>
        <v>2035</v>
      </c>
      <c r="B140" t="s">
        <v>222</v>
      </c>
      <c r="C140">
        <v>9</v>
      </c>
      <c r="D140">
        <v>16.398</v>
      </c>
    </row>
    <row r="141" spans="1:4" x14ac:dyDescent="0.25">
      <c r="A141">
        <f t="shared" si="2"/>
        <v>2035</v>
      </c>
      <c r="B141" t="s">
        <v>222</v>
      </c>
      <c r="C141">
        <v>10</v>
      </c>
      <c r="D141">
        <v>13.208</v>
      </c>
    </row>
    <row r="142" spans="1:4" x14ac:dyDescent="0.25">
      <c r="A142">
        <f t="shared" si="2"/>
        <v>2036</v>
      </c>
      <c r="B142" t="s">
        <v>223</v>
      </c>
      <c r="C142">
        <v>1</v>
      </c>
      <c r="D142">
        <v>12.750999999999999</v>
      </c>
    </row>
    <row r="143" spans="1:4" x14ac:dyDescent="0.25">
      <c r="A143">
        <f t="shared" si="2"/>
        <v>2036</v>
      </c>
      <c r="B143" t="s">
        <v>223</v>
      </c>
      <c r="C143">
        <v>2</v>
      </c>
      <c r="D143">
        <v>12.750999999999999</v>
      </c>
    </row>
    <row r="144" spans="1:4" x14ac:dyDescent="0.25">
      <c r="A144">
        <f t="shared" si="2"/>
        <v>2036</v>
      </c>
      <c r="B144" t="s">
        <v>223</v>
      </c>
      <c r="C144">
        <v>3</v>
      </c>
      <c r="D144">
        <v>12.750999999999999</v>
      </c>
    </row>
    <row r="145" spans="1:4" x14ac:dyDescent="0.25">
      <c r="A145">
        <f t="shared" si="2"/>
        <v>2036</v>
      </c>
      <c r="B145" t="s">
        <v>223</v>
      </c>
      <c r="C145">
        <v>4</v>
      </c>
      <c r="D145">
        <v>12.750999999999999</v>
      </c>
    </row>
    <row r="146" spans="1:4" x14ac:dyDescent="0.25">
      <c r="A146">
        <f t="shared" si="2"/>
        <v>2036</v>
      </c>
      <c r="B146" t="s">
        <v>223</v>
      </c>
      <c r="C146">
        <v>5</v>
      </c>
      <c r="D146">
        <v>12.750999999999999</v>
      </c>
    </row>
    <row r="147" spans="1:4" x14ac:dyDescent="0.25">
      <c r="A147">
        <f t="shared" si="2"/>
        <v>2036</v>
      </c>
      <c r="B147" t="s">
        <v>223</v>
      </c>
      <c r="C147">
        <v>6</v>
      </c>
      <c r="D147">
        <v>12.750999999999999</v>
      </c>
    </row>
    <row r="148" spans="1:4" x14ac:dyDescent="0.25">
      <c r="A148">
        <f t="shared" si="2"/>
        <v>2036</v>
      </c>
      <c r="B148" t="s">
        <v>223</v>
      </c>
      <c r="C148">
        <v>7</v>
      </c>
      <c r="D148">
        <v>12.750999999999999</v>
      </c>
    </row>
    <row r="149" spans="1:4" x14ac:dyDescent="0.25">
      <c r="A149">
        <f t="shared" si="2"/>
        <v>2036</v>
      </c>
      <c r="B149" t="s">
        <v>223</v>
      </c>
      <c r="C149">
        <v>8</v>
      </c>
      <c r="D149">
        <v>9.6479999999999997</v>
      </c>
    </row>
    <row r="150" spans="1:4" x14ac:dyDescent="0.25">
      <c r="A150">
        <f t="shared" si="2"/>
        <v>2036</v>
      </c>
      <c r="B150" t="s">
        <v>223</v>
      </c>
      <c r="C150">
        <v>9</v>
      </c>
      <c r="D150">
        <v>15.848000000000001</v>
      </c>
    </row>
    <row r="151" spans="1:4" x14ac:dyDescent="0.25">
      <c r="A151">
        <f t="shared" si="2"/>
        <v>2036</v>
      </c>
      <c r="B151" t="s">
        <v>223</v>
      </c>
      <c r="C151">
        <v>10</v>
      </c>
      <c r="D151">
        <v>12.750999999999999</v>
      </c>
    </row>
    <row r="152" spans="1:4" x14ac:dyDescent="0.25">
      <c r="A152">
        <f t="shared" si="2"/>
        <v>2037</v>
      </c>
      <c r="B152" t="s">
        <v>224</v>
      </c>
      <c r="C152">
        <v>1</v>
      </c>
      <c r="D152">
        <v>12.308</v>
      </c>
    </row>
    <row r="153" spans="1:4" x14ac:dyDescent="0.25">
      <c r="A153">
        <f t="shared" si="2"/>
        <v>2037</v>
      </c>
      <c r="B153" t="s">
        <v>224</v>
      </c>
      <c r="C153">
        <v>2</v>
      </c>
      <c r="D153">
        <v>12.308</v>
      </c>
    </row>
    <row r="154" spans="1:4" x14ac:dyDescent="0.25">
      <c r="A154">
        <f t="shared" si="2"/>
        <v>2037</v>
      </c>
      <c r="B154" t="s">
        <v>224</v>
      </c>
      <c r="C154">
        <v>3</v>
      </c>
      <c r="D154">
        <v>12.308</v>
      </c>
    </row>
    <row r="155" spans="1:4" x14ac:dyDescent="0.25">
      <c r="A155">
        <f t="shared" si="2"/>
        <v>2037</v>
      </c>
      <c r="B155" t="s">
        <v>224</v>
      </c>
      <c r="C155">
        <v>4</v>
      </c>
      <c r="D155">
        <v>12.308</v>
      </c>
    </row>
    <row r="156" spans="1:4" x14ac:dyDescent="0.25">
      <c r="A156">
        <f t="shared" si="2"/>
        <v>2037</v>
      </c>
      <c r="B156" t="s">
        <v>224</v>
      </c>
      <c r="C156">
        <v>5</v>
      </c>
      <c r="D156">
        <v>12.308</v>
      </c>
    </row>
    <row r="157" spans="1:4" x14ac:dyDescent="0.25">
      <c r="A157">
        <f t="shared" si="2"/>
        <v>2037</v>
      </c>
      <c r="B157" t="s">
        <v>224</v>
      </c>
      <c r="C157">
        <v>6</v>
      </c>
      <c r="D157">
        <v>12.308</v>
      </c>
    </row>
    <row r="158" spans="1:4" x14ac:dyDescent="0.25">
      <c r="A158">
        <f t="shared" si="2"/>
        <v>2037</v>
      </c>
      <c r="B158" t="s">
        <v>224</v>
      </c>
      <c r="C158">
        <v>7</v>
      </c>
      <c r="D158">
        <v>12.308</v>
      </c>
    </row>
    <row r="159" spans="1:4" x14ac:dyDescent="0.25">
      <c r="A159">
        <f t="shared" si="2"/>
        <v>2037</v>
      </c>
      <c r="B159" t="s">
        <v>224</v>
      </c>
      <c r="C159">
        <v>8</v>
      </c>
      <c r="D159">
        <v>9.2919999999999998</v>
      </c>
    </row>
    <row r="160" spans="1:4" x14ac:dyDescent="0.25">
      <c r="A160">
        <f t="shared" si="2"/>
        <v>2037</v>
      </c>
      <c r="B160" t="s">
        <v>224</v>
      </c>
      <c r="C160">
        <v>9</v>
      </c>
      <c r="D160">
        <v>15.321999999999999</v>
      </c>
    </row>
    <row r="161" spans="1:4" x14ac:dyDescent="0.25">
      <c r="A161">
        <f t="shared" si="2"/>
        <v>2037</v>
      </c>
      <c r="B161" t="s">
        <v>224</v>
      </c>
      <c r="C161">
        <v>10</v>
      </c>
      <c r="D161">
        <v>12.308</v>
      </c>
    </row>
    <row r="162" spans="1:4" x14ac:dyDescent="0.25">
      <c r="A162">
        <f t="shared" si="2"/>
        <v>2038</v>
      </c>
      <c r="B162" t="s">
        <v>225</v>
      </c>
      <c r="C162">
        <v>1</v>
      </c>
      <c r="D162">
        <v>11.874000000000001</v>
      </c>
    </row>
    <row r="163" spans="1:4" x14ac:dyDescent="0.25">
      <c r="A163">
        <f t="shared" si="2"/>
        <v>2038</v>
      </c>
      <c r="B163" t="s">
        <v>225</v>
      </c>
      <c r="C163">
        <v>2</v>
      </c>
      <c r="D163">
        <v>11.874000000000001</v>
      </c>
    </row>
    <row r="164" spans="1:4" x14ac:dyDescent="0.25">
      <c r="A164">
        <f t="shared" si="2"/>
        <v>2038</v>
      </c>
      <c r="B164" t="s">
        <v>225</v>
      </c>
      <c r="C164">
        <v>3</v>
      </c>
      <c r="D164">
        <v>11.874000000000001</v>
      </c>
    </row>
    <row r="165" spans="1:4" x14ac:dyDescent="0.25">
      <c r="A165">
        <f t="shared" si="2"/>
        <v>2038</v>
      </c>
      <c r="B165" t="s">
        <v>225</v>
      </c>
      <c r="C165">
        <v>4</v>
      </c>
      <c r="D165">
        <v>11.874000000000001</v>
      </c>
    </row>
    <row r="166" spans="1:4" x14ac:dyDescent="0.25">
      <c r="A166">
        <f t="shared" si="2"/>
        <v>2038</v>
      </c>
      <c r="B166" t="s">
        <v>225</v>
      </c>
      <c r="C166">
        <v>5</v>
      </c>
      <c r="D166">
        <v>11.874000000000001</v>
      </c>
    </row>
    <row r="167" spans="1:4" x14ac:dyDescent="0.25">
      <c r="A167">
        <f t="shared" si="2"/>
        <v>2038</v>
      </c>
      <c r="B167" t="s">
        <v>225</v>
      </c>
      <c r="C167">
        <v>6</v>
      </c>
      <c r="D167">
        <v>11.874000000000001</v>
      </c>
    </row>
    <row r="168" spans="1:4" x14ac:dyDescent="0.25">
      <c r="A168">
        <f t="shared" si="2"/>
        <v>2038</v>
      </c>
      <c r="B168" t="s">
        <v>225</v>
      </c>
      <c r="C168">
        <v>7</v>
      </c>
      <c r="D168">
        <v>11.874000000000001</v>
      </c>
    </row>
    <row r="169" spans="1:4" x14ac:dyDescent="0.25">
      <c r="A169">
        <f t="shared" si="2"/>
        <v>2038</v>
      </c>
      <c r="B169" t="s">
        <v>225</v>
      </c>
      <c r="C169">
        <v>8</v>
      </c>
      <c r="D169">
        <v>8.9550000000000001</v>
      </c>
    </row>
    <row r="170" spans="1:4" x14ac:dyDescent="0.25">
      <c r="A170">
        <f t="shared" si="2"/>
        <v>2038</v>
      </c>
      <c r="B170" t="s">
        <v>225</v>
      </c>
      <c r="C170">
        <v>9</v>
      </c>
      <c r="D170">
        <v>14.795</v>
      </c>
    </row>
    <row r="171" spans="1:4" x14ac:dyDescent="0.25">
      <c r="A171">
        <f t="shared" si="2"/>
        <v>2038</v>
      </c>
      <c r="B171" t="s">
        <v>225</v>
      </c>
      <c r="C171">
        <v>10</v>
      </c>
      <c r="D171">
        <v>11.874000000000001</v>
      </c>
    </row>
    <row r="172" spans="1:4" x14ac:dyDescent="0.25">
      <c r="A172">
        <f t="shared" si="2"/>
        <v>2039</v>
      </c>
      <c r="B172" t="s">
        <v>226</v>
      </c>
      <c r="C172">
        <v>1</v>
      </c>
      <c r="D172">
        <v>11.414</v>
      </c>
    </row>
    <row r="173" spans="1:4" x14ac:dyDescent="0.25">
      <c r="A173">
        <f t="shared" si="2"/>
        <v>2039</v>
      </c>
      <c r="B173" t="s">
        <v>226</v>
      </c>
      <c r="C173">
        <v>2</v>
      </c>
      <c r="D173">
        <v>11.414</v>
      </c>
    </row>
    <row r="174" spans="1:4" x14ac:dyDescent="0.25">
      <c r="A174">
        <f t="shared" si="2"/>
        <v>2039</v>
      </c>
      <c r="B174" t="s">
        <v>226</v>
      </c>
      <c r="C174">
        <v>3</v>
      </c>
      <c r="D174">
        <v>11.414</v>
      </c>
    </row>
    <row r="175" spans="1:4" x14ac:dyDescent="0.25">
      <c r="A175">
        <f t="shared" si="2"/>
        <v>2039</v>
      </c>
      <c r="B175" t="s">
        <v>226</v>
      </c>
      <c r="C175">
        <v>4</v>
      </c>
      <c r="D175">
        <v>11.414</v>
      </c>
    </row>
    <row r="176" spans="1:4" x14ac:dyDescent="0.25">
      <c r="A176">
        <f t="shared" si="2"/>
        <v>2039</v>
      </c>
      <c r="B176" t="s">
        <v>226</v>
      </c>
      <c r="C176">
        <v>5</v>
      </c>
      <c r="D176">
        <v>11.414</v>
      </c>
    </row>
    <row r="177" spans="1:4" x14ac:dyDescent="0.25">
      <c r="A177">
        <f t="shared" si="2"/>
        <v>2039</v>
      </c>
      <c r="B177" t="s">
        <v>226</v>
      </c>
      <c r="C177">
        <v>6</v>
      </c>
      <c r="D177">
        <v>11.414</v>
      </c>
    </row>
    <row r="178" spans="1:4" x14ac:dyDescent="0.25">
      <c r="A178">
        <f t="shared" si="2"/>
        <v>2039</v>
      </c>
      <c r="B178" t="s">
        <v>226</v>
      </c>
      <c r="C178">
        <v>7</v>
      </c>
      <c r="D178">
        <v>11.414</v>
      </c>
    </row>
    <row r="179" spans="1:4" x14ac:dyDescent="0.25">
      <c r="A179">
        <f t="shared" si="2"/>
        <v>2039</v>
      </c>
      <c r="B179" t="s">
        <v>226</v>
      </c>
      <c r="C179">
        <v>8</v>
      </c>
      <c r="D179">
        <v>8.5809999999999995</v>
      </c>
    </row>
    <row r="180" spans="1:4" x14ac:dyDescent="0.25">
      <c r="A180">
        <f t="shared" si="2"/>
        <v>2039</v>
      </c>
      <c r="B180" t="s">
        <v>226</v>
      </c>
      <c r="C180">
        <v>9</v>
      </c>
      <c r="D180">
        <v>14.250999999999999</v>
      </c>
    </row>
    <row r="181" spans="1:4" x14ac:dyDescent="0.25">
      <c r="A181">
        <f t="shared" si="2"/>
        <v>2039</v>
      </c>
      <c r="B181" t="s">
        <v>226</v>
      </c>
      <c r="C181">
        <v>10</v>
      </c>
      <c r="D181">
        <v>11.414</v>
      </c>
    </row>
    <row r="182" spans="1:4" x14ac:dyDescent="0.25">
      <c r="A182">
        <f t="shared" si="2"/>
        <v>2040</v>
      </c>
      <c r="B182" t="s">
        <v>227</v>
      </c>
      <c r="C182">
        <v>1</v>
      </c>
      <c r="D182">
        <v>10.836</v>
      </c>
    </row>
    <row r="183" spans="1:4" x14ac:dyDescent="0.25">
      <c r="A183">
        <f t="shared" si="2"/>
        <v>2040</v>
      </c>
      <c r="B183" t="s">
        <v>227</v>
      </c>
      <c r="C183">
        <v>2</v>
      </c>
      <c r="D183">
        <v>10.836</v>
      </c>
    </row>
    <row r="184" spans="1:4" x14ac:dyDescent="0.25">
      <c r="A184">
        <f t="shared" si="2"/>
        <v>2040</v>
      </c>
      <c r="B184" t="s">
        <v>227</v>
      </c>
      <c r="C184">
        <v>3</v>
      </c>
      <c r="D184">
        <v>10.836</v>
      </c>
    </row>
    <row r="185" spans="1:4" x14ac:dyDescent="0.25">
      <c r="A185">
        <f t="shared" si="2"/>
        <v>2040</v>
      </c>
      <c r="B185" t="s">
        <v>227</v>
      </c>
      <c r="C185">
        <v>4</v>
      </c>
      <c r="D185">
        <v>10.836</v>
      </c>
    </row>
    <row r="186" spans="1:4" x14ac:dyDescent="0.25">
      <c r="A186">
        <f t="shared" si="2"/>
        <v>2040</v>
      </c>
      <c r="B186" t="s">
        <v>227</v>
      </c>
      <c r="C186">
        <v>5</v>
      </c>
      <c r="D186">
        <v>10.836</v>
      </c>
    </row>
    <row r="187" spans="1:4" x14ac:dyDescent="0.25">
      <c r="A187">
        <f t="shared" si="2"/>
        <v>2040</v>
      </c>
      <c r="B187" t="s">
        <v>227</v>
      </c>
      <c r="C187">
        <v>6</v>
      </c>
      <c r="D187">
        <v>10.836</v>
      </c>
    </row>
    <row r="188" spans="1:4" x14ac:dyDescent="0.25">
      <c r="A188">
        <f t="shared" si="2"/>
        <v>2040</v>
      </c>
      <c r="B188" t="s">
        <v>227</v>
      </c>
      <c r="C188">
        <v>7</v>
      </c>
      <c r="D188">
        <v>10.836</v>
      </c>
    </row>
    <row r="189" spans="1:4" x14ac:dyDescent="0.25">
      <c r="A189">
        <f t="shared" si="2"/>
        <v>2040</v>
      </c>
      <c r="B189" t="s">
        <v>227</v>
      </c>
      <c r="C189">
        <v>8</v>
      </c>
      <c r="D189">
        <v>8.0909999999999993</v>
      </c>
    </row>
    <row r="190" spans="1:4" x14ac:dyDescent="0.25">
      <c r="A190">
        <f t="shared" si="2"/>
        <v>2040</v>
      </c>
      <c r="B190" t="s">
        <v>227</v>
      </c>
      <c r="C190">
        <v>9</v>
      </c>
      <c r="D190">
        <v>13.581</v>
      </c>
    </row>
    <row r="191" spans="1:4" x14ac:dyDescent="0.25">
      <c r="A191">
        <f t="shared" si="2"/>
        <v>2040</v>
      </c>
      <c r="B191" t="s">
        <v>227</v>
      </c>
      <c r="C191">
        <v>10</v>
      </c>
      <c r="D191">
        <v>10.836</v>
      </c>
    </row>
    <row r="192" spans="1:4" x14ac:dyDescent="0.25">
      <c r="A192">
        <f t="shared" si="2"/>
        <v>2041</v>
      </c>
      <c r="B192" t="s">
        <v>228</v>
      </c>
      <c r="C192">
        <v>1</v>
      </c>
      <c r="D192">
        <v>10.35</v>
      </c>
    </row>
    <row r="193" spans="1:4" x14ac:dyDescent="0.25">
      <c r="A193">
        <f t="shared" si="2"/>
        <v>2041</v>
      </c>
      <c r="B193" t="s">
        <v>228</v>
      </c>
      <c r="C193">
        <v>2</v>
      </c>
      <c r="D193">
        <v>10.35</v>
      </c>
    </row>
    <row r="194" spans="1:4" x14ac:dyDescent="0.25">
      <c r="A194">
        <f t="shared" si="2"/>
        <v>2041</v>
      </c>
      <c r="B194" t="s">
        <v>228</v>
      </c>
      <c r="C194">
        <v>3</v>
      </c>
      <c r="D194">
        <v>10.35</v>
      </c>
    </row>
    <row r="195" spans="1:4" x14ac:dyDescent="0.25">
      <c r="A195">
        <f t="shared" ref="A195:A258" si="3">VALUE(RIGHT(B195,4))</f>
        <v>2041</v>
      </c>
      <c r="B195" t="s">
        <v>228</v>
      </c>
      <c r="C195">
        <v>4</v>
      </c>
      <c r="D195">
        <v>10.35</v>
      </c>
    </row>
    <row r="196" spans="1:4" x14ac:dyDescent="0.25">
      <c r="A196">
        <f t="shared" si="3"/>
        <v>2041</v>
      </c>
      <c r="B196" t="s">
        <v>228</v>
      </c>
      <c r="C196">
        <v>5</v>
      </c>
      <c r="D196">
        <v>10.35</v>
      </c>
    </row>
    <row r="197" spans="1:4" x14ac:dyDescent="0.25">
      <c r="A197">
        <f t="shared" si="3"/>
        <v>2041</v>
      </c>
      <c r="B197" t="s">
        <v>228</v>
      </c>
      <c r="C197">
        <v>6</v>
      </c>
      <c r="D197">
        <v>10.35</v>
      </c>
    </row>
    <row r="198" spans="1:4" x14ac:dyDescent="0.25">
      <c r="A198">
        <f t="shared" si="3"/>
        <v>2041</v>
      </c>
      <c r="B198" t="s">
        <v>228</v>
      </c>
      <c r="C198">
        <v>7</v>
      </c>
      <c r="D198">
        <v>10.35</v>
      </c>
    </row>
    <row r="199" spans="1:4" x14ac:dyDescent="0.25">
      <c r="A199">
        <f t="shared" si="3"/>
        <v>2041</v>
      </c>
      <c r="B199" t="s">
        <v>228</v>
      </c>
      <c r="C199">
        <v>8</v>
      </c>
      <c r="D199">
        <v>7.6909999999999998</v>
      </c>
    </row>
    <row r="200" spans="1:4" x14ac:dyDescent="0.25">
      <c r="A200">
        <f t="shared" si="3"/>
        <v>2041</v>
      </c>
      <c r="B200" t="s">
        <v>228</v>
      </c>
      <c r="C200">
        <v>9</v>
      </c>
      <c r="D200">
        <v>13.010999999999999</v>
      </c>
    </row>
    <row r="201" spans="1:4" x14ac:dyDescent="0.25">
      <c r="A201">
        <f t="shared" si="3"/>
        <v>2041</v>
      </c>
      <c r="B201" t="s">
        <v>228</v>
      </c>
      <c r="C201">
        <v>10</v>
      </c>
      <c r="D201">
        <v>10.35</v>
      </c>
    </row>
    <row r="202" spans="1:4" x14ac:dyDescent="0.25">
      <c r="A202">
        <f t="shared" si="3"/>
        <v>2042</v>
      </c>
      <c r="B202" t="s">
        <v>229</v>
      </c>
      <c r="C202">
        <v>1</v>
      </c>
      <c r="D202">
        <v>9.8870000000000005</v>
      </c>
    </row>
    <row r="203" spans="1:4" x14ac:dyDescent="0.25">
      <c r="A203">
        <f t="shared" si="3"/>
        <v>2042</v>
      </c>
      <c r="B203" t="s">
        <v>229</v>
      </c>
      <c r="C203">
        <v>2</v>
      </c>
      <c r="D203">
        <v>9.8870000000000005</v>
      </c>
    </row>
    <row r="204" spans="1:4" x14ac:dyDescent="0.25">
      <c r="A204">
        <f t="shared" si="3"/>
        <v>2042</v>
      </c>
      <c r="B204" t="s">
        <v>229</v>
      </c>
      <c r="C204">
        <v>3</v>
      </c>
      <c r="D204">
        <v>9.8870000000000005</v>
      </c>
    </row>
    <row r="205" spans="1:4" x14ac:dyDescent="0.25">
      <c r="A205">
        <f t="shared" si="3"/>
        <v>2042</v>
      </c>
      <c r="B205" t="s">
        <v>229</v>
      </c>
      <c r="C205">
        <v>4</v>
      </c>
      <c r="D205">
        <v>9.8870000000000005</v>
      </c>
    </row>
    <row r="206" spans="1:4" x14ac:dyDescent="0.25">
      <c r="A206">
        <f t="shared" si="3"/>
        <v>2042</v>
      </c>
      <c r="B206" t="s">
        <v>229</v>
      </c>
      <c r="C206">
        <v>5</v>
      </c>
      <c r="D206">
        <v>9.8870000000000005</v>
      </c>
    </row>
    <row r="207" spans="1:4" x14ac:dyDescent="0.25">
      <c r="A207">
        <f t="shared" si="3"/>
        <v>2042</v>
      </c>
      <c r="B207" t="s">
        <v>229</v>
      </c>
      <c r="C207">
        <v>6</v>
      </c>
      <c r="D207">
        <v>9.8870000000000005</v>
      </c>
    </row>
    <row r="208" spans="1:4" x14ac:dyDescent="0.25">
      <c r="A208">
        <f t="shared" si="3"/>
        <v>2042</v>
      </c>
      <c r="B208" t="s">
        <v>229</v>
      </c>
      <c r="C208">
        <v>7</v>
      </c>
      <c r="D208">
        <v>9.8870000000000005</v>
      </c>
    </row>
    <row r="209" spans="1:4" x14ac:dyDescent="0.25">
      <c r="A209">
        <f t="shared" si="3"/>
        <v>2042</v>
      </c>
      <c r="B209" t="s">
        <v>229</v>
      </c>
      <c r="C209">
        <v>8</v>
      </c>
      <c r="D209">
        <v>7.3150000000000004</v>
      </c>
    </row>
    <row r="210" spans="1:4" x14ac:dyDescent="0.25">
      <c r="A210">
        <f t="shared" si="3"/>
        <v>2042</v>
      </c>
      <c r="B210" t="s">
        <v>229</v>
      </c>
      <c r="C210">
        <v>9</v>
      </c>
      <c r="D210">
        <v>12.465</v>
      </c>
    </row>
    <row r="211" spans="1:4" x14ac:dyDescent="0.25">
      <c r="A211">
        <f t="shared" si="3"/>
        <v>2042</v>
      </c>
      <c r="B211" t="s">
        <v>229</v>
      </c>
      <c r="C211">
        <v>10</v>
      </c>
      <c r="D211">
        <v>9.8870000000000005</v>
      </c>
    </row>
    <row r="212" spans="1:4" x14ac:dyDescent="0.25">
      <c r="A212">
        <f t="shared" si="3"/>
        <v>2043</v>
      </c>
      <c r="B212" t="s">
        <v>230</v>
      </c>
      <c r="C212">
        <v>1</v>
      </c>
      <c r="D212">
        <v>9.3360000000000003</v>
      </c>
    </row>
    <row r="213" spans="1:4" x14ac:dyDescent="0.25">
      <c r="A213">
        <f t="shared" si="3"/>
        <v>2043</v>
      </c>
      <c r="B213" t="s">
        <v>230</v>
      </c>
      <c r="C213">
        <v>2</v>
      </c>
      <c r="D213">
        <v>9.3360000000000003</v>
      </c>
    </row>
    <row r="214" spans="1:4" x14ac:dyDescent="0.25">
      <c r="A214">
        <f t="shared" si="3"/>
        <v>2043</v>
      </c>
      <c r="B214" t="s">
        <v>230</v>
      </c>
      <c r="C214">
        <v>3</v>
      </c>
      <c r="D214">
        <v>9.3360000000000003</v>
      </c>
    </row>
    <row r="215" spans="1:4" x14ac:dyDescent="0.25">
      <c r="A215">
        <f t="shared" si="3"/>
        <v>2043</v>
      </c>
      <c r="B215" t="s">
        <v>230</v>
      </c>
      <c r="C215">
        <v>4</v>
      </c>
      <c r="D215">
        <v>9.3360000000000003</v>
      </c>
    </row>
    <row r="216" spans="1:4" x14ac:dyDescent="0.25">
      <c r="A216">
        <f t="shared" si="3"/>
        <v>2043</v>
      </c>
      <c r="B216" t="s">
        <v>230</v>
      </c>
      <c r="C216">
        <v>5</v>
      </c>
      <c r="D216">
        <v>9.3360000000000003</v>
      </c>
    </row>
    <row r="217" spans="1:4" x14ac:dyDescent="0.25">
      <c r="A217">
        <f t="shared" si="3"/>
        <v>2043</v>
      </c>
      <c r="B217" t="s">
        <v>230</v>
      </c>
      <c r="C217">
        <v>6</v>
      </c>
      <c r="D217">
        <v>9.3360000000000003</v>
      </c>
    </row>
    <row r="218" spans="1:4" x14ac:dyDescent="0.25">
      <c r="A218">
        <f t="shared" si="3"/>
        <v>2043</v>
      </c>
      <c r="B218" t="s">
        <v>230</v>
      </c>
      <c r="C218">
        <v>7</v>
      </c>
      <c r="D218">
        <v>9.3360000000000003</v>
      </c>
    </row>
    <row r="219" spans="1:4" x14ac:dyDescent="0.25">
      <c r="A219">
        <f t="shared" si="3"/>
        <v>2043</v>
      </c>
      <c r="B219" t="s">
        <v>230</v>
      </c>
      <c r="C219">
        <v>8</v>
      </c>
      <c r="D219">
        <v>6.85</v>
      </c>
    </row>
    <row r="220" spans="1:4" x14ac:dyDescent="0.25">
      <c r="A220">
        <f t="shared" si="3"/>
        <v>2043</v>
      </c>
      <c r="B220" t="s">
        <v>230</v>
      </c>
      <c r="C220">
        <v>9</v>
      </c>
      <c r="D220">
        <v>11.82</v>
      </c>
    </row>
    <row r="221" spans="1:4" x14ac:dyDescent="0.25">
      <c r="A221">
        <f t="shared" si="3"/>
        <v>2043</v>
      </c>
      <c r="B221" t="s">
        <v>230</v>
      </c>
      <c r="C221">
        <v>10</v>
      </c>
      <c r="D221">
        <v>9.3360000000000003</v>
      </c>
    </row>
    <row r="222" spans="1:4" x14ac:dyDescent="0.25">
      <c r="A222">
        <f t="shared" si="3"/>
        <v>2044</v>
      </c>
      <c r="B222" t="s">
        <v>231</v>
      </c>
      <c r="C222">
        <v>1</v>
      </c>
      <c r="D222">
        <v>8.8710000000000004</v>
      </c>
    </row>
    <row r="223" spans="1:4" x14ac:dyDescent="0.25">
      <c r="A223">
        <f t="shared" si="3"/>
        <v>2044</v>
      </c>
      <c r="B223" t="s">
        <v>231</v>
      </c>
      <c r="C223">
        <v>2</v>
      </c>
      <c r="D223">
        <v>8.8710000000000004</v>
      </c>
    </row>
    <row r="224" spans="1:4" x14ac:dyDescent="0.25">
      <c r="A224">
        <f t="shared" si="3"/>
        <v>2044</v>
      </c>
      <c r="B224" t="s">
        <v>231</v>
      </c>
      <c r="C224">
        <v>3</v>
      </c>
      <c r="D224">
        <v>8.8710000000000004</v>
      </c>
    </row>
    <row r="225" spans="1:4" x14ac:dyDescent="0.25">
      <c r="A225">
        <f t="shared" si="3"/>
        <v>2044</v>
      </c>
      <c r="B225" t="s">
        <v>231</v>
      </c>
      <c r="C225">
        <v>4</v>
      </c>
      <c r="D225">
        <v>8.8710000000000004</v>
      </c>
    </row>
    <row r="226" spans="1:4" x14ac:dyDescent="0.25">
      <c r="A226">
        <f t="shared" si="3"/>
        <v>2044</v>
      </c>
      <c r="B226" t="s">
        <v>231</v>
      </c>
      <c r="C226">
        <v>5</v>
      </c>
      <c r="D226">
        <v>8.8710000000000004</v>
      </c>
    </row>
    <row r="227" spans="1:4" x14ac:dyDescent="0.25">
      <c r="A227">
        <f t="shared" si="3"/>
        <v>2044</v>
      </c>
      <c r="B227" t="s">
        <v>231</v>
      </c>
      <c r="C227">
        <v>6</v>
      </c>
      <c r="D227">
        <v>8.8710000000000004</v>
      </c>
    </row>
    <row r="228" spans="1:4" x14ac:dyDescent="0.25">
      <c r="A228">
        <f t="shared" si="3"/>
        <v>2044</v>
      </c>
      <c r="B228" t="s">
        <v>231</v>
      </c>
      <c r="C228">
        <v>7</v>
      </c>
      <c r="D228">
        <v>8.8710000000000004</v>
      </c>
    </row>
    <row r="229" spans="1:4" x14ac:dyDescent="0.25">
      <c r="A229">
        <f t="shared" si="3"/>
        <v>2044</v>
      </c>
      <c r="B229" t="s">
        <v>231</v>
      </c>
      <c r="C229">
        <v>8</v>
      </c>
      <c r="D229">
        <v>6.4729999999999999</v>
      </c>
    </row>
    <row r="230" spans="1:4" x14ac:dyDescent="0.25">
      <c r="A230">
        <f t="shared" si="3"/>
        <v>2044</v>
      </c>
      <c r="B230" t="s">
        <v>231</v>
      </c>
      <c r="C230">
        <v>9</v>
      </c>
      <c r="D230">
        <v>11.273</v>
      </c>
    </row>
    <row r="231" spans="1:4" x14ac:dyDescent="0.25">
      <c r="A231">
        <f t="shared" si="3"/>
        <v>2044</v>
      </c>
      <c r="B231" t="s">
        <v>231</v>
      </c>
      <c r="C231">
        <v>10</v>
      </c>
      <c r="D231">
        <v>8.8710000000000004</v>
      </c>
    </row>
    <row r="232" spans="1:4" x14ac:dyDescent="0.25">
      <c r="A232">
        <f t="shared" si="3"/>
        <v>2045</v>
      </c>
      <c r="B232" t="s">
        <v>232</v>
      </c>
      <c r="C232">
        <v>1</v>
      </c>
      <c r="D232">
        <v>8.2829999999999995</v>
      </c>
    </row>
    <row r="233" spans="1:4" x14ac:dyDescent="0.25">
      <c r="A233">
        <f t="shared" si="3"/>
        <v>2045</v>
      </c>
      <c r="B233" t="s">
        <v>232</v>
      </c>
      <c r="C233">
        <v>2</v>
      </c>
      <c r="D233">
        <v>8.2829999999999995</v>
      </c>
    </row>
    <row r="234" spans="1:4" x14ac:dyDescent="0.25">
      <c r="A234">
        <f t="shared" si="3"/>
        <v>2045</v>
      </c>
      <c r="B234" t="s">
        <v>232</v>
      </c>
      <c r="C234">
        <v>3</v>
      </c>
      <c r="D234">
        <v>8.2829999999999995</v>
      </c>
    </row>
    <row r="235" spans="1:4" x14ac:dyDescent="0.25">
      <c r="A235">
        <f t="shared" si="3"/>
        <v>2045</v>
      </c>
      <c r="B235" t="s">
        <v>232</v>
      </c>
      <c r="C235">
        <v>4</v>
      </c>
      <c r="D235">
        <v>8.2829999999999995</v>
      </c>
    </row>
    <row r="236" spans="1:4" x14ac:dyDescent="0.25">
      <c r="A236">
        <f t="shared" si="3"/>
        <v>2045</v>
      </c>
      <c r="B236" t="s">
        <v>232</v>
      </c>
      <c r="C236">
        <v>5</v>
      </c>
      <c r="D236">
        <v>8.2829999999999995</v>
      </c>
    </row>
    <row r="237" spans="1:4" x14ac:dyDescent="0.25">
      <c r="A237">
        <f t="shared" si="3"/>
        <v>2045</v>
      </c>
      <c r="B237" t="s">
        <v>232</v>
      </c>
      <c r="C237">
        <v>6</v>
      </c>
      <c r="D237">
        <v>8.2829999999999995</v>
      </c>
    </row>
    <row r="238" spans="1:4" x14ac:dyDescent="0.25">
      <c r="A238">
        <f t="shared" si="3"/>
        <v>2045</v>
      </c>
      <c r="B238" t="s">
        <v>232</v>
      </c>
      <c r="C238">
        <v>7</v>
      </c>
      <c r="D238">
        <v>8.2829999999999995</v>
      </c>
    </row>
    <row r="239" spans="1:4" x14ac:dyDescent="0.25">
      <c r="A239">
        <f t="shared" si="3"/>
        <v>2045</v>
      </c>
      <c r="B239" t="s">
        <v>232</v>
      </c>
      <c r="C239">
        <v>8</v>
      </c>
      <c r="D239">
        <v>5.9720000000000004</v>
      </c>
    </row>
    <row r="240" spans="1:4" x14ac:dyDescent="0.25">
      <c r="A240">
        <f t="shared" si="3"/>
        <v>2045</v>
      </c>
      <c r="B240" t="s">
        <v>232</v>
      </c>
      <c r="C240">
        <v>9</v>
      </c>
      <c r="D240">
        <v>10.592000000000001</v>
      </c>
    </row>
    <row r="241" spans="1:4" x14ac:dyDescent="0.25">
      <c r="A241">
        <f t="shared" si="3"/>
        <v>2045</v>
      </c>
      <c r="B241" t="s">
        <v>232</v>
      </c>
      <c r="C241">
        <v>10</v>
      </c>
      <c r="D241">
        <v>8.2829999999999995</v>
      </c>
    </row>
    <row r="242" spans="1:4" x14ac:dyDescent="0.25">
      <c r="A242">
        <f t="shared" si="3"/>
        <v>2046</v>
      </c>
      <c r="B242" t="s">
        <v>233</v>
      </c>
      <c r="C242">
        <v>1</v>
      </c>
      <c r="D242">
        <v>7.7060000000000004</v>
      </c>
    </row>
    <row r="243" spans="1:4" x14ac:dyDescent="0.25">
      <c r="A243">
        <f t="shared" si="3"/>
        <v>2046</v>
      </c>
      <c r="B243" t="s">
        <v>233</v>
      </c>
      <c r="C243">
        <v>2</v>
      </c>
      <c r="D243">
        <v>7.7060000000000004</v>
      </c>
    </row>
    <row r="244" spans="1:4" x14ac:dyDescent="0.25">
      <c r="A244">
        <f t="shared" si="3"/>
        <v>2046</v>
      </c>
      <c r="B244" t="s">
        <v>233</v>
      </c>
      <c r="C244">
        <v>3</v>
      </c>
      <c r="D244">
        <v>7.7060000000000004</v>
      </c>
    </row>
    <row r="245" spans="1:4" x14ac:dyDescent="0.25">
      <c r="A245">
        <f t="shared" si="3"/>
        <v>2046</v>
      </c>
      <c r="B245" t="s">
        <v>233</v>
      </c>
      <c r="C245">
        <v>4</v>
      </c>
      <c r="D245">
        <v>7.7060000000000004</v>
      </c>
    </row>
    <row r="246" spans="1:4" x14ac:dyDescent="0.25">
      <c r="A246">
        <f t="shared" si="3"/>
        <v>2046</v>
      </c>
      <c r="B246" t="s">
        <v>233</v>
      </c>
      <c r="C246">
        <v>5</v>
      </c>
      <c r="D246">
        <v>7.7060000000000004</v>
      </c>
    </row>
    <row r="247" spans="1:4" x14ac:dyDescent="0.25">
      <c r="A247">
        <f t="shared" si="3"/>
        <v>2046</v>
      </c>
      <c r="B247" t="s">
        <v>233</v>
      </c>
      <c r="C247">
        <v>6</v>
      </c>
      <c r="D247">
        <v>7.7060000000000004</v>
      </c>
    </row>
    <row r="248" spans="1:4" x14ac:dyDescent="0.25">
      <c r="A248">
        <f t="shared" si="3"/>
        <v>2046</v>
      </c>
      <c r="B248" t="s">
        <v>233</v>
      </c>
      <c r="C248">
        <v>7</v>
      </c>
      <c r="D248">
        <v>7.7060000000000004</v>
      </c>
    </row>
    <row r="249" spans="1:4" x14ac:dyDescent="0.25">
      <c r="A249">
        <f t="shared" si="3"/>
        <v>2046</v>
      </c>
      <c r="B249" t="s">
        <v>233</v>
      </c>
      <c r="C249">
        <v>8</v>
      </c>
      <c r="D249">
        <v>5.4809999999999999</v>
      </c>
    </row>
    <row r="250" spans="1:4" x14ac:dyDescent="0.25">
      <c r="A250">
        <f t="shared" si="3"/>
        <v>2046</v>
      </c>
      <c r="B250" t="s">
        <v>233</v>
      </c>
      <c r="C250">
        <v>9</v>
      </c>
      <c r="D250">
        <v>9.9309999999999992</v>
      </c>
    </row>
    <row r="251" spans="1:4" x14ac:dyDescent="0.25">
      <c r="A251">
        <f t="shared" si="3"/>
        <v>2046</v>
      </c>
      <c r="B251" t="s">
        <v>233</v>
      </c>
      <c r="C251">
        <v>10</v>
      </c>
      <c r="D251">
        <v>7.7060000000000004</v>
      </c>
    </row>
    <row r="252" spans="1:4" x14ac:dyDescent="0.25">
      <c r="A252">
        <f t="shared" si="3"/>
        <v>2047</v>
      </c>
      <c r="B252" t="s">
        <v>234</v>
      </c>
      <c r="C252">
        <v>1</v>
      </c>
      <c r="D252">
        <v>7.2619999999999996</v>
      </c>
    </row>
    <row r="253" spans="1:4" x14ac:dyDescent="0.25">
      <c r="A253">
        <f t="shared" si="3"/>
        <v>2047</v>
      </c>
      <c r="B253" t="s">
        <v>234</v>
      </c>
      <c r="C253">
        <v>2</v>
      </c>
      <c r="D253">
        <v>7.2619999999999996</v>
      </c>
    </row>
    <row r="254" spans="1:4" x14ac:dyDescent="0.25">
      <c r="A254">
        <f t="shared" si="3"/>
        <v>2047</v>
      </c>
      <c r="B254" t="s">
        <v>234</v>
      </c>
      <c r="C254">
        <v>3</v>
      </c>
      <c r="D254">
        <v>7.2619999999999996</v>
      </c>
    </row>
    <row r="255" spans="1:4" x14ac:dyDescent="0.25">
      <c r="A255">
        <f t="shared" si="3"/>
        <v>2047</v>
      </c>
      <c r="B255" t="s">
        <v>234</v>
      </c>
      <c r="C255">
        <v>4</v>
      </c>
      <c r="D255">
        <v>7.2619999999999996</v>
      </c>
    </row>
    <row r="256" spans="1:4" x14ac:dyDescent="0.25">
      <c r="A256">
        <f t="shared" si="3"/>
        <v>2047</v>
      </c>
      <c r="B256" t="s">
        <v>234</v>
      </c>
      <c r="C256">
        <v>5</v>
      </c>
      <c r="D256">
        <v>7.2619999999999996</v>
      </c>
    </row>
    <row r="257" spans="1:4" x14ac:dyDescent="0.25">
      <c r="A257">
        <f t="shared" si="3"/>
        <v>2047</v>
      </c>
      <c r="B257" t="s">
        <v>234</v>
      </c>
      <c r="C257">
        <v>6</v>
      </c>
      <c r="D257">
        <v>7.2619999999999996</v>
      </c>
    </row>
    <row r="258" spans="1:4" x14ac:dyDescent="0.25">
      <c r="A258">
        <f t="shared" si="3"/>
        <v>2047</v>
      </c>
      <c r="B258" t="s">
        <v>234</v>
      </c>
      <c r="C258">
        <v>7</v>
      </c>
      <c r="D258">
        <v>7.2619999999999996</v>
      </c>
    </row>
    <row r="259" spans="1:4" x14ac:dyDescent="0.25">
      <c r="A259">
        <f t="shared" ref="A259:A301" si="4">VALUE(RIGHT(B259,4))</f>
        <v>2047</v>
      </c>
      <c r="B259" t="s">
        <v>234</v>
      </c>
      <c r="C259">
        <v>8</v>
      </c>
      <c r="D259">
        <v>5.1239999999999997</v>
      </c>
    </row>
    <row r="260" spans="1:4" x14ac:dyDescent="0.25">
      <c r="A260">
        <f t="shared" si="4"/>
        <v>2047</v>
      </c>
      <c r="B260" t="s">
        <v>234</v>
      </c>
      <c r="C260">
        <v>9</v>
      </c>
      <c r="D260">
        <v>9.4039999999999999</v>
      </c>
    </row>
    <row r="261" spans="1:4" x14ac:dyDescent="0.25">
      <c r="A261">
        <f t="shared" si="4"/>
        <v>2047</v>
      </c>
      <c r="B261" t="s">
        <v>234</v>
      </c>
      <c r="C261">
        <v>10</v>
      </c>
      <c r="D261">
        <v>7.2619999999999996</v>
      </c>
    </row>
    <row r="262" spans="1:4" x14ac:dyDescent="0.25">
      <c r="A262">
        <f t="shared" si="4"/>
        <v>2048</v>
      </c>
      <c r="B262" t="s">
        <v>235</v>
      </c>
      <c r="C262">
        <v>1</v>
      </c>
      <c r="D262">
        <v>6.8239999999999998</v>
      </c>
    </row>
    <row r="263" spans="1:4" x14ac:dyDescent="0.25">
      <c r="A263">
        <f t="shared" si="4"/>
        <v>2048</v>
      </c>
      <c r="B263" t="s">
        <v>235</v>
      </c>
      <c r="C263">
        <v>2</v>
      </c>
      <c r="D263">
        <v>6.8239999999999998</v>
      </c>
    </row>
    <row r="264" spans="1:4" x14ac:dyDescent="0.25">
      <c r="A264">
        <f t="shared" si="4"/>
        <v>2048</v>
      </c>
      <c r="B264" t="s">
        <v>235</v>
      </c>
      <c r="C264">
        <v>3</v>
      </c>
      <c r="D264">
        <v>6.8239999999999998</v>
      </c>
    </row>
    <row r="265" spans="1:4" x14ac:dyDescent="0.25">
      <c r="A265">
        <f t="shared" si="4"/>
        <v>2048</v>
      </c>
      <c r="B265" t="s">
        <v>235</v>
      </c>
      <c r="C265">
        <v>4</v>
      </c>
      <c r="D265">
        <v>6.8239999999999998</v>
      </c>
    </row>
    <row r="266" spans="1:4" x14ac:dyDescent="0.25">
      <c r="A266">
        <f t="shared" si="4"/>
        <v>2048</v>
      </c>
      <c r="B266" t="s">
        <v>235</v>
      </c>
      <c r="C266">
        <v>5</v>
      </c>
      <c r="D266">
        <v>6.8239999999999998</v>
      </c>
    </row>
    <row r="267" spans="1:4" x14ac:dyDescent="0.25">
      <c r="A267">
        <f t="shared" si="4"/>
        <v>2048</v>
      </c>
      <c r="B267" t="s">
        <v>235</v>
      </c>
      <c r="C267">
        <v>6</v>
      </c>
      <c r="D267">
        <v>6.8239999999999998</v>
      </c>
    </row>
    <row r="268" spans="1:4" x14ac:dyDescent="0.25">
      <c r="A268">
        <f t="shared" si="4"/>
        <v>2048</v>
      </c>
      <c r="B268" t="s">
        <v>235</v>
      </c>
      <c r="C268">
        <v>7</v>
      </c>
      <c r="D268">
        <v>6.8239999999999998</v>
      </c>
    </row>
    <row r="269" spans="1:4" x14ac:dyDescent="0.25">
      <c r="A269">
        <f t="shared" si="4"/>
        <v>2048</v>
      </c>
      <c r="B269" t="s">
        <v>235</v>
      </c>
      <c r="C269">
        <v>8</v>
      </c>
      <c r="D269">
        <v>4.7729999999999997</v>
      </c>
    </row>
    <row r="270" spans="1:4" x14ac:dyDescent="0.25">
      <c r="A270">
        <f t="shared" si="4"/>
        <v>2048</v>
      </c>
      <c r="B270" t="s">
        <v>235</v>
      </c>
      <c r="C270">
        <v>9</v>
      </c>
      <c r="D270">
        <v>8.8729999999999993</v>
      </c>
    </row>
    <row r="271" spans="1:4" x14ac:dyDescent="0.25">
      <c r="A271">
        <f t="shared" si="4"/>
        <v>2048</v>
      </c>
      <c r="B271" t="s">
        <v>235</v>
      </c>
      <c r="C271">
        <v>10</v>
      </c>
      <c r="D271">
        <v>6.8239999999999998</v>
      </c>
    </row>
    <row r="272" spans="1:4" x14ac:dyDescent="0.25">
      <c r="A272">
        <f t="shared" si="4"/>
        <v>2049</v>
      </c>
      <c r="B272" t="s">
        <v>236</v>
      </c>
      <c r="C272">
        <v>1</v>
      </c>
      <c r="D272">
        <v>6.3360000000000003</v>
      </c>
    </row>
    <row r="273" spans="1:4" x14ac:dyDescent="0.25">
      <c r="A273">
        <f t="shared" si="4"/>
        <v>2049</v>
      </c>
      <c r="B273" t="s">
        <v>236</v>
      </c>
      <c r="C273">
        <v>2</v>
      </c>
      <c r="D273">
        <v>6.3360000000000003</v>
      </c>
    </row>
    <row r="274" spans="1:4" x14ac:dyDescent="0.25">
      <c r="A274">
        <f t="shared" si="4"/>
        <v>2049</v>
      </c>
      <c r="B274" t="s">
        <v>236</v>
      </c>
      <c r="C274">
        <v>3</v>
      </c>
      <c r="D274">
        <v>6.3360000000000003</v>
      </c>
    </row>
    <row r="275" spans="1:4" x14ac:dyDescent="0.25">
      <c r="A275">
        <f t="shared" si="4"/>
        <v>2049</v>
      </c>
      <c r="B275" t="s">
        <v>236</v>
      </c>
      <c r="C275">
        <v>4</v>
      </c>
      <c r="D275">
        <v>6.3360000000000003</v>
      </c>
    </row>
    <row r="276" spans="1:4" x14ac:dyDescent="0.25">
      <c r="A276">
        <f t="shared" si="4"/>
        <v>2049</v>
      </c>
      <c r="B276" t="s">
        <v>236</v>
      </c>
      <c r="C276">
        <v>5</v>
      </c>
      <c r="D276">
        <v>6.3360000000000003</v>
      </c>
    </row>
    <row r="277" spans="1:4" x14ac:dyDescent="0.25">
      <c r="A277">
        <f t="shared" si="4"/>
        <v>2049</v>
      </c>
      <c r="B277" t="s">
        <v>236</v>
      </c>
      <c r="C277">
        <v>6</v>
      </c>
      <c r="D277">
        <v>6.3360000000000003</v>
      </c>
    </row>
    <row r="278" spans="1:4" x14ac:dyDescent="0.25">
      <c r="A278">
        <f t="shared" si="4"/>
        <v>2049</v>
      </c>
      <c r="B278" t="s">
        <v>236</v>
      </c>
      <c r="C278">
        <v>7</v>
      </c>
      <c r="D278">
        <v>6.3360000000000003</v>
      </c>
    </row>
    <row r="279" spans="1:4" x14ac:dyDescent="0.25">
      <c r="A279">
        <f t="shared" si="4"/>
        <v>2049</v>
      </c>
      <c r="B279" t="s">
        <v>236</v>
      </c>
      <c r="C279">
        <v>8</v>
      </c>
      <c r="D279">
        <v>4.3719999999999999</v>
      </c>
    </row>
    <row r="280" spans="1:4" x14ac:dyDescent="0.25">
      <c r="A280">
        <f t="shared" si="4"/>
        <v>2049</v>
      </c>
      <c r="B280" t="s">
        <v>236</v>
      </c>
      <c r="C280">
        <v>9</v>
      </c>
      <c r="D280">
        <v>8.3019999999999996</v>
      </c>
    </row>
    <row r="281" spans="1:4" x14ac:dyDescent="0.25">
      <c r="A281">
        <f t="shared" si="4"/>
        <v>2049</v>
      </c>
      <c r="B281" t="s">
        <v>236</v>
      </c>
      <c r="C281">
        <v>10</v>
      </c>
      <c r="D281">
        <v>6.3360000000000003</v>
      </c>
    </row>
    <row r="282" spans="1:4" x14ac:dyDescent="0.25">
      <c r="A282">
        <f t="shared" si="4"/>
        <v>2050</v>
      </c>
      <c r="B282" t="s">
        <v>237</v>
      </c>
      <c r="C282">
        <v>1</v>
      </c>
      <c r="D282">
        <v>5.8319999999999999</v>
      </c>
    </row>
    <row r="283" spans="1:4" x14ac:dyDescent="0.25">
      <c r="A283">
        <f t="shared" si="4"/>
        <v>2050</v>
      </c>
      <c r="B283" t="s">
        <v>237</v>
      </c>
      <c r="C283">
        <v>2</v>
      </c>
      <c r="D283">
        <v>5.8319999999999999</v>
      </c>
    </row>
    <row r="284" spans="1:4" x14ac:dyDescent="0.25">
      <c r="A284">
        <f t="shared" si="4"/>
        <v>2050</v>
      </c>
      <c r="B284" t="s">
        <v>237</v>
      </c>
      <c r="C284">
        <v>3</v>
      </c>
      <c r="D284">
        <v>5.8319999999999999</v>
      </c>
    </row>
    <row r="285" spans="1:4" x14ac:dyDescent="0.25">
      <c r="A285">
        <f t="shared" si="4"/>
        <v>2050</v>
      </c>
      <c r="B285" t="s">
        <v>237</v>
      </c>
      <c r="C285">
        <v>4</v>
      </c>
      <c r="D285">
        <v>5.8319999999999999</v>
      </c>
    </row>
    <row r="286" spans="1:4" x14ac:dyDescent="0.25">
      <c r="A286">
        <f t="shared" si="4"/>
        <v>2050</v>
      </c>
      <c r="B286" t="s">
        <v>237</v>
      </c>
      <c r="C286">
        <v>5</v>
      </c>
      <c r="D286">
        <v>5.8319999999999999</v>
      </c>
    </row>
    <row r="287" spans="1:4" x14ac:dyDescent="0.25">
      <c r="A287">
        <f t="shared" si="4"/>
        <v>2050</v>
      </c>
      <c r="B287" t="s">
        <v>237</v>
      </c>
      <c r="C287">
        <v>6</v>
      </c>
      <c r="D287">
        <v>5.8319999999999999</v>
      </c>
    </row>
    <row r="288" spans="1:4" x14ac:dyDescent="0.25">
      <c r="A288">
        <f t="shared" si="4"/>
        <v>2050</v>
      </c>
      <c r="B288" t="s">
        <v>237</v>
      </c>
      <c r="C288">
        <v>7</v>
      </c>
      <c r="D288">
        <v>5.8319999999999999</v>
      </c>
    </row>
    <row r="289" spans="1:4" x14ac:dyDescent="0.25">
      <c r="A289">
        <f t="shared" si="4"/>
        <v>2050</v>
      </c>
      <c r="B289" t="s">
        <v>237</v>
      </c>
      <c r="C289">
        <v>8</v>
      </c>
      <c r="D289">
        <v>3.9550000000000001</v>
      </c>
    </row>
    <row r="290" spans="1:4" x14ac:dyDescent="0.25">
      <c r="A290">
        <f t="shared" si="4"/>
        <v>2050</v>
      </c>
      <c r="B290" t="s">
        <v>237</v>
      </c>
      <c r="C290">
        <v>9</v>
      </c>
      <c r="D290">
        <v>7.7050000000000001</v>
      </c>
    </row>
    <row r="291" spans="1:4" x14ac:dyDescent="0.25">
      <c r="A291">
        <f t="shared" si="4"/>
        <v>2050</v>
      </c>
      <c r="B291" t="s">
        <v>237</v>
      </c>
      <c r="C291">
        <v>10</v>
      </c>
      <c r="D291">
        <v>5.8319999999999999</v>
      </c>
    </row>
    <row r="292" spans="1:4" x14ac:dyDescent="0.25">
      <c r="A292">
        <f t="shared" si="4"/>
        <v>2051</v>
      </c>
      <c r="B292" t="s">
        <v>238</v>
      </c>
      <c r="C292">
        <v>1</v>
      </c>
      <c r="D292">
        <v>5.8319999999999999</v>
      </c>
    </row>
    <row r="293" spans="1:4" x14ac:dyDescent="0.25">
      <c r="A293">
        <f t="shared" si="4"/>
        <v>2051</v>
      </c>
      <c r="B293" t="s">
        <v>238</v>
      </c>
      <c r="C293">
        <v>2</v>
      </c>
      <c r="D293">
        <v>5.8319999999999999</v>
      </c>
    </row>
    <row r="294" spans="1:4" x14ac:dyDescent="0.25">
      <c r="A294">
        <f t="shared" si="4"/>
        <v>2051</v>
      </c>
      <c r="B294" t="s">
        <v>238</v>
      </c>
      <c r="C294">
        <v>3</v>
      </c>
      <c r="D294">
        <v>5.8319999999999999</v>
      </c>
    </row>
    <row r="295" spans="1:4" x14ac:dyDescent="0.25">
      <c r="A295">
        <f t="shared" si="4"/>
        <v>2051</v>
      </c>
      <c r="B295" t="s">
        <v>238</v>
      </c>
      <c r="C295">
        <v>4</v>
      </c>
      <c r="D295">
        <v>5.8319999999999999</v>
      </c>
    </row>
    <row r="296" spans="1:4" x14ac:dyDescent="0.25">
      <c r="A296">
        <f t="shared" si="4"/>
        <v>2051</v>
      </c>
      <c r="B296" t="s">
        <v>238</v>
      </c>
      <c r="C296">
        <v>5</v>
      </c>
      <c r="D296">
        <v>5.8319999999999999</v>
      </c>
    </row>
    <row r="297" spans="1:4" x14ac:dyDescent="0.25">
      <c r="A297">
        <f t="shared" si="4"/>
        <v>2051</v>
      </c>
      <c r="B297" t="s">
        <v>238</v>
      </c>
      <c r="C297">
        <v>6</v>
      </c>
      <c r="D297">
        <v>5.8319999999999999</v>
      </c>
    </row>
    <row r="298" spans="1:4" x14ac:dyDescent="0.25">
      <c r="A298">
        <f t="shared" si="4"/>
        <v>2051</v>
      </c>
      <c r="B298" t="s">
        <v>238</v>
      </c>
      <c r="C298">
        <v>7</v>
      </c>
      <c r="D298">
        <v>5.8319999999999999</v>
      </c>
    </row>
    <row r="299" spans="1:4" x14ac:dyDescent="0.25">
      <c r="A299">
        <f t="shared" si="4"/>
        <v>2051</v>
      </c>
      <c r="B299" t="s">
        <v>238</v>
      </c>
      <c r="C299">
        <v>8</v>
      </c>
      <c r="D299">
        <v>3.9550000000000001</v>
      </c>
    </row>
    <row r="300" spans="1:4" x14ac:dyDescent="0.25">
      <c r="A300">
        <f t="shared" si="4"/>
        <v>2051</v>
      </c>
      <c r="B300" t="s">
        <v>238</v>
      </c>
      <c r="C300">
        <v>9</v>
      </c>
      <c r="D300">
        <v>7.7050000000000001</v>
      </c>
    </row>
    <row r="301" spans="1:4" x14ac:dyDescent="0.25">
      <c r="A301">
        <f t="shared" si="4"/>
        <v>2051</v>
      </c>
      <c r="B301" t="s">
        <v>238</v>
      </c>
      <c r="C301">
        <v>10</v>
      </c>
      <c r="D301">
        <v>5.8319999999999999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F6798-C3B5-4971-B6E2-147B14426289}">
  <sheetPr>
    <tabColor rgb="FF00B0F0"/>
  </sheetPr>
  <dimension ref="A1:K31"/>
  <sheetViews>
    <sheetView workbookViewId="0">
      <selection activeCell="B3" sqref="B3:B31"/>
    </sheetView>
  </sheetViews>
  <sheetFormatPr defaultRowHeight="15" x14ac:dyDescent="0.25"/>
  <sheetData>
    <row r="1" spans="1:11" x14ac:dyDescent="0.25">
      <c r="A1" t="s">
        <v>239</v>
      </c>
      <c r="B1">
        <v>1</v>
      </c>
      <c r="C1">
        <v>2</v>
      </c>
      <c r="D1">
        <v>3</v>
      </c>
      <c r="E1">
        <v>4</v>
      </c>
      <c r="F1">
        <v>5</v>
      </c>
      <c r="G1">
        <v>6</v>
      </c>
      <c r="H1">
        <v>7</v>
      </c>
      <c r="I1">
        <v>8</v>
      </c>
      <c r="J1">
        <v>9</v>
      </c>
      <c r="K1">
        <v>10</v>
      </c>
    </row>
    <row r="2" spans="1:11" x14ac:dyDescent="0.25">
      <c r="A2" s="42">
        <v>44562</v>
      </c>
      <c r="B2">
        <v>100</v>
      </c>
      <c r="C2">
        <v>100</v>
      </c>
      <c r="D2">
        <v>100</v>
      </c>
      <c r="E2">
        <v>100</v>
      </c>
      <c r="F2">
        <v>100</v>
      </c>
      <c r="G2">
        <v>100</v>
      </c>
      <c r="H2">
        <v>100</v>
      </c>
      <c r="I2">
        <v>100</v>
      </c>
      <c r="J2">
        <v>100</v>
      </c>
      <c r="K2">
        <v>100</v>
      </c>
    </row>
    <row r="3" spans="1:11" x14ac:dyDescent="0.25">
      <c r="A3" s="42">
        <v>44927</v>
      </c>
      <c r="B3">
        <v>5.22</v>
      </c>
      <c r="C3">
        <v>5.22</v>
      </c>
      <c r="D3">
        <v>5.22</v>
      </c>
      <c r="E3">
        <v>5.22</v>
      </c>
      <c r="F3">
        <v>5.22</v>
      </c>
      <c r="G3">
        <v>5.22</v>
      </c>
      <c r="H3">
        <v>5.22</v>
      </c>
      <c r="I3">
        <v>5.22</v>
      </c>
      <c r="J3">
        <v>5.22</v>
      </c>
      <c r="K3">
        <v>5.22</v>
      </c>
    </row>
    <row r="4" spans="1:11" x14ac:dyDescent="0.25">
      <c r="A4" s="42">
        <v>45292</v>
      </c>
      <c r="B4">
        <v>5.32</v>
      </c>
      <c r="C4">
        <v>5.32</v>
      </c>
      <c r="D4">
        <v>5.32</v>
      </c>
      <c r="E4">
        <v>5.32</v>
      </c>
      <c r="F4">
        <v>5.32</v>
      </c>
      <c r="G4">
        <v>5.32</v>
      </c>
      <c r="H4">
        <v>5.32</v>
      </c>
      <c r="I4">
        <v>5.32</v>
      </c>
      <c r="J4">
        <v>5.32</v>
      </c>
      <c r="K4">
        <v>5.32</v>
      </c>
    </row>
    <row r="5" spans="1:11" x14ac:dyDescent="0.25">
      <c r="A5" s="42">
        <v>45658</v>
      </c>
      <c r="B5">
        <v>5.43</v>
      </c>
      <c r="C5">
        <v>5.43</v>
      </c>
      <c r="D5">
        <v>5.43</v>
      </c>
      <c r="E5">
        <v>5.43</v>
      </c>
      <c r="F5">
        <v>5.43</v>
      </c>
      <c r="G5">
        <v>5.43</v>
      </c>
      <c r="H5">
        <v>5.43</v>
      </c>
      <c r="I5">
        <v>5.43</v>
      </c>
      <c r="J5">
        <v>5.43</v>
      </c>
      <c r="K5">
        <v>5.43</v>
      </c>
    </row>
    <row r="6" spans="1:11" x14ac:dyDescent="0.25">
      <c r="A6" s="42">
        <v>46023</v>
      </c>
      <c r="B6">
        <v>5.51</v>
      </c>
      <c r="C6">
        <v>5.51</v>
      </c>
      <c r="D6">
        <v>5.51</v>
      </c>
      <c r="E6">
        <v>5.51</v>
      </c>
      <c r="F6">
        <v>5.51</v>
      </c>
      <c r="G6">
        <v>5.51</v>
      </c>
      <c r="H6">
        <v>5.51</v>
      </c>
      <c r="I6">
        <v>5.51</v>
      </c>
      <c r="J6">
        <v>5.51</v>
      </c>
      <c r="K6">
        <v>5.51</v>
      </c>
    </row>
    <row r="7" spans="1:11" x14ac:dyDescent="0.25">
      <c r="A7" s="42">
        <v>46388</v>
      </c>
      <c r="B7">
        <v>5.59</v>
      </c>
      <c r="C7">
        <v>5.59</v>
      </c>
      <c r="D7">
        <v>5.59</v>
      </c>
      <c r="E7">
        <v>5.59</v>
      </c>
      <c r="F7">
        <v>5.59</v>
      </c>
      <c r="G7">
        <v>5.59</v>
      </c>
      <c r="H7">
        <v>5.59</v>
      </c>
      <c r="I7">
        <v>5.59</v>
      </c>
      <c r="J7">
        <v>5.59</v>
      </c>
      <c r="K7">
        <v>5.59</v>
      </c>
    </row>
    <row r="8" spans="1:11" x14ac:dyDescent="0.25">
      <c r="A8" s="42">
        <v>46753</v>
      </c>
      <c r="B8">
        <v>5.67</v>
      </c>
      <c r="C8">
        <v>5.67</v>
      </c>
      <c r="D8">
        <v>5.67</v>
      </c>
      <c r="E8">
        <v>5.67</v>
      </c>
      <c r="F8">
        <v>5.67</v>
      </c>
      <c r="G8">
        <v>5.67</v>
      </c>
      <c r="H8">
        <v>5.67</v>
      </c>
      <c r="I8">
        <v>5.67</v>
      </c>
      <c r="J8">
        <v>5.67</v>
      </c>
      <c r="K8">
        <v>5.67</v>
      </c>
    </row>
    <row r="9" spans="1:11" x14ac:dyDescent="0.25">
      <c r="A9" s="42">
        <v>47119</v>
      </c>
      <c r="B9">
        <v>5.75</v>
      </c>
      <c r="C9">
        <v>5.75</v>
      </c>
      <c r="D9">
        <v>5.75</v>
      </c>
      <c r="E9">
        <v>5.75</v>
      </c>
      <c r="F9">
        <v>5.75</v>
      </c>
      <c r="G9">
        <v>5.75</v>
      </c>
      <c r="H9">
        <v>5.75</v>
      </c>
      <c r="I9">
        <v>5.75</v>
      </c>
      <c r="J9">
        <v>5.75</v>
      </c>
      <c r="K9">
        <v>5.75</v>
      </c>
    </row>
    <row r="10" spans="1:11" x14ac:dyDescent="0.25">
      <c r="A10" s="42">
        <v>47484</v>
      </c>
      <c r="B10">
        <v>5.83</v>
      </c>
      <c r="C10">
        <v>5.83</v>
      </c>
      <c r="D10">
        <v>5.83</v>
      </c>
      <c r="E10">
        <v>5.83</v>
      </c>
      <c r="F10">
        <v>5.83</v>
      </c>
      <c r="G10">
        <v>5.83</v>
      </c>
      <c r="H10">
        <v>5.83</v>
      </c>
      <c r="I10">
        <v>5.83</v>
      </c>
      <c r="J10">
        <v>5.83</v>
      </c>
      <c r="K10">
        <v>5.83</v>
      </c>
    </row>
    <row r="11" spans="1:11" x14ac:dyDescent="0.25">
      <c r="A11" s="42">
        <v>47849</v>
      </c>
      <c r="B11">
        <v>5.91</v>
      </c>
      <c r="C11">
        <v>5.91</v>
      </c>
      <c r="D11">
        <v>5.91</v>
      </c>
      <c r="E11">
        <v>5.91</v>
      </c>
      <c r="F11">
        <v>5.91</v>
      </c>
      <c r="G11">
        <v>5.91</v>
      </c>
      <c r="H11">
        <v>5.91</v>
      </c>
      <c r="I11">
        <v>5.91</v>
      </c>
      <c r="J11">
        <v>5.91</v>
      </c>
      <c r="K11">
        <v>5.91</v>
      </c>
    </row>
    <row r="12" spans="1:11" x14ac:dyDescent="0.25">
      <c r="A12" s="42">
        <v>48214</v>
      </c>
      <c r="B12">
        <v>5.99</v>
      </c>
      <c r="C12">
        <v>5.99</v>
      </c>
      <c r="D12">
        <v>5.99</v>
      </c>
      <c r="E12">
        <v>5.99</v>
      </c>
      <c r="F12">
        <v>5.99</v>
      </c>
      <c r="G12">
        <v>5.99</v>
      </c>
      <c r="H12">
        <v>5.99</v>
      </c>
      <c r="I12">
        <v>5.99</v>
      </c>
      <c r="J12">
        <v>5.99</v>
      </c>
      <c r="K12">
        <v>5.99</v>
      </c>
    </row>
    <row r="13" spans="1:11" x14ac:dyDescent="0.25">
      <c r="A13" s="42">
        <v>48580</v>
      </c>
      <c r="B13">
        <v>6.06</v>
      </c>
      <c r="C13">
        <v>6.06</v>
      </c>
      <c r="D13">
        <v>6.06</v>
      </c>
      <c r="E13">
        <v>6.06</v>
      </c>
      <c r="F13">
        <v>6.06</v>
      </c>
      <c r="G13">
        <v>6.06</v>
      </c>
      <c r="H13">
        <v>6.06</v>
      </c>
      <c r="I13">
        <v>6.06</v>
      </c>
      <c r="J13">
        <v>6.06</v>
      </c>
      <c r="K13">
        <v>6.06</v>
      </c>
    </row>
    <row r="14" spans="1:11" x14ac:dyDescent="0.25">
      <c r="A14" s="42">
        <v>48945</v>
      </c>
      <c r="B14">
        <v>6.14</v>
      </c>
      <c r="C14">
        <v>6.14</v>
      </c>
      <c r="D14">
        <v>6.14</v>
      </c>
      <c r="E14">
        <v>6.14</v>
      </c>
      <c r="F14">
        <v>6.14</v>
      </c>
      <c r="G14">
        <v>6.14</v>
      </c>
      <c r="H14">
        <v>6.14</v>
      </c>
      <c r="I14">
        <v>6.14</v>
      </c>
      <c r="J14">
        <v>6.14</v>
      </c>
      <c r="K14">
        <v>6.14</v>
      </c>
    </row>
    <row r="15" spans="1:11" x14ac:dyDescent="0.25">
      <c r="A15" s="42">
        <v>49310</v>
      </c>
      <c r="B15">
        <v>6.22</v>
      </c>
      <c r="C15">
        <v>6.22</v>
      </c>
      <c r="D15">
        <v>6.22</v>
      </c>
      <c r="E15">
        <v>6.22</v>
      </c>
      <c r="F15">
        <v>6.22</v>
      </c>
      <c r="G15">
        <v>6.22</v>
      </c>
      <c r="H15">
        <v>6.22</v>
      </c>
      <c r="I15">
        <v>6.22</v>
      </c>
      <c r="J15">
        <v>6.22</v>
      </c>
      <c r="K15">
        <v>6.22</v>
      </c>
    </row>
    <row r="16" spans="1:11" x14ac:dyDescent="0.25">
      <c r="A16" s="42">
        <v>49675</v>
      </c>
      <c r="B16">
        <v>6.31</v>
      </c>
      <c r="C16">
        <v>6.31</v>
      </c>
      <c r="D16">
        <v>6.31</v>
      </c>
      <c r="E16">
        <v>6.31</v>
      </c>
      <c r="F16">
        <v>6.31</v>
      </c>
      <c r="G16">
        <v>6.31</v>
      </c>
      <c r="H16">
        <v>6.31</v>
      </c>
      <c r="I16">
        <v>6.31</v>
      </c>
      <c r="J16">
        <v>6.31</v>
      </c>
      <c r="K16">
        <v>6.31</v>
      </c>
    </row>
    <row r="17" spans="1:11" x14ac:dyDescent="0.25">
      <c r="A17" s="42">
        <v>50041</v>
      </c>
      <c r="B17">
        <v>6.4</v>
      </c>
      <c r="C17">
        <v>6.4</v>
      </c>
      <c r="D17">
        <v>6.4</v>
      </c>
      <c r="E17">
        <v>6.4</v>
      </c>
      <c r="F17">
        <v>6.4</v>
      </c>
      <c r="G17">
        <v>6.4</v>
      </c>
      <c r="H17">
        <v>6.4</v>
      </c>
      <c r="I17">
        <v>6.4</v>
      </c>
      <c r="J17">
        <v>6.4</v>
      </c>
      <c r="K17">
        <v>6.4</v>
      </c>
    </row>
    <row r="18" spans="1:11" x14ac:dyDescent="0.25">
      <c r="A18" s="42">
        <v>50406</v>
      </c>
      <c r="B18">
        <v>6.49</v>
      </c>
      <c r="C18">
        <v>6.49</v>
      </c>
      <c r="D18">
        <v>6.49</v>
      </c>
      <c r="E18">
        <v>6.49</v>
      </c>
      <c r="F18">
        <v>6.49</v>
      </c>
      <c r="G18">
        <v>6.49</v>
      </c>
      <c r="H18">
        <v>6.49</v>
      </c>
      <c r="I18">
        <v>6.49</v>
      </c>
      <c r="J18">
        <v>6.49</v>
      </c>
      <c r="K18">
        <v>6.49</v>
      </c>
    </row>
    <row r="19" spans="1:11" x14ac:dyDescent="0.25">
      <c r="A19" s="42">
        <v>50771</v>
      </c>
      <c r="B19">
        <v>6.58</v>
      </c>
      <c r="C19">
        <v>6.58</v>
      </c>
      <c r="D19">
        <v>6.58</v>
      </c>
      <c r="E19">
        <v>6.58</v>
      </c>
      <c r="F19">
        <v>6.58</v>
      </c>
      <c r="G19">
        <v>6.58</v>
      </c>
      <c r="H19">
        <v>6.58</v>
      </c>
      <c r="I19">
        <v>6.58</v>
      </c>
      <c r="J19">
        <v>6.58</v>
      </c>
      <c r="K19">
        <v>6.58</v>
      </c>
    </row>
    <row r="20" spans="1:11" x14ac:dyDescent="0.25">
      <c r="A20" s="42">
        <v>51136</v>
      </c>
      <c r="B20">
        <v>6.67</v>
      </c>
      <c r="C20">
        <v>6.67</v>
      </c>
      <c r="D20">
        <v>6.67</v>
      </c>
      <c r="E20">
        <v>6.67</v>
      </c>
      <c r="F20">
        <v>6.67</v>
      </c>
      <c r="G20">
        <v>6.67</v>
      </c>
      <c r="H20">
        <v>6.67</v>
      </c>
      <c r="I20">
        <v>6.67</v>
      </c>
      <c r="J20">
        <v>6.67</v>
      </c>
      <c r="K20">
        <v>6.67</v>
      </c>
    </row>
    <row r="21" spans="1:11" x14ac:dyDescent="0.25">
      <c r="A21" s="42">
        <v>51502</v>
      </c>
      <c r="B21">
        <v>6.75</v>
      </c>
      <c r="C21">
        <v>6.75</v>
      </c>
      <c r="D21">
        <v>6.75</v>
      </c>
      <c r="E21">
        <v>6.75</v>
      </c>
      <c r="F21">
        <v>6.75</v>
      </c>
      <c r="G21">
        <v>6.75</v>
      </c>
      <c r="H21">
        <v>6.75</v>
      </c>
      <c r="I21">
        <v>6.75</v>
      </c>
      <c r="J21">
        <v>6.75</v>
      </c>
      <c r="K21">
        <v>6.75</v>
      </c>
    </row>
    <row r="22" spans="1:11" x14ac:dyDescent="0.25">
      <c r="A22" s="42">
        <v>51867</v>
      </c>
      <c r="B22">
        <v>6.82</v>
      </c>
      <c r="C22">
        <v>6.82</v>
      </c>
      <c r="D22">
        <v>6.82</v>
      </c>
      <c r="E22">
        <v>6.82</v>
      </c>
      <c r="F22">
        <v>6.82</v>
      </c>
      <c r="G22">
        <v>6.82</v>
      </c>
      <c r="H22">
        <v>6.82</v>
      </c>
      <c r="I22">
        <v>6.82</v>
      </c>
      <c r="J22">
        <v>6.82</v>
      </c>
      <c r="K22">
        <v>6.82</v>
      </c>
    </row>
    <row r="23" spans="1:11" x14ac:dyDescent="0.25">
      <c r="A23" s="42">
        <v>52232</v>
      </c>
      <c r="B23">
        <v>6.9</v>
      </c>
      <c r="C23">
        <v>6.9</v>
      </c>
      <c r="D23">
        <v>6.9</v>
      </c>
      <c r="E23">
        <v>6.9</v>
      </c>
      <c r="F23">
        <v>6.9</v>
      </c>
      <c r="G23">
        <v>6.9</v>
      </c>
      <c r="H23">
        <v>6.9</v>
      </c>
      <c r="I23">
        <v>6.9</v>
      </c>
      <c r="J23">
        <v>6.9</v>
      </c>
      <c r="K23">
        <v>6.9</v>
      </c>
    </row>
    <row r="24" spans="1:11" x14ac:dyDescent="0.25">
      <c r="A24" s="42">
        <v>52597</v>
      </c>
      <c r="B24">
        <v>6.98</v>
      </c>
      <c r="C24">
        <v>6.98</v>
      </c>
      <c r="D24">
        <v>6.98</v>
      </c>
      <c r="E24">
        <v>6.98</v>
      </c>
      <c r="F24">
        <v>6.98</v>
      </c>
      <c r="G24">
        <v>6.98</v>
      </c>
      <c r="H24">
        <v>6.98</v>
      </c>
      <c r="I24">
        <v>6.98</v>
      </c>
      <c r="J24">
        <v>6.98</v>
      </c>
      <c r="K24">
        <v>6.98</v>
      </c>
    </row>
    <row r="25" spans="1:11" x14ac:dyDescent="0.25">
      <c r="A25" s="42">
        <v>52963</v>
      </c>
      <c r="B25">
        <v>7.06</v>
      </c>
      <c r="C25">
        <v>7.06</v>
      </c>
      <c r="D25">
        <v>7.06</v>
      </c>
      <c r="E25">
        <v>7.06</v>
      </c>
      <c r="F25">
        <v>7.06</v>
      </c>
      <c r="G25">
        <v>7.06</v>
      </c>
      <c r="H25">
        <v>7.06</v>
      </c>
      <c r="I25">
        <v>7.06</v>
      </c>
      <c r="J25">
        <v>7.06</v>
      </c>
      <c r="K25">
        <v>7.06</v>
      </c>
    </row>
    <row r="26" spans="1:11" x14ac:dyDescent="0.25">
      <c r="A26" s="42">
        <v>53328</v>
      </c>
      <c r="B26">
        <v>7.15</v>
      </c>
      <c r="C26">
        <v>7.15</v>
      </c>
      <c r="D26">
        <v>7.15</v>
      </c>
      <c r="E26">
        <v>7.15</v>
      </c>
      <c r="F26">
        <v>7.15</v>
      </c>
      <c r="G26">
        <v>7.15</v>
      </c>
      <c r="H26">
        <v>7.15</v>
      </c>
      <c r="I26">
        <v>7.15</v>
      </c>
      <c r="J26">
        <v>7.15</v>
      </c>
      <c r="K26">
        <v>7.15</v>
      </c>
    </row>
    <row r="27" spans="1:11" x14ac:dyDescent="0.25">
      <c r="A27" s="42">
        <v>53693</v>
      </c>
      <c r="B27">
        <v>7.24</v>
      </c>
      <c r="C27">
        <v>7.24</v>
      </c>
      <c r="D27">
        <v>7.24</v>
      </c>
      <c r="E27">
        <v>7.24</v>
      </c>
      <c r="F27">
        <v>7.24</v>
      </c>
      <c r="G27">
        <v>7.24</v>
      </c>
      <c r="H27">
        <v>7.24</v>
      </c>
      <c r="I27">
        <v>7.24</v>
      </c>
      <c r="J27">
        <v>7.24</v>
      </c>
      <c r="K27">
        <v>7.24</v>
      </c>
    </row>
    <row r="28" spans="1:11" x14ac:dyDescent="0.25">
      <c r="A28" s="42">
        <v>54058</v>
      </c>
      <c r="B28">
        <v>7.33</v>
      </c>
      <c r="C28">
        <v>7.33</v>
      </c>
      <c r="D28">
        <v>7.33</v>
      </c>
      <c r="E28">
        <v>7.33</v>
      </c>
      <c r="F28">
        <v>7.33</v>
      </c>
      <c r="G28">
        <v>7.33</v>
      </c>
      <c r="H28">
        <v>7.33</v>
      </c>
      <c r="I28">
        <v>7.33</v>
      </c>
      <c r="J28">
        <v>7.33</v>
      </c>
      <c r="K28">
        <v>7.33</v>
      </c>
    </row>
    <row r="29" spans="1:11" x14ac:dyDescent="0.25">
      <c r="A29" s="42">
        <v>54424</v>
      </c>
      <c r="B29">
        <v>7.42</v>
      </c>
      <c r="C29">
        <v>7.42</v>
      </c>
      <c r="D29">
        <v>7.42</v>
      </c>
      <c r="E29">
        <v>7.42</v>
      </c>
      <c r="F29">
        <v>7.42</v>
      </c>
      <c r="G29">
        <v>7.42</v>
      </c>
      <c r="H29">
        <v>7.42</v>
      </c>
      <c r="I29">
        <v>7.42</v>
      </c>
      <c r="J29">
        <v>7.42</v>
      </c>
      <c r="K29">
        <v>7.42</v>
      </c>
    </row>
    <row r="30" spans="1:11" x14ac:dyDescent="0.25">
      <c r="A30" s="42">
        <v>54789</v>
      </c>
      <c r="B30">
        <v>7.63</v>
      </c>
      <c r="C30">
        <v>7.63</v>
      </c>
      <c r="D30">
        <v>7.63</v>
      </c>
      <c r="E30">
        <v>7.63</v>
      </c>
      <c r="F30">
        <v>7.63</v>
      </c>
      <c r="G30">
        <v>7.63</v>
      </c>
      <c r="H30">
        <v>7.63</v>
      </c>
      <c r="I30">
        <v>7.63</v>
      </c>
      <c r="J30">
        <v>7.63</v>
      </c>
      <c r="K30">
        <v>7.63</v>
      </c>
    </row>
    <row r="31" spans="1:11" x14ac:dyDescent="0.25">
      <c r="A31" s="42">
        <v>55154</v>
      </c>
      <c r="B31">
        <v>7.63</v>
      </c>
      <c r="C31">
        <v>7.63</v>
      </c>
      <c r="D31">
        <v>7.63</v>
      </c>
      <c r="E31">
        <v>7.63</v>
      </c>
      <c r="F31">
        <v>7.63</v>
      </c>
      <c r="G31">
        <v>7.63</v>
      </c>
      <c r="H31">
        <v>7.63</v>
      </c>
      <c r="I31">
        <v>7.63</v>
      </c>
      <c r="J31">
        <v>7.63</v>
      </c>
      <c r="K31">
        <v>7.63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17297-8698-4C7C-BE1D-B133E8800FC4}">
  <sheetPr>
    <tabColor rgb="FF63F2F9"/>
  </sheetPr>
  <dimension ref="A1:K31"/>
  <sheetViews>
    <sheetView workbookViewId="0">
      <selection activeCell="B3" sqref="B3:B31"/>
    </sheetView>
  </sheetViews>
  <sheetFormatPr defaultRowHeight="15" x14ac:dyDescent="0.25"/>
  <sheetData>
    <row r="1" spans="1:11" x14ac:dyDescent="0.25">
      <c r="A1" t="s">
        <v>242</v>
      </c>
      <c r="B1">
        <v>1</v>
      </c>
      <c r="C1">
        <v>2</v>
      </c>
      <c r="D1">
        <v>3</v>
      </c>
      <c r="E1">
        <v>4</v>
      </c>
      <c r="F1">
        <v>5</v>
      </c>
      <c r="G1">
        <v>6</v>
      </c>
      <c r="H1">
        <v>7</v>
      </c>
      <c r="I1">
        <v>8</v>
      </c>
      <c r="J1">
        <v>9</v>
      </c>
      <c r="K1">
        <v>10</v>
      </c>
    </row>
    <row r="2" spans="1:11" x14ac:dyDescent="0.25">
      <c r="A2" s="42">
        <v>44562</v>
      </c>
    </row>
    <row r="3" spans="1:11" x14ac:dyDescent="0.25">
      <c r="A3" s="42">
        <v>44927</v>
      </c>
      <c r="B3" s="151">
        <v>1.6672001480120395</v>
      </c>
      <c r="C3" s="151">
        <v>1.6672001480120395</v>
      </c>
      <c r="D3" s="151">
        <v>1.6672001480120395</v>
      </c>
      <c r="E3" s="151">
        <v>1.6672001480120395</v>
      </c>
      <c r="F3" s="151">
        <v>1.6672001480120395</v>
      </c>
      <c r="G3" s="151">
        <v>1.6672001480120395</v>
      </c>
      <c r="H3" s="151">
        <v>1.6672001480120395</v>
      </c>
      <c r="I3" s="151">
        <v>1.6672001480120395</v>
      </c>
      <c r="J3" s="151">
        <v>1.6672001480120395</v>
      </c>
      <c r="K3" s="151">
        <v>1.6672001480120395</v>
      </c>
    </row>
    <row r="4" spans="1:11" x14ac:dyDescent="0.25">
      <c r="A4" s="42">
        <v>45292</v>
      </c>
      <c r="B4" s="151">
        <v>1.8303953216936328</v>
      </c>
      <c r="C4" s="151">
        <v>1.8303953216936328</v>
      </c>
      <c r="D4" s="151">
        <v>1.8303953216936328</v>
      </c>
      <c r="E4" s="151">
        <v>1.8303953216936328</v>
      </c>
      <c r="F4" s="151">
        <v>1.8303953216936328</v>
      </c>
      <c r="G4" s="151">
        <v>1.8303953216936328</v>
      </c>
      <c r="H4" s="151">
        <v>1.8303953216936328</v>
      </c>
      <c r="I4" s="151">
        <v>1.8303953216936328</v>
      </c>
      <c r="J4" s="151">
        <v>1.8303953216936328</v>
      </c>
      <c r="K4" s="151">
        <v>1.8303953216936328</v>
      </c>
    </row>
    <row r="5" spans="1:11" x14ac:dyDescent="0.25">
      <c r="A5" s="42">
        <v>45658</v>
      </c>
      <c r="B5" s="151">
        <v>2.0091600721673259</v>
      </c>
      <c r="C5" s="151">
        <v>2.0091600721673259</v>
      </c>
      <c r="D5" s="151">
        <v>2.0091600721673259</v>
      </c>
      <c r="E5" s="151">
        <v>2.0091600721673259</v>
      </c>
      <c r="F5" s="151">
        <v>2.0091600721673259</v>
      </c>
      <c r="G5" s="151">
        <v>2.0091600721673259</v>
      </c>
      <c r="H5" s="151">
        <v>2.0091600721673259</v>
      </c>
      <c r="I5" s="151">
        <v>2.0091600721673259</v>
      </c>
      <c r="J5" s="151">
        <v>2.0091600721673259</v>
      </c>
      <c r="K5" s="151">
        <v>2.0091600721673259</v>
      </c>
    </row>
    <row r="6" spans="1:11" x14ac:dyDescent="0.25">
      <c r="A6" s="42">
        <v>46023</v>
      </c>
      <c r="B6" s="151">
        <v>2.2039704688009323</v>
      </c>
      <c r="C6" s="151">
        <v>2.2039704688009323</v>
      </c>
      <c r="D6" s="151">
        <v>2.2039704688009323</v>
      </c>
      <c r="E6" s="151">
        <v>2.2039704688009323</v>
      </c>
      <c r="F6" s="151">
        <v>2.2039704688009323</v>
      </c>
      <c r="G6" s="151">
        <v>2.2039704688009323</v>
      </c>
      <c r="H6" s="151">
        <v>2.2039704688009323</v>
      </c>
      <c r="I6" s="151">
        <v>2.2039704688009323</v>
      </c>
      <c r="J6" s="151">
        <v>2.2039704688009323</v>
      </c>
      <c r="K6" s="151">
        <v>2.2039704688009323</v>
      </c>
    </row>
    <row r="7" spans="1:11" x14ac:dyDescent="0.25">
      <c r="A7" s="42">
        <v>46388</v>
      </c>
      <c r="B7" s="151">
        <v>2.4147228209427172</v>
      </c>
      <c r="C7" s="151">
        <v>2.4147228209427172</v>
      </c>
      <c r="D7" s="151">
        <v>2.4147228209427172</v>
      </c>
      <c r="E7" s="151">
        <v>2.4147228209427172</v>
      </c>
      <c r="F7" s="151">
        <v>2.4147228209427172</v>
      </c>
      <c r="G7" s="151">
        <v>2.4147228209427172</v>
      </c>
      <c r="H7" s="151">
        <v>2.4147228209427172</v>
      </c>
      <c r="I7" s="151">
        <v>2.4147228209427172</v>
      </c>
      <c r="J7" s="151">
        <v>2.4147228209427172</v>
      </c>
      <c r="K7" s="151">
        <v>2.4147228209427172</v>
      </c>
    </row>
    <row r="8" spans="1:11" x14ac:dyDescent="0.25">
      <c r="A8" s="42">
        <v>46753</v>
      </c>
      <c r="B8" s="151">
        <v>2.6435055074141016</v>
      </c>
      <c r="C8" s="151">
        <v>2.6435055074141016</v>
      </c>
      <c r="D8" s="151">
        <v>2.6435055074141016</v>
      </c>
      <c r="E8" s="151">
        <v>2.6435055074141016</v>
      </c>
      <c r="F8" s="151">
        <v>2.6435055074141016</v>
      </c>
      <c r="G8" s="151">
        <v>2.6435055074141016</v>
      </c>
      <c r="H8" s="151">
        <v>2.6435055074141016</v>
      </c>
      <c r="I8" s="151">
        <v>2.6435055074141016</v>
      </c>
      <c r="J8" s="151">
        <v>2.6435055074141016</v>
      </c>
      <c r="K8" s="151">
        <v>2.6435055074141016</v>
      </c>
    </row>
    <row r="9" spans="1:11" x14ac:dyDescent="0.25">
      <c r="A9" s="42">
        <v>47119</v>
      </c>
      <c r="B9" s="151">
        <v>2.8936658050138946</v>
      </c>
      <c r="C9" s="151">
        <v>2.8936658050138946</v>
      </c>
      <c r="D9" s="151">
        <v>2.8936658050138946</v>
      </c>
      <c r="E9" s="151">
        <v>2.8936658050138946</v>
      </c>
      <c r="F9" s="151">
        <v>2.8936658050138946</v>
      </c>
      <c r="G9" s="151">
        <v>2.8936658050138946</v>
      </c>
      <c r="H9" s="151">
        <v>2.8936658050138946</v>
      </c>
      <c r="I9" s="151">
        <v>2.8936658050138946</v>
      </c>
      <c r="J9" s="151">
        <v>2.8936658050138946</v>
      </c>
      <c r="K9" s="151">
        <v>2.8936658050138946</v>
      </c>
    </row>
    <row r="10" spans="1:11" x14ac:dyDescent="0.25">
      <c r="A10" s="42">
        <v>47484</v>
      </c>
      <c r="B10" s="151">
        <v>3.1670094520501597</v>
      </c>
      <c r="C10" s="151">
        <v>3.1670094520501597</v>
      </c>
      <c r="D10" s="151">
        <v>3.1670094520501597</v>
      </c>
      <c r="E10" s="151">
        <v>3.1670094520501597</v>
      </c>
      <c r="F10" s="151">
        <v>3.1670094520501597</v>
      </c>
      <c r="G10" s="151">
        <v>3.1670094520501597</v>
      </c>
      <c r="H10" s="151">
        <v>3.1670094520501597</v>
      </c>
      <c r="I10" s="151">
        <v>3.1670094520501597</v>
      </c>
      <c r="J10" s="151">
        <v>3.1670094520501597</v>
      </c>
      <c r="K10" s="151">
        <v>3.1670094520501597</v>
      </c>
    </row>
    <row r="11" spans="1:11" x14ac:dyDescent="0.25">
      <c r="A11" s="42">
        <v>47849</v>
      </c>
      <c r="B11" s="151">
        <v>3.4696024846318703</v>
      </c>
      <c r="C11" s="151">
        <v>3.4696024846318703</v>
      </c>
      <c r="D11" s="151">
        <v>3.4696024846318703</v>
      </c>
      <c r="E11" s="151">
        <v>3.4696024846318703</v>
      </c>
      <c r="F11" s="151">
        <v>3.4696024846318703</v>
      </c>
      <c r="G11" s="151">
        <v>3.4696024846318703</v>
      </c>
      <c r="H11" s="151">
        <v>3.4696024846318703</v>
      </c>
      <c r="I11" s="151">
        <v>3.4696024846318703</v>
      </c>
      <c r="J11" s="151">
        <v>3.4696024846318703</v>
      </c>
      <c r="K11" s="151">
        <v>3.4696024846318703</v>
      </c>
    </row>
    <row r="12" spans="1:11" x14ac:dyDescent="0.25">
      <c r="A12" s="42">
        <v>48214</v>
      </c>
      <c r="B12" s="151">
        <v>3.8016643807416939</v>
      </c>
      <c r="C12" s="151">
        <v>3.8016643807416939</v>
      </c>
      <c r="D12" s="151">
        <v>3.8016643807416939</v>
      </c>
      <c r="E12" s="151">
        <v>3.8016643807416939</v>
      </c>
      <c r="F12" s="151">
        <v>3.8016643807416939</v>
      </c>
      <c r="G12" s="151">
        <v>3.8016643807416939</v>
      </c>
      <c r="H12" s="151">
        <v>3.8016643807416939</v>
      </c>
      <c r="I12" s="151">
        <v>3.8016643807416939</v>
      </c>
      <c r="J12" s="151">
        <v>3.8016643807416939</v>
      </c>
      <c r="K12" s="151">
        <v>3.8016643807416939</v>
      </c>
    </row>
    <row r="13" spans="1:11" x14ac:dyDescent="0.25">
      <c r="A13" s="42">
        <v>48580</v>
      </c>
      <c r="B13" s="151">
        <v>4.1657946983243246</v>
      </c>
      <c r="C13" s="151">
        <v>4.1657946983243246</v>
      </c>
      <c r="D13" s="151">
        <v>4.1657946983243246</v>
      </c>
      <c r="E13" s="151">
        <v>4.1657946983243246</v>
      </c>
      <c r="F13" s="151">
        <v>4.1657946983243246</v>
      </c>
      <c r="G13" s="151">
        <v>4.1657946983243246</v>
      </c>
      <c r="H13" s="151">
        <v>4.1657946983243246</v>
      </c>
      <c r="I13" s="151">
        <v>4.1657946983243246</v>
      </c>
      <c r="J13" s="151">
        <v>4.1657946983243246</v>
      </c>
      <c r="K13" s="151">
        <v>4.1657946983243246</v>
      </c>
    </row>
    <row r="14" spans="1:11" x14ac:dyDescent="0.25">
      <c r="A14" s="42">
        <v>48945</v>
      </c>
      <c r="B14" s="151">
        <v>4.5654558835919028</v>
      </c>
      <c r="C14" s="151">
        <v>4.5654558835919028</v>
      </c>
      <c r="D14" s="151">
        <v>4.5654558835919028</v>
      </c>
      <c r="E14" s="151">
        <v>4.5654558835919028</v>
      </c>
      <c r="F14" s="151">
        <v>4.5654558835919028</v>
      </c>
      <c r="G14" s="151">
        <v>4.5654558835919028</v>
      </c>
      <c r="H14" s="151">
        <v>4.5654558835919028</v>
      </c>
      <c r="I14" s="151">
        <v>4.5654558835919028</v>
      </c>
      <c r="J14" s="151">
        <v>4.5654558835919028</v>
      </c>
      <c r="K14" s="151">
        <v>4.5654558835919028</v>
      </c>
    </row>
    <row r="15" spans="1:11" x14ac:dyDescent="0.25">
      <c r="A15" s="42">
        <v>49310</v>
      </c>
      <c r="B15" s="151">
        <v>5.0035008741682265</v>
      </c>
      <c r="C15" s="151">
        <v>5.0035008741682265</v>
      </c>
      <c r="D15" s="151">
        <v>5.0035008741682265</v>
      </c>
      <c r="E15" s="151">
        <v>5.0035008741682265</v>
      </c>
      <c r="F15" s="151">
        <v>5.0035008741682265</v>
      </c>
      <c r="G15" s="151">
        <v>5.0035008741682265</v>
      </c>
      <c r="H15" s="151">
        <v>5.0035008741682265</v>
      </c>
      <c r="I15" s="151">
        <v>5.0035008741682265</v>
      </c>
      <c r="J15" s="151">
        <v>5.0035008741682265</v>
      </c>
      <c r="K15" s="151">
        <v>5.0035008741682265</v>
      </c>
    </row>
    <row r="16" spans="1:11" x14ac:dyDescent="0.25">
      <c r="A16" s="42">
        <v>49675</v>
      </c>
      <c r="B16" s="151">
        <v>5.1473793563843691</v>
      </c>
      <c r="C16" s="151">
        <v>5.1473793563843691</v>
      </c>
      <c r="D16" s="151">
        <v>5.1473793563843691</v>
      </c>
      <c r="E16" s="151">
        <v>5.1473793563843691</v>
      </c>
      <c r="F16" s="151">
        <v>5.1473793563843691</v>
      </c>
      <c r="G16" s="151">
        <v>5.1473793563843691</v>
      </c>
      <c r="H16" s="151">
        <v>5.1473793563843691</v>
      </c>
      <c r="I16" s="151">
        <v>5.1473793563843691</v>
      </c>
      <c r="J16" s="151">
        <v>5.1473793563843691</v>
      </c>
      <c r="K16" s="151">
        <v>5.1473793563843691</v>
      </c>
    </row>
    <row r="17" spans="1:11" x14ac:dyDescent="0.25">
      <c r="A17" s="42">
        <v>50041</v>
      </c>
      <c r="B17" s="151">
        <v>5.2963381923007766</v>
      </c>
      <c r="C17" s="151">
        <v>5.2963381923007766</v>
      </c>
      <c r="D17" s="151">
        <v>5.2963381923007766</v>
      </c>
      <c r="E17" s="151">
        <v>5.2963381923007766</v>
      </c>
      <c r="F17" s="151">
        <v>5.2963381923007766</v>
      </c>
      <c r="G17" s="151">
        <v>5.2963381923007766</v>
      </c>
      <c r="H17" s="151">
        <v>5.2963381923007766</v>
      </c>
      <c r="I17" s="151">
        <v>5.2963381923007766</v>
      </c>
      <c r="J17" s="151">
        <v>5.2963381923007766</v>
      </c>
      <c r="K17" s="151">
        <v>5.2963381923007766</v>
      </c>
    </row>
    <row r="18" spans="1:11" x14ac:dyDescent="0.25">
      <c r="A18" s="42">
        <v>50406</v>
      </c>
      <c r="B18" s="151">
        <v>5.4493081891352544</v>
      </c>
      <c r="C18" s="151">
        <v>5.4493081891352544</v>
      </c>
      <c r="D18" s="151">
        <v>5.4493081891352544</v>
      </c>
      <c r="E18" s="151">
        <v>5.4493081891352544</v>
      </c>
      <c r="F18" s="151">
        <v>5.4493081891352544</v>
      </c>
      <c r="G18" s="151">
        <v>5.4493081891352544</v>
      </c>
      <c r="H18" s="151">
        <v>5.4493081891352544</v>
      </c>
      <c r="I18" s="151">
        <v>5.4493081891352544</v>
      </c>
      <c r="J18" s="151">
        <v>5.4493081891352544</v>
      </c>
      <c r="K18" s="151">
        <v>5.4493081891352544</v>
      </c>
    </row>
    <row r="19" spans="1:11" x14ac:dyDescent="0.25">
      <c r="A19" s="42">
        <v>50771</v>
      </c>
      <c r="B19" s="151">
        <v>5.606890825278958</v>
      </c>
      <c r="C19" s="151">
        <v>5.606890825278958</v>
      </c>
      <c r="D19" s="151">
        <v>5.606890825278958</v>
      </c>
      <c r="E19" s="151">
        <v>5.606890825278958</v>
      </c>
      <c r="F19" s="151">
        <v>5.606890825278958</v>
      </c>
      <c r="G19" s="151">
        <v>5.606890825278958</v>
      </c>
      <c r="H19" s="151">
        <v>5.606890825278958</v>
      </c>
      <c r="I19" s="151">
        <v>5.606890825278958</v>
      </c>
      <c r="J19" s="151">
        <v>5.606890825278958</v>
      </c>
      <c r="K19" s="151">
        <v>5.606890825278958</v>
      </c>
    </row>
    <row r="20" spans="1:11" x14ac:dyDescent="0.25">
      <c r="A20" s="42">
        <v>51136</v>
      </c>
      <c r="B20" s="151">
        <v>5.7675826620899597</v>
      </c>
      <c r="C20" s="151">
        <v>5.7675826620899597</v>
      </c>
      <c r="D20" s="151">
        <v>5.7675826620899597</v>
      </c>
      <c r="E20" s="151">
        <v>5.7675826620899597</v>
      </c>
      <c r="F20" s="151">
        <v>5.7675826620899597</v>
      </c>
      <c r="G20" s="151">
        <v>5.7675826620899597</v>
      </c>
      <c r="H20" s="151">
        <v>5.7675826620899597</v>
      </c>
      <c r="I20" s="151">
        <v>5.7675826620899597</v>
      </c>
      <c r="J20" s="151">
        <v>5.7675826620899597</v>
      </c>
      <c r="K20" s="151">
        <v>5.7675826620899597</v>
      </c>
    </row>
    <row r="21" spans="1:11" x14ac:dyDescent="0.25">
      <c r="A21" s="42">
        <v>51502</v>
      </c>
      <c r="B21" s="151">
        <v>5.935130766850258</v>
      </c>
      <c r="C21" s="151">
        <v>5.935130766850258</v>
      </c>
      <c r="D21" s="151">
        <v>5.935130766850258</v>
      </c>
      <c r="E21" s="151">
        <v>5.935130766850258</v>
      </c>
      <c r="F21" s="151">
        <v>5.935130766850258</v>
      </c>
      <c r="G21" s="151">
        <v>5.935130766850258</v>
      </c>
      <c r="H21" s="151">
        <v>5.935130766850258</v>
      </c>
      <c r="I21" s="151">
        <v>5.935130766850258</v>
      </c>
      <c r="J21" s="151">
        <v>5.935130766850258</v>
      </c>
      <c r="K21" s="151">
        <v>5.935130766850258</v>
      </c>
    </row>
    <row r="22" spans="1:11" x14ac:dyDescent="0.25">
      <c r="A22" s="42">
        <v>51867</v>
      </c>
      <c r="B22" s="151">
        <v>6.1052609366481567</v>
      </c>
      <c r="C22" s="151">
        <v>6.1052609366481567</v>
      </c>
      <c r="D22" s="151">
        <v>6.1052609366481567</v>
      </c>
      <c r="E22" s="151">
        <v>6.1052609366481567</v>
      </c>
      <c r="F22" s="151">
        <v>6.1052609366481567</v>
      </c>
      <c r="G22" s="151">
        <v>6.1052609366481567</v>
      </c>
      <c r="H22" s="151">
        <v>6.1052609366481567</v>
      </c>
      <c r="I22" s="151">
        <v>6.1052609366481567</v>
      </c>
      <c r="J22" s="151">
        <v>6.1052609366481567</v>
      </c>
      <c r="K22" s="151">
        <v>6.1052609366481567</v>
      </c>
    </row>
    <row r="23" spans="1:11" x14ac:dyDescent="0.25">
      <c r="A23" s="42">
        <v>52232</v>
      </c>
      <c r="B23" s="151">
        <v>6.2788338222861402</v>
      </c>
      <c r="C23" s="151">
        <v>6.2788338222861402</v>
      </c>
      <c r="D23" s="151">
        <v>6.2788338222861402</v>
      </c>
      <c r="E23" s="151">
        <v>6.2788338222861402</v>
      </c>
      <c r="F23" s="151">
        <v>6.2788338222861402</v>
      </c>
      <c r="G23" s="151">
        <v>6.2788338222861402</v>
      </c>
      <c r="H23" s="151">
        <v>6.2788338222861402</v>
      </c>
      <c r="I23" s="151">
        <v>6.2788338222861402</v>
      </c>
      <c r="J23" s="151">
        <v>6.2788338222861402</v>
      </c>
      <c r="K23" s="151">
        <v>6.2788338222861402</v>
      </c>
    </row>
    <row r="24" spans="1:11" x14ac:dyDescent="0.25">
      <c r="A24" s="42">
        <v>52597</v>
      </c>
      <c r="B24" s="151">
        <v>6.4570478846612929</v>
      </c>
      <c r="C24" s="151">
        <v>6.4570478846612929</v>
      </c>
      <c r="D24" s="151">
        <v>6.4570478846612929</v>
      </c>
      <c r="E24" s="151">
        <v>6.4570478846612929</v>
      </c>
      <c r="F24" s="151">
        <v>6.4570478846612929</v>
      </c>
      <c r="G24" s="151">
        <v>6.4570478846612929</v>
      </c>
      <c r="H24" s="151">
        <v>6.4570478846612929</v>
      </c>
      <c r="I24" s="151">
        <v>6.4570478846612929</v>
      </c>
      <c r="J24" s="151">
        <v>6.4570478846612929</v>
      </c>
      <c r="K24" s="151">
        <v>6.4570478846612929</v>
      </c>
    </row>
    <row r="25" spans="1:11" x14ac:dyDescent="0.25">
      <c r="A25" s="42">
        <v>52963</v>
      </c>
      <c r="B25" s="151">
        <v>6.6405150868084322</v>
      </c>
      <c r="C25" s="151">
        <v>6.6405150868084322</v>
      </c>
      <c r="D25" s="151">
        <v>6.6405150868084322</v>
      </c>
      <c r="E25" s="151">
        <v>6.6405150868084322</v>
      </c>
      <c r="F25" s="151">
        <v>6.6405150868084322</v>
      </c>
      <c r="G25" s="151">
        <v>6.6405150868084322</v>
      </c>
      <c r="H25" s="151">
        <v>6.6405150868084322</v>
      </c>
      <c r="I25" s="151">
        <v>6.6405150868084322</v>
      </c>
      <c r="J25" s="151">
        <v>6.6405150868084322</v>
      </c>
      <c r="K25" s="151">
        <v>6.6405150868084322</v>
      </c>
    </row>
    <row r="26" spans="1:11" x14ac:dyDescent="0.25">
      <c r="A26" s="42">
        <v>53328</v>
      </c>
      <c r="B26" s="151">
        <v>6.8289022097138705</v>
      </c>
      <c r="C26" s="151">
        <v>6.8289022097138705</v>
      </c>
      <c r="D26" s="151">
        <v>6.8289022097138705</v>
      </c>
      <c r="E26" s="151">
        <v>6.8289022097138705</v>
      </c>
      <c r="F26" s="151">
        <v>6.8289022097138705</v>
      </c>
      <c r="G26" s="151">
        <v>6.8289022097138705</v>
      </c>
      <c r="H26" s="151">
        <v>6.8289022097138705</v>
      </c>
      <c r="I26" s="151">
        <v>6.8289022097138705</v>
      </c>
      <c r="J26" s="151">
        <v>6.8289022097138705</v>
      </c>
      <c r="K26" s="151">
        <v>6.8289022097138705</v>
      </c>
    </row>
    <row r="27" spans="1:11" x14ac:dyDescent="0.25">
      <c r="A27" s="42">
        <v>53693</v>
      </c>
      <c r="B27" s="151">
        <v>7.0221809990540507</v>
      </c>
      <c r="C27" s="151">
        <v>7.0221809990540507</v>
      </c>
      <c r="D27" s="151">
        <v>7.0221809990540507</v>
      </c>
      <c r="E27" s="151">
        <v>7.0221809990540507</v>
      </c>
      <c r="F27" s="151">
        <v>7.0221809990540507</v>
      </c>
      <c r="G27" s="151">
        <v>7.0221809990540507</v>
      </c>
      <c r="H27" s="151">
        <v>7.0221809990540507</v>
      </c>
      <c r="I27" s="151">
        <v>7.0221809990540507</v>
      </c>
      <c r="J27" s="151">
        <v>7.0221809990540507</v>
      </c>
      <c r="K27" s="151">
        <v>7.0221809990540507</v>
      </c>
    </row>
    <row r="28" spans="1:11" x14ac:dyDescent="0.25">
      <c r="A28" s="42">
        <v>54058</v>
      </c>
      <c r="B28" s="151">
        <v>7.2198931009350886</v>
      </c>
      <c r="C28" s="151">
        <v>7.2198931009350886</v>
      </c>
      <c r="D28" s="151">
        <v>7.2198931009350886</v>
      </c>
      <c r="E28" s="151">
        <v>7.2198931009350886</v>
      </c>
      <c r="F28" s="151">
        <v>7.2198931009350886</v>
      </c>
      <c r="G28" s="151">
        <v>7.2198931009350886</v>
      </c>
      <c r="H28" s="151">
        <v>7.2198931009350886</v>
      </c>
      <c r="I28" s="151">
        <v>7.2198931009350886</v>
      </c>
      <c r="J28" s="151">
        <v>7.2198931009350886</v>
      </c>
      <c r="K28" s="151">
        <v>7.2198931009350886</v>
      </c>
    </row>
    <row r="29" spans="1:11" x14ac:dyDescent="0.25">
      <c r="A29" s="42">
        <v>54424</v>
      </c>
      <c r="B29" s="151">
        <v>7.4222972772007143</v>
      </c>
      <c r="C29" s="151">
        <v>7.4222972772007143</v>
      </c>
      <c r="D29" s="151">
        <v>7.4222972772007143</v>
      </c>
      <c r="E29" s="151">
        <v>7.4222972772007143</v>
      </c>
      <c r="F29" s="151">
        <v>7.4222972772007143</v>
      </c>
      <c r="G29" s="151">
        <v>7.4222972772007143</v>
      </c>
      <c r="H29" s="151">
        <v>7.4222972772007143</v>
      </c>
      <c r="I29" s="151">
        <v>7.4222972772007143</v>
      </c>
      <c r="J29" s="151">
        <v>7.4222972772007143</v>
      </c>
      <c r="K29" s="151">
        <v>7.4222972772007143</v>
      </c>
    </row>
    <row r="30" spans="1:11" x14ac:dyDescent="0.25">
      <c r="A30" s="42">
        <v>54789</v>
      </c>
      <c r="B30" s="151">
        <v>7.6285297110405814</v>
      </c>
      <c r="C30" s="151">
        <v>7.6285297110405814</v>
      </c>
      <c r="D30" s="151">
        <v>7.6285297110405814</v>
      </c>
      <c r="E30" s="151">
        <v>7.6285297110405814</v>
      </c>
      <c r="F30" s="151">
        <v>7.6285297110405814</v>
      </c>
      <c r="G30" s="151">
        <v>7.6285297110405814</v>
      </c>
      <c r="H30" s="151">
        <v>7.6285297110405814</v>
      </c>
      <c r="I30" s="151">
        <v>7.6285297110405814</v>
      </c>
      <c r="J30" s="151">
        <v>7.6285297110405814</v>
      </c>
      <c r="K30" s="151">
        <v>7.6285297110405814</v>
      </c>
    </row>
    <row r="31" spans="1:11" x14ac:dyDescent="0.25">
      <c r="A31" s="42">
        <v>55154</v>
      </c>
      <c r="B31" s="151">
        <v>7.8347621448804485</v>
      </c>
      <c r="C31" s="151">
        <v>7.8347621448804485</v>
      </c>
      <c r="D31" s="151">
        <v>7.8347621448804485</v>
      </c>
      <c r="E31" s="151">
        <v>7.8347621448804485</v>
      </c>
      <c r="F31" s="151">
        <v>7.8347621448804485</v>
      </c>
      <c r="G31" s="151">
        <v>7.8347621448804485</v>
      </c>
      <c r="H31" s="151">
        <v>7.8347621448804485</v>
      </c>
      <c r="I31" s="151">
        <v>7.8347621448804485</v>
      </c>
      <c r="J31" s="151">
        <v>7.8347621448804485</v>
      </c>
      <c r="K31" s="151">
        <v>7.8347621448804485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A32B1-2268-428F-AC62-0B0520BE551A}">
  <sheetPr>
    <tabColor rgb="FF00B0F0"/>
  </sheetPr>
  <dimension ref="A1:K31"/>
  <sheetViews>
    <sheetView workbookViewId="0">
      <selection activeCell="B3" sqref="B3:B31"/>
    </sheetView>
  </sheetViews>
  <sheetFormatPr defaultRowHeight="15" x14ac:dyDescent="0.25"/>
  <sheetData>
    <row r="1" spans="1:11" x14ac:dyDescent="0.25">
      <c r="A1" t="s">
        <v>239</v>
      </c>
      <c r="B1">
        <v>1</v>
      </c>
      <c r="C1">
        <v>2</v>
      </c>
      <c r="D1">
        <v>3</v>
      </c>
      <c r="E1">
        <v>4</v>
      </c>
      <c r="F1">
        <v>5</v>
      </c>
      <c r="G1">
        <v>6</v>
      </c>
      <c r="H1">
        <v>7</v>
      </c>
      <c r="I1">
        <v>8</v>
      </c>
      <c r="J1">
        <v>9</v>
      </c>
      <c r="K1">
        <v>10</v>
      </c>
    </row>
    <row r="2" spans="1:11" x14ac:dyDescent="0.25">
      <c r="A2" s="42">
        <v>44562</v>
      </c>
      <c r="B2">
        <v>100</v>
      </c>
      <c r="C2">
        <v>100</v>
      </c>
      <c r="D2">
        <v>100</v>
      </c>
      <c r="E2">
        <v>100</v>
      </c>
      <c r="F2">
        <v>100</v>
      </c>
      <c r="G2">
        <v>100</v>
      </c>
      <c r="H2">
        <v>100</v>
      </c>
      <c r="I2">
        <v>100</v>
      </c>
      <c r="J2">
        <v>100</v>
      </c>
      <c r="K2">
        <v>100</v>
      </c>
    </row>
    <row r="3" spans="1:11" x14ac:dyDescent="0.25">
      <c r="A3" s="42">
        <v>44927</v>
      </c>
      <c r="B3">
        <v>0.63</v>
      </c>
      <c r="C3">
        <v>0.63</v>
      </c>
      <c r="D3">
        <v>0.63</v>
      </c>
      <c r="E3">
        <v>0.63</v>
      </c>
      <c r="F3">
        <v>0.63</v>
      </c>
      <c r="G3">
        <v>0.63</v>
      </c>
      <c r="H3">
        <v>0.63</v>
      </c>
      <c r="I3">
        <v>0.63</v>
      </c>
      <c r="J3">
        <v>0.63</v>
      </c>
      <c r="K3">
        <v>0.63</v>
      </c>
    </row>
    <row r="4" spans="1:11" x14ac:dyDescent="0.25">
      <c r="A4" s="42">
        <v>45292</v>
      </c>
      <c r="B4">
        <v>0.68500000000000005</v>
      </c>
      <c r="C4">
        <v>0.68500000000000005</v>
      </c>
      <c r="D4">
        <v>0.68500000000000005</v>
      </c>
      <c r="E4">
        <v>0.68500000000000005</v>
      </c>
      <c r="F4">
        <v>0.68500000000000005</v>
      </c>
      <c r="G4">
        <v>0.68500000000000005</v>
      </c>
      <c r="H4">
        <v>0.68500000000000005</v>
      </c>
      <c r="I4">
        <v>0.68500000000000005</v>
      </c>
      <c r="J4">
        <v>0.68500000000000005</v>
      </c>
      <c r="K4">
        <v>0.68500000000000005</v>
      </c>
    </row>
    <row r="5" spans="1:11" x14ac:dyDescent="0.25">
      <c r="A5" s="42">
        <v>45658</v>
      </c>
      <c r="B5">
        <v>0.74299999999999999</v>
      </c>
      <c r="C5">
        <v>0.74299999999999999</v>
      </c>
      <c r="D5">
        <v>0.74299999999999999</v>
      </c>
      <c r="E5">
        <v>0.74299999999999999</v>
      </c>
      <c r="F5">
        <v>0.74299999999999999</v>
      </c>
      <c r="G5">
        <v>0.74299999999999999</v>
      </c>
      <c r="H5">
        <v>0.74299999999999999</v>
      </c>
      <c r="I5">
        <v>0.74299999999999999</v>
      </c>
      <c r="J5">
        <v>0.74299999999999999</v>
      </c>
      <c r="K5">
        <v>0.74299999999999999</v>
      </c>
    </row>
    <row r="6" spans="1:11" x14ac:dyDescent="0.25">
      <c r="A6" s="42">
        <v>46023</v>
      </c>
      <c r="B6">
        <v>0.79600000000000004</v>
      </c>
      <c r="C6">
        <v>0.79600000000000004</v>
      </c>
      <c r="D6">
        <v>0.79600000000000004</v>
      </c>
      <c r="E6">
        <v>0.79600000000000004</v>
      </c>
      <c r="F6">
        <v>0.79600000000000004</v>
      </c>
      <c r="G6">
        <v>0.79600000000000004</v>
      </c>
      <c r="H6">
        <v>0.79600000000000004</v>
      </c>
      <c r="I6">
        <v>0.79600000000000004</v>
      </c>
      <c r="J6">
        <v>0.79600000000000004</v>
      </c>
      <c r="K6">
        <v>0.79600000000000004</v>
      </c>
    </row>
    <row r="7" spans="1:11" x14ac:dyDescent="0.25">
      <c r="A7" s="42">
        <v>46388</v>
      </c>
      <c r="B7">
        <v>0.86499999999999999</v>
      </c>
      <c r="C7">
        <v>0.86499999999999999</v>
      </c>
      <c r="D7">
        <v>0.86499999999999999</v>
      </c>
      <c r="E7">
        <v>0.86499999999999999</v>
      </c>
      <c r="F7">
        <v>0.86499999999999999</v>
      </c>
      <c r="G7">
        <v>0.86499999999999999</v>
      </c>
      <c r="H7">
        <v>0.86499999999999999</v>
      </c>
      <c r="I7">
        <v>0.86499999999999999</v>
      </c>
      <c r="J7">
        <v>0.86499999999999999</v>
      </c>
      <c r="K7">
        <v>0.86499999999999999</v>
      </c>
    </row>
    <row r="8" spans="1:11" x14ac:dyDescent="0.25">
      <c r="A8" s="42">
        <v>46753</v>
      </c>
      <c r="B8">
        <v>0.91700000000000004</v>
      </c>
      <c r="C8">
        <v>0.91700000000000004</v>
      </c>
      <c r="D8">
        <v>0.91700000000000004</v>
      </c>
      <c r="E8">
        <v>0.91700000000000004</v>
      </c>
      <c r="F8">
        <v>0.91700000000000004</v>
      </c>
      <c r="G8">
        <v>0.91700000000000004</v>
      </c>
      <c r="H8">
        <v>0.91700000000000004</v>
      </c>
      <c r="I8">
        <v>0.91700000000000004</v>
      </c>
      <c r="J8">
        <v>0.91700000000000004</v>
      </c>
      <c r="K8">
        <v>0.91700000000000004</v>
      </c>
    </row>
    <row r="9" spans="1:11" x14ac:dyDescent="0.25">
      <c r="A9" s="42">
        <v>47119</v>
      </c>
      <c r="B9">
        <v>0.97799999999999998</v>
      </c>
      <c r="C9">
        <v>0.97799999999999998</v>
      </c>
      <c r="D9">
        <v>0.97799999999999998</v>
      </c>
      <c r="E9">
        <v>0.97799999999999998</v>
      </c>
      <c r="F9">
        <v>0.97799999999999998</v>
      </c>
      <c r="G9">
        <v>0.97799999999999998</v>
      </c>
      <c r="H9">
        <v>0.97799999999999998</v>
      </c>
      <c r="I9">
        <v>0.97799999999999998</v>
      </c>
      <c r="J9">
        <v>0.97799999999999998</v>
      </c>
      <c r="K9">
        <v>0.97799999999999998</v>
      </c>
    </row>
    <row r="10" spans="1:11" x14ac:dyDescent="0.25">
      <c r="A10" s="42">
        <v>47484</v>
      </c>
      <c r="B10">
        <v>1.0409999999999999</v>
      </c>
      <c r="C10">
        <v>1.0409999999999999</v>
      </c>
      <c r="D10">
        <v>1.0409999999999999</v>
      </c>
      <c r="E10">
        <v>1.0409999999999999</v>
      </c>
      <c r="F10">
        <v>1.0409999999999999</v>
      </c>
      <c r="G10">
        <v>1.0409999999999999</v>
      </c>
      <c r="H10">
        <v>1.0409999999999999</v>
      </c>
      <c r="I10">
        <v>1.0409999999999999</v>
      </c>
      <c r="J10">
        <v>1.0409999999999999</v>
      </c>
      <c r="K10">
        <v>1.0409999999999999</v>
      </c>
    </row>
    <row r="11" spans="1:11" x14ac:dyDescent="0.25">
      <c r="A11" s="42">
        <v>47849</v>
      </c>
      <c r="B11">
        <v>1.133</v>
      </c>
      <c r="C11">
        <v>1.133</v>
      </c>
      <c r="D11">
        <v>1.133</v>
      </c>
      <c r="E11">
        <v>1.133</v>
      </c>
      <c r="F11">
        <v>1.133</v>
      </c>
      <c r="G11">
        <v>1.133</v>
      </c>
      <c r="H11">
        <v>1.133</v>
      </c>
      <c r="I11">
        <v>1.133</v>
      </c>
      <c r="J11">
        <v>1.133</v>
      </c>
      <c r="K11">
        <v>1.133</v>
      </c>
    </row>
    <row r="12" spans="1:11" x14ac:dyDescent="0.25">
      <c r="A12" s="42">
        <v>48214</v>
      </c>
      <c r="B12">
        <v>1.218</v>
      </c>
      <c r="C12">
        <v>1.218</v>
      </c>
      <c r="D12">
        <v>1.218</v>
      </c>
      <c r="E12">
        <v>1.218</v>
      </c>
      <c r="F12">
        <v>1.218</v>
      </c>
      <c r="G12">
        <v>1.218</v>
      </c>
      <c r="H12">
        <v>1.218</v>
      </c>
      <c r="I12">
        <v>1.218</v>
      </c>
      <c r="J12">
        <v>1.218</v>
      </c>
      <c r="K12">
        <v>1.218</v>
      </c>
    </row>
    <row r="13" spans="1:11" x14ac:dyDescent="0.25">
      <c r="A13" s="42">
        <v>48580</v>
      </c>
      <c r="B13">
        <v>1.306</v>
      </c>
      <c r="C13">
        <v>1.306</v>
      </c>
      <c r="D13">
        <v>1.306</v>
      </c>
      <c r="E13">
        <v>1.306</v>
      </c>
      <c r="F13">
        <v>1.306</v>
      </c>
      <c r="G13">
        <v>1.306</v>
      </c>
      <c r="H13">
        <v>1.306</v>
      </c>
      <c r="I13">
        <v>1.306</v>
      </c>
      <c r="J13">
        <v>1.306</v>
      </c>
      <c r="K13">
        <v>1.306</v>
      </c>
    </row>
    <row r="14" spans="1:11" x14ac:dyDescent="0.25">
      <c r="A14" s="42">
        <v>48945</v>
      </c>
      <c r="B14">
        <v>1.4179999999999999</v>
      </c>
      <c r="C14">
        <v>1.4179999999999999</v>
      </c>
      <c r="D14">
        <v>1.4179999999999999</v>
      </c>
      <c r="E14">
        <v>1.4179999999999999</v>
      </c>
      <c r="F14">
        <v>1.4179999999999999</v>
      </c>
      <c r="G14">
        <v>1.4179999999999999</v>
      </c>
      <c r="H14">
        <v>1.4179999999999999</v>
      </c>
      <c r="I14">
        <v>1.4179999999999999</v>
      </c>
      <c r="J14">
        <v>1.4179999999999999</v>
      </c>
      <c r="K14">
        <v>1.4179999999999999</v>
      </c>
    </row>
    <row r="15" spans="1:11" x14ac:dyDescent="0.25">
      <c r="A15" s="42">
        <v>49310</v>
      </c>
      <c r="B15">
        <v>1.532</v>
      </c>
      <c r="C15">
        <v>1.532</v>
      </c>
      <c r="D15">
        <v>1.532</v>
      </c>
      <c r="E15">
        <v>1.532</v>
      </c>
      <c r="F15">
        <v>1.532</v>
      </c>
      <c r="G15">
        <v>1.532</v>
      </c>
      <c r="H15">
        <v>1.532</v>
      </c>
      <c r="I15">
        <v>1.532</v>
      </c>
      <c r="J15">
        <v>1.532</v>
      </c>
      <c r="K15">
        <v>1.532</v>
      </c>
    </row>
    <row r="16" spans="1:11" x14ac:dyDescent="0.25">
      <c r="A16" s="42">
        <v>49675</v>
      </c>
      <c r="B16">
        <v>1.6619999999999999</v>
      </c>
      <c r="C16">
        <v>1.6619999999999999</v>
      </c>
      <c r="D16">
        <v>1.6619999999999999</v>
      </c>
      <c r="E16">
        <v>1.6619999999999999</v>
      </c>
      <c r="F16">
        <v>1.6619999999999999</v>
      </c>
      <c r="G16">
        <v>1.6619999999999999</v>
      </c>
      <c r="H16">
        <v>1.6619999999999999</v>
      </c>
      <c r="I16">
        <v>1.6619999999999999</v>
      </c>
      <c r="J16">
        <v>1.6619999999999999</v>
      </c>
      <c r="K16">
        <v>1.6619999999999999</v>
      </c>
    </row>
    <row r="17" spans="1:11" x14ac:dyDescent="0.25">
      <c r="A17" s="42">
        <v>50041</v>
      </c>
      <c r="B17">
        <v>1.8140000000000001</v>
      </c>
      <c r="C17">
        <v>1.8140000000000001</v>
      </c>
      <c r="D17">
        <v>1.8140000000000001</v>
      </c>
      <c r="E17">
        <v>1.8140000000000001</v>
      </c>
      <c r="F17">
        <v>1.8140000000000001</v>
      </c>
      <c r="G17">
        <v>1.8140000000000001</v>
      </c>
      <c r="H17">
        <v>1.8140000000000001</v>
      </c>
      <c r="I17">
        <v>1.8140000000000001</v>
      </c>
      <c r="J17">
        <v>1.8140000000000001</v>
      </c>
      <c r="K17">
        <v>1.8140000000000001</v>
      </c>
    </row>
    <row r="18" spans="1:11" x14ac:dyDescent="0.25">
      <c r="A18" s="42">
        <v>50406</v>
      </c>
      <c r="B18">
        <v>1.964</v>
      </c>
      <c r="C18">
        <v>1.964</v>
      </c>
      <c r="D18">
        <v>1.964</v>
      </c>
      <c r="E18">
        <v>1.964</v>
      </c>
      <c r="F18">
        <v>1.964</v>
      </c>
      <c r="G18">
        <v>1.964</v>
      </c>
      <c r="H18">
        <v>1.964</v>
      </c>
      <c r="I18">
        <v>1.964</v>
      </c>
      <c r="J18">
        <v>1.964</v>
      </c>
      <c r="K18">
        <v>1.964</v>
      </c>
    </row>
    <row r="19" spans="1:11" x14ac:dyDescent="0.25">
      <c r="A19" s="42">
        <v>50771</v>
      </c>
      <c r="B19">
        <v>2.1389999999999998</v>
      </c>
      <c r="C19">
        <v>2.1389999999999998</v>
      </c>
      <c r="D19">
        <v>2.1389999999999998</v>
      </c>
      <c r="E19">
        <v>2.1389999999999998</v>
      </c>
      <c r="F19">
        <v>2.1389999999999998</v>
      </c>
      <c r="G19">
        <v>2.1389999999999998</v>
      </c>
      <c r="H19">
        <v>2.1389999999999998</v>
      </c>
      <c r="I19">
        <v>2.1389999999999998</v>
      </c>
      <c r="J19">
        <v>2.1389999999999998</v>
      </c>
      <c r="K19">
        <v>2.1389999999999998</v>
      </c>
    </row>
    <row r="20" spans="1:11" x14ac:dyDescent="0.25">
      <c r="A20" s="42">
        <v>51136</v>
      </c>
      <c r="B20">
        <v>2.3370000000000002</v>
      </c>
      <c r="C20">
        <v>2.3370000000000002</v>
      </c>
      <c r="D20">
        <v>2.3370000000000002</v>
      </c>
      <c r="E20">
        <v>2.3370000000000002</v>
      </c>
      <c r="F20">
        <v>2.3370000000000002</v>
      </c>
      <c r="G20">
        <v>2.3370000000000002</v>
      </c>
      <c r="H20">
        <v>2.3370000000000002</v>
      </c>
      <c r="I20">
        <v>2.3370000000000002</v>
      </c>
      <c r="J20">
        <v>2.3370000000000002</v>
      </c>
      <c r="K20">
        <v>2.3370000000000002</v>
      </c>
    </row>
    <row r="21" spans="1:11" x14ac:dyDescent="0.25">
      <c r="A21" s="42">
        <v>51502</v>
      </c>
      <c r="B21">
        <v>2.5</v>
      </c>
      <c r="C21">
        <v>2.5</v>
      </c>
      <c r="D21">
        <v>2.5</v>
      </c>
      <c r="E21">
        <v>2.5</v>
      </c>
      <c r="F21">
        <v>2.5</v>
      </c>
      <c r="G21">
        <v>2.5</v>
      </c>
      <c r="H21">
        <v>2.5</v>
      </c>
      <c r="I21">
        <v>2.5</v>
      </c>
      <c r="J21">
        <v>2.5</v>
      </c>
      <c r="K21">
        <v>2.5</v>
      </c>
    </row>
    <row r="22" spans="1:11" x14ac:dyDescent="0.25">
      <c r="A22" s="42">
        <v>51867</v>
      </c>
      <c r="B22">
        <v>2.714</v>
      </c>
      <c r="C22">
        <v>2.714</v>
      </c>
      <c r="D22">
        <v>2.714</v>
      </c>
      <c r="E22">
        <v>2.714</v>
      </c>
      <c r="F22">
        <v>2.714</v>
      </c>
      <c r="G22">
        <v>2.714</v>
      </c>
      <c r="H22">
        <v>2.714</v>
      </c>
      <c r="I22">
        <v>2.714</v>
      </c>
      <c r="J22">
        <v>2.714</v>
      </c>
      <c r="K22">
        <v>2.714</v>
      </c>
    </row>
    <row r="23" spans="1:11" x14ac:dyDescent="0.25">
      <c r="A23" s="42">
        <v>52232</v>
      </c>
      <c r="B23">
        <v>2.9279999999999999</v>
      </c>
      <c r="C23">
        <v>2.9279999999999999</v>
      </c>
      <c r="D23">
        <v>2.9279999999999999</v>
      </c>
      <c r="E23">
        <v>2.9279999999999999</v>
      </c>
      <c r="F23">
        <v>2.9279999999999999</v>
      </c>
      <c r="G23">
        <v>2.9279999999999999</v>
      </c>
      <c r="H23">
        <v>2.9279999999999999</v>
      </c>
      <c r="I23">
        <v>2.9279999999999999</v>
      </c>
      <c r="J23">
        <v>2.9279999999999999</v>
      </c>
      <c r="K23">
        <v>2.9279999999999999</v>
      </c>
    </row>
    <row r="24" spans="1:11" x14ac:dyDescent="0.25">
      <c r="A24" s="42">
        <v>52597</v>
      </c>
      <c r="B24">
        <v>3.181</v>
      </c>
      <c r="C24">
        <v>3.181</v>
      </c>
      <c r="D24">
        <v>3.181</v>
      </c>
      <c r="E24">
        <v>3.181</v>
      </c>
      <c r="F24">
        <v>3.181</v>
      </c>
      <c r="G24">
        <v>3.181</v>
      </c>
      <c r="H24">
        <v>3.181</v>
      </c>
      <c r="I24">
        <v>3.181</v>
      </c>
      <c r="J24">
        <v>3.181</v>
      </c>
      <c r="K24">
        <v>3.181</v>
      </c>
    </row>
    <row r="25" spans="1:11" x14ac:dyDescent="0.25">
      <c r="A25" s="42">
        <v>52963</v>
      </c>
      <c r="B25">
        <v>3.4129999999999998</v>
      </c>
      <c r="C25">
        <v>3.4129999999999998</v>
      </c>
      <c r="D25">
        <v>3.4129999999999998</v>
      </c>
      <c r="E25">
        <v>3.4129999999999998</v>
      </c>
      <c r="F25">
        <v>3.4129999999999998</v>
      </c>
      <c r="G25">
        <v>3.4129999999999998</v>
      </c>
      <c r="H25">
        <v>3.4129999999999998</v>
      </c>
      <c r="I25">
        <v>3.4129999999999998</v>
      </c>
      <c r="J25">
        <v>3.4129999999999998</v>
      </c>
      <c r="K25">
        <v>3.4129999999999998</v>
      </c>
    </row>
    <row r="26" spans="1:11" x14ac:dyDescent="0.25">
      <c r="A26" s="42">
        <v>53328</v>
      </c>
      <c r="B26">
        <v>3.64</v>
      </c>
      <c r="C26">
        <v>3.64</v>
      </c>
      <c r="D26">
        <v>3.64</v>
      </c>
      <c r="E26">
        <v>3.64</v>
      </c>
      <c r="F26">
        <v>3.64</v>
      </c>
      <c r="G26">
        <v>3.64</v>
      </c>
      <c r="H26">
        <v>3.64</v>
      </c>
      <c r="I26">
        <v>3.64</v>
      </c>
      <c r="J26">
        <v>3.64</v>
      </c>
      <c r="K26">
        <v>3.64</v>
      </c>
    </row>
    <row r="27" spans="1:11" x14ac:dyDescent="0.25">
      <c r="A27" s="42">
        <v>53693</v>
      </c>
      <c r="B27">
        <v>3.911</v>
      </c>
      <c r="C27">
        <v>3.911</v>
      </c>
      <c r="D27">
        <v>3.911</v>
      </c>
      <c r="E27">
        <v>3.911</v>
      </c>
      <c r="F27">
        <v>3.911</v>
      </c>
      <c r="G27">
        <v>3.911</v>
      </c>
      <c r="H27">
        <v>3.911</v>
      </c>
      <c r="I27">
        <v>3.911</v>
      </c>
      <c r="J27">
        <v>3.911</v>
      </c>
      <c r="K27">
        <v>3.911</v>
      </c>
    </row>
    <row r="28" spans="1:11" x14ac:dyDescent="0.25">
      <c r="A28" s="42">
        <v>54058</v>
      </c>
      <c r="B28">
        <v>4.1550000000000002</v>
      </c>
      <c r="C28">
        <v>4.1550000000000002</v>
      </c>
      <c r="D28">
        <v>4.1550000000000002</v>
      </c>
      <c r="E28">
        <v>4.1550000000000002</v>
      </c>
      <c r="F28">
        <v>4.1550000000000002</v>
      </c>
      <c r="G28">
        <v>4.1550000000000002</v>
      </c>
      <c r="H28">
        <v>4.1550000000000002</v>
      </c>
      <c r="I28">
        <v>4.1550000000000002</v>
      </c>
      <c r="J28">
        <v>4.1550000000000002</v>
      </c>
      <c r="K28">
        <v>4.1550000000000002</v>
      </c>
    </row>
    <row r="29" spans="1:11" x14ac:dyDescent="0.25">
      <c r="A29" s="42">
        <v>54424</v>
      </c>
      <c r="B29">
        <v>4.4749999999999996</v>
      </c>
      <c r="C29">
        <v>4.4749999999999996</v>
      </c>
      <c r="D29">
        <v>4.4749999999999996</v>
      </c>
      <c r="E29">
        <v>4.4749999999999996</v>
      </c>
      <c r="F29">
        <v>4.4749999999999996</v>
      </c>
      <c r="G29">
        <v>4.4749999999999996</v>
      </c>
      <c r="H29">
        <v>4.4749999999999996</v>
      </c>
      <c r="I29">
        <v>4.4749999999999996</v>
      </c>
      <c r="J29">
        <v>4.4749999999999996</v>
      </c>
      <c r="K29">
        <v>4.4749999999999996</v>
      </c>
    </row>
    <row r="30" spans="1:11" x14ac:dyDescent="0.25">
      <c r="A30" s="42">
        <v>54789</v>
      </c>
      <c r="B30">
        <v>4.8310000000000004</v>
      </c>
      <c r="C30">
        <v>4.8310000000000004</v>
      </c>
      <c r="D30">
        <v>4.8310000000000004</v>
      </c>
      <c r="E30">
        <v>4.8310000000000004</v>
      </c>
      <c r="F30">
        <v>4.8310000000000004</v>
      </c>
      <c r="G30">
        <v>4.8310000000000004</v>
      </c>
      <c r="H30">
        <v>4.8310000000000004</v>
      </c>
      <c r="I30">
        <v>4.8310000000000004</v>
      </c>
      <c r="J30">
        <v>4.8310000000000004</v>
      </c>
      <c r="K30">
        <v>4.8310000000000004</v>
      </c>
    </row>
    <row r="31" spans="1:11" x14ac:dyDescent="0.25">
      <c r="A31" s="42">
        <v>55154</v>
      </c>
      <c r="B31">
        <v>5.22</v>
      </c>
      <c r="C31">
        <v>5.22</v>
      </c>
      <c r="D31">
        <v>5.22</v>
      </c>
      <c r="E31">
        <v>5.22</v>
      </c>
      <c r="F31">
        <v>5.22</v>
      </c>
      <c r="G31">
        <v>5.22</v>
      </c>
      <c r="H31">
        <v>5.22</v>
      </c>
      <c r="I31">
        <v>5.22</v>
      </c>
      <c r="J31">
        <v>5.22</v>
      </c>
      <c r="K31">
        <v>5.22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A3199-A8FB-4062-9E05-20CCDEEC23DE}">
  <sheetPr filterMode="1">
    <tabColor rgb="FF00B0F0"/>
  </sheetPr>
  <dimension ref="A1:D411"/>
  <sheetViews>
    <sheetView workbookViewId="0">
      <selection activeCell="C15" sqref="C15"/>
    </sheetView>
  </sheetViews>
  <sheetFormatPr defaultRowHeight="15" x14ac:dyDescent="0.25"/>
  <cols>
    <col min="2" max="2" width="26.42578125" customWidth="1"/>
    <col min="3" max="3" width="32.5703125" customWidth="1"/>
  </cols>
  <sheetData>
    <row r="1" spans="1:4" x14ac:dyDescent="0.25">
      <c r="A1" t="s">
        <v>242</v>
      </c>
      <c r="B1" t="s">
        <v>239</v>
      </c>
      <c r="C1" t="s">
        <v>240</v>
      </c>
      <c r="D1" t="s">
        <v>429</v>
      </c>
    </row>
    <row r="2" spans="1:4" hidden="1" x14ac:dyDescent="0.25">
      <c r="A2">
        <f>YEAR(B2)</f>
        <v>2021</v>
      </c>
      <c r="B2" s="42">
        <v>44501</v>
      </c>
      <c r="C2">
        <v>5.6800949999999997</v>
      </c>
      <c r="D2">
        <f>MONTH(B2)</f>
        <v>11</v>
      </c>
    </row>
    <row r="3" spans="1:4" x14ac:dyDescent="0.25">
      <c r="A3">
        <f t="shared" ref="A3:A66" si="0">YEAR(B3)</f>
        <v>2021</v>
      </c>
      <c r="B3" s="42">
        <v>44531</v>
      </c>
      <c r="C3">
        <v>5.6800949999999997</v>
      </c>
      <c r="D3">
        <f t="shared" ref="D3:D66" si="1">MONTH(B3)</f>
        <v>12</v>
      </c>
    </row>
    <row r="4" spans="1:4" hidden="1" x14ac:dyDescent="0.25">
      <c r="A4">
        <f t="shared" si="0"/>
        <v>2022</v>
      </c>
      <c r="B4" s="42">
        <v>44562</v>
      </c>
      <c r="C4">
        <v>5.7331799999999999</v>
      </c>
      <c r="D4">
        <f t="shared" si="1"/>
        <v>1</v>
      </c>
    </row>
    <row r="5" spans="1:4" hidden="1" x14ac:dyDescent="0.25">
      <c r="A5">
        <f t="shared" si="0"/>
        <v>2022</v>
      </c>
      <c r="B5" s="42">
        <v>44593</v>
      </c>
      <c r="C5">
        <v>5.7331799999999999</v>
      </c>
      <c r="D5">
        <f t="shared" si="1"/>
        <v>2</v>
      </c>
    </row>
    <row r="6" spans="1:4" hidden="1" x14ac:dyDescent="0.25">
      <c r="A6">
        <f t="shared" si="0"/>
        <v>2022</v>
      </c>
      <c r="B6" s="42">
        <v>44621</v>
      </c>
      <c r="C6">
        <v>5.7331799999999999</v>
      </c>
      <c r="D6">
        <f t="shared" si="1"/>
        <v>3</v>
      </c>
    </row>
    <row r="7" spans="1:4" hidden="1" x14ac:dyDescent="0.25">
      <c r="A7">
        <f t="shared" si="0"/>
        <v>2022</v>
      </c>
      <c r="B7" s="42">
        <v>44652</v>
      </c>
      <c r="C7">
        <v>5.7331799999999999</v>
      </c>
      <c r="D7">
        <f t="shared" si="1"/>
        <v>4</v>
      </c>
    </row>
    <row r="8" spans="1:4" hidden="1" x14ac:dyDescent="0.25">
      <c r="A8">
        <f t="shared" si="0"/>
        <v>2022</v>
      </c>
      <c r="B8" s="42">
        <v>44682</v>
      </c>
      <c r="C8">
        <v>5.7331799999999999</v>
      </c>
      <c r="D8">
        <f t="shared" si="1"/>
        <v>5</v>
      </c>
    </row>
    <row r="9" spans="1:4" hidden="1" x14ac:dyDescent="0.25">
      <c r="A9">
        <f t="shared" si="0"/>
        <v>2022</v>
      </c>
      <c r="B9" s="42">
        <v>44713</v>
      </c>
      <c r="C9">
        <v>5.7331799999999999</v>
      </c>
      <c r="D9">
        <f t="shared" si="1"/>
        <v>6</v>
      </c>
    </row>
    <row r="10" spans="1:4" hidden="1" x14ac:dyDescent="0.25">
      <c r="A10">
        <f t="shared" si="0"/>
        <v>2022</v>
      </c>
      <c r="B10" s="42">
        <v>44743</v>
      </c>
      <c r="C10">
        <v>5.7331799999999999</v>
      </c>
      <c r="D10">
        <f t="shared" si="1"/>
        <v>7</v>
      </c>
    </row>
    <row r="11" spans="1:4" hidden="1" x14ac:dyDescent="0.25">
      <c r="A11">
        <f t="shared" si="0"/>
        <v>2022</v>
      </c>
      <c r="B11" s="42">
        <v>44774</v>
      </c>
      <c r="C11">
        <v>5.7331799999999999</v>
      </c>
      <c r="D11">
        <f t="shared" si="1"/>
        <v>8</v>
      </c>
    </row>
    <row r="12" spans="1:4" hidden="1" x14ac:dyDescent="0.25">
      <c r="A12">
        <f t="shared" si="0"/>
        <v>2022</v>
      </c>
      <c r="B12" s="42">
        <v>44805</v>
      </c>
      <c r="C12">
        <v>5.7331799999999999</v>
      </c>
      <c r="D12">
        <f t="shared" si="1"/>
        <v>9</v>
      </c>
    </row>
    <row r="13" spans="1:4" hidden="1" x14ac:dyDescent="0.25">
      <c r="A13">
        <f t="shared" si="0"/>
        <v>2022</v>
      </c>
      <c r="B13" s="42">
        <v>44835</v>
      </c>
      <c r="C13">
        <v>5.7331799999999999</v>
      </c>
      <c r="D13">
        <f t="shared" si="1"/>
        <v>10</v>
      </c>
    </row>
    <row r="14" spans="1:4" hidden="1" x14ac:dyDescent="0.25">
      <c r="A14">
        <f t="shared" si="0"/>
        <v>2022</v>
      </c>
      <c r="B14" s="42">
        <v>44866</v>
      </c>
      <c r="C14">
        <v>5.7331799999999999</v>
      </c>
      <c r="D14">
        <f t="shared" si="1"/>
        <v>11</v>
      </c>
    </row>
    <row r="15" spans="1:4" x14ac:dyDescent="0.25">
      <c r="A15">
        <f t="shared" si="0"/>
        <v>2022</v>
      </c>
      <c r="B15" s="42">
        <v>44896</v>
      </c>
      <c r="C15">
        <v>5.7331799999999999</v>
      </c>
      <c r="D15">
        <f t="shared" si="1"/>
        <v>12</v>
      </c>
    </row>
    <row r="16" spans="1:4" hidden="1" x14ac:dyDescent="0.25">
      <c r="A16">
        <f t="shared" si="0"/>
        <v>2023</v>
      </c>
      <c r="B16" s="42">
        <v>44927</v>
      </c>
      <c r="C16">
        <v>5.7862650000000002</v>
      </c>
      <c r="D16">
        <f t="shared" si="1"/>
        <v>1</v>
      </c>
    </row>
    <row r="17" spans="1:4" hidden="1" x14ac:dyDescent="0.25">
      <c r="A17">
        <f t="shared" si="0"/>
        <v>2023</v>
      </c>
      <c r="B17" s="42">
        <v>44958</v>
      </c>
      <c r="C17">
        <v>5.7862650000000002</v>
      </c>
      <c r="D17">
        <f t="shared" si="1"/>
        <v>2</v>
      </c>
    </row>
    <row r="18" spans="1:4" hidden="1" x14ac:dyDescent="0.25">
      <c r="A18">
        <f t="shared" si="0"/>
        <v>2023</v>
      </c>
      <c r="B18" s="42">
        <v>44986</v>
      </c>
      <c r="C18">
        <v>5.7862650000000002</v>
      </c>
      <c r="D18">
        <f t="shared" si="1"/>
        <v>3</v>
      </c>
    </row>
    <row r="19" spans="1:4" hidden="1" x14ac:dyDescent="0.25">
      <c r="A19">
        <f t="shared" si="0"/>
        <v>2023</v>
      </c>
      <c r="B19" s="42">
        <v>45017</v>
      </c>
      <c r="C19">
        <v>5.7862650000000002</v>
      </c>
      <c r="D19">
        <f t="shared" si="1"/>
        <v>4</v>
      </c>
    </row>
    <row r="20" spans="1:4" hidden="1" x14ac:dyDescent="0.25">
      <c r="A20">
        <f t="shared" si="0"/>
        <v>2023</v>
      </c>
      <c r="B20" s="42">
        <v>45047</v>
      </c>
      <c r="C20">
        <v>5.7862650000000002</v>
      </c>
      <c r="D20">
        <f t="shared" si="1"/>
        <v>5</v>
      </c>
    </row>
    <row r="21" spans="1:4" hidden="1" x14ac:dyDescent="0.25">
      <c r="A21">
        <f t="shared" si="0"/>
        <v>2023</v>
      </c>
      <c r="B21" s="42">
        <v>45078</v>
      </c>
      <c r="C21">
        <v>5.7862650000000002</v>
      </c>
      <c r="D21">
        <f t="shared" si="1"/>
        <v>6</v>
      </c>
    </row>
    <row r="22" spans="1:4" hidden="1" x14ac:dyDescent="0.25">
      <c r="A22">
        <f t="shared" si="0"/>
        <v>2023</v>
      </c>
      <c r="B22" s="42">
        <v>45108</v>
      </c>
      <c r="C22">
        <v>5.7862650000000002</v>
      </c>
      <c r="D22">
        <f t="shared" si="1"/>
        <v>7</v>
      </c>
    </row>
    <row r="23" spans="1:4" hidden="1" x14ac:dyDescent="0.25">
      <c r="A23">
        <f t="shared" si="0"/>
        <v>2023</v>
      </c>
      <c r="B23" s="42">
        <v>45139</v>
      </c>
      <c r="C23">
        <v>5.7862650000000002</v>
      </c>
      <c r="D23">
        <f t="shared" si="1"/>
        <v>8</v>
      </c>
    </row>
    <row r="24" spans="1:4" hidden="1" x14ac:dyDescent="0.25">
      <c r="A24">
        <f t="shared" si="0"/>
        <v>2023</v>
      </c>
      <c r="B24" s="42">
        <v>45170</v>
      </c>
      <c r="C24">
        <v>5.7862650000000002</v>
      </c>
      <c r="D24">
        <f t="shared" si="1"/>
        <v>9</v>
      </c>
    </row>
    <row r="25" spans="1:4" hidden="1" x14ac:dyDescent="0.25">
      <c r="A25">
        <f t="shared" si="0"/>
        <v>2023</v>
      </c>
      <c r="B25" s="42">
        <v>45200</v>
      </c>
      <c r="C25">
        <v>5.7862650000000002</v>
      </c>
      <c r="D25">
        <f t="shared" si="1"/>
        <v>10</v>
      </c>
    </row>
    <row r="26" spans="1:4" hidden="1" x14ac:dyDescent="0.25">
      <c r="A26">
        <f t="shared" si="0"/>
        <v>2023</v>
      </c>
      <c r="B26" s="42">
        <v>45231</v>
      </c>
      <c r="C26">
        <v>5.7862650000000002</v>
      </c>
      <c r="D26">
        <f t="shared" si="1"/>
        <v>11</v>
      </c>
    </row>
    <row r="27" spans="1:4" x14ac:dyDescent="0.25">
      <c r="A27">
        <f t="shared" si="0"/>
        <v>2023</v>
      </c>
      <c r="B27" s="42">
        <v>45261</v>
      </c>
      <c r="C27">
        <v>5.7862650000000002</v>
      </c>
      <c r="D27">
        <f t="shared" si="1"/>
        <v>12</v>
      </c>
    </row>
    <row r="28" spans="1:4" hidden="1" x14ac:dyDescent="0.25">
      <c r="A28">
        <f t="shared" si="0"/>
        <v>2024</v>
      </c>
      <c r="B28" s="42">
        <v>45292</v>
      </c>
      <c r="C28">
        <v>5.8393499999999996</v>
      </c>
      <c r="D28">
        <f t="shared" si="1"/>
        <v>1</v>
      </c>
    </row>
    <row r="29" spans="1:4" hidden="1" x14ac:dyDescent="0.25">
      <c r="A29">
        <f t="shared" si="0"/>
        <v>2024</v>
      </c>
      <c r="B29" s="42">
        <v>45323</v>
      </c>
      <c r="C29">
        <v>5.8393499999999996</v>
      </c>
      <c r="D29">
        <f t="shared" si="1"/>
        <v>2</v>
      </c>
    </row>
    <row r="30" spans="1:4" hidden="1" x14ac:dyDescent="0.25">
      <c r="A30">
        <f t="shared" si="0"/>
        <v>2024</v>
      </c>
      <c r="B30" s="42">
        <v>45352</v>
      </c>
      <c r="C30">
        <v>5.8393499999999996</v>
      </c>
      <c r="D30">
        <f t="shared" si="1"/>
        <v>3</v>
      </c>
    </row>
    <row r="31" spans="1:4" hidden="1" x14ac:dyDescent="0.25">
      <c r="A31">
        <f t="shared" si="0"/>
        <v>2024</v>
      </c>
      <c r="B31" s="42">
        <v>45383</v>
      </c>
      <c r="C31">
        <v>5.8393499999999996</v>
      </c>
      <c r="D31">
        <f t="shared" si="1"/>
        <v>4</v>
      </c>
    </row>
    <row r="32" spans="1:4" hidden="1" x14ac:dyDescent="0.25">
      <c r="A32">
        <f t="shared" si="0"/>
        <v>2024</v>
      </c>
      <c r="B32" s="42">
        <v>45413</v>
      </c>
      <c r="C32">
        <v>5.8393499999999996</v>
      </c>
      <c r="D32">
        <f t="shared" si="1"/>
        <v>5</v>
      </c>
    </row>
    <row r="33" spans="1:4" hidden="1" x14ac:dyDescent="0.25">
      <c r="A33">
        <f t="shared" si="0"/>
        <v>2024</v>
      </c>
      <c r="B33" s="42">
        <v>45444</v>
      </c>
      <c r="C33">
        <v>5.8393499999999996</v>
      </c>
      <c r="D33">
        <f t="shared" si="1"/>
        <v>6</v>
      </c>
    </row>
    <row r="34" spans="1:4" hidden="1" x14ac:dyDescent="0.25">
      <c r="A34">
        <f t="shared" si="0"/>
        <v>2024</v>
      </c>
      <c r="B34" s="42">
        <v>45474</v>
      </c>
      <c r="C34">
        <v>5.8393499999999996</v>
      </c>
      <c r="D34">
        <f t="shared" si="1"/>
        <v>7</v>
      </c>
    </row>
    <row r="35" spans="1:4" hidden="1" x14ac:dyDescent="0.25">
      <c r="A35">
        <f t="shared" si="0"/>
        <v>2024</v>
      </c>
      <c r="B35" s="42">
        <v>45505</v>
      </c>
      <c r="C35">
        <v>5.8393499999999996</v>
      </c>
      <c r="D35">
        <f t="shared" si="1"/>
        <v>8</v>
      </c>
    </row>
    <row r="36" spans="1:4" hidden="1" x14ac:dyDescent="0.25">
      <c r="A36">
        <f t="shared" si="0"/>
        <v>2024</v>
      </c>
      <c r="B36" s="42">
        <v>45536</v>
      </c>
      <c r="C36">
        <v>5.8393499999999996</v>
      </c>
      <c r="D36">
        <f t="shared" si="1"/>
        <v>9</v>
      </c>
    </row>
    <row r="37" spans="1:4" hidden="1" x14ac:dyDescent="0.25">
      <c r="A37">
        <f t="shared" si="0"/>
        <v>2024</v>
      </c>
      <c r="B37" s="42">
        <v>45566</v>
      </c>
      <c r="C37">
        <v>5.8393499999999996</v>
      </c>
      <c r="D37">
        <f t="shared" si="1"/>
        <v>10</v>
      </c>
    </row>
    <row r="38" spans="1:4" hidden="1" x14ac:dyDescent="0.25">
      <c r="A38">
        <f t="shared" si="0"/>
        <v>2024</v>
      </c>
      <c r="B38" s="42">
        <v>45597</v>
      </c>
      <c r="C38">
        <v>5.8393499999999996</v>
      </c>
      <c r="D38">
        <f t="shared" si="1"/>
        <v>11</v>
      </c>
    </row>
    <row r="39" spans="1:4" x14ac:dyDescent="0.25">
      <c r="A39">
        <f t="shared" si="0"/>
        <v>2024</v>
      </c>
      <c r="B39" s="42">
        <v>45627</v>
      </c>
      <c r="C39">
        <v>5.8393499999999996</v>
      </c>
      <c r="D39">
        <f t="shared" si="1"/>
        <v>12</v>
      </c>
    </row>
    <row r="40" spans="1:4" hidden="1" x14ac:dyDescent="0.25">
      <c r="A40">
        <f t="shared" si="0"/>
        <v>2025</v>
      </c>
      <c r="B40" s="42">
        <v>45658</v>
      </c>
      <c r="C40">
        <v>5.8924349999999999</v>
      </c>
      <c r="D40">
        <f t="shared" si="1"/>
        <v>1</v>
      </c>
    </row>
    <row r="41" spans="1:4" hidden="1" x14ac:dyDescent="0.25">
      <c r="A41">
        <f t="shared" si="0"/>
        <v>2025</v>
      </c>
      <c r="B41" s="42">
        <v>45689</v>
      </c>
      <c r="C41">
        <v>5.8924349999999999</v>
      </c>
      <c r="D41">
        <f t="shared" si="1"/>
        <v>2</v>
      </c>
    </row>
    <row r="42" spans="1:4" hidden="1" x14ac:dyDescent="0.25">
      <c r="A42">
        <f t="shared" si="0"/>
        <v>2025</v>
      </c>
      <c r="B42" s="42">
        <v>45717</v>
      </c>
      <c r="C42">
        <v>5.8924349999999999</v>
      </c>
      <c r="D42">
        <f t="shared" si="1"/>
        <v>3</v>
      </c>
    </row>
    <row r="43" spans="1:4" hidden="1" x14ac:dyDescent="0.25">
      <c r="A43">
        <f t="shared" si="0"/>
        <v>2025</v>
      </c>
      <c r="B43" s="42">
        <v>45748</v>
      </c>
      <c r="C43">
        <v>5.8924349999999999</v>
      </c>
      <c r="D43">
        <f t="shared" si="1"/>
        <v>4</v>
      </c>
    </row>
    <row r="44" spans="1:4" hidden="1" x14ac:dyDescent="0.25">
      <c r="A44">
        <f t="shared" si="0"/>
        <v>2025</v>
      </c>
      <c r="B44" s="42">
        <v>45778</v>
      </c>
      <c r="C44">
        <v>5.8924349999999999</v>
      </c>
      <c r="D44">
        <f t="shared" si="1"/>
        <v>5</v>
      </c>
    </row>
    <row r="45" spans="1:4" hidden="1" x14ac:dyDescent="0.25">
      <c r="A45">
        <f t="shared" si="0"/>
        <v>2025</v>
      </c>
      <c r="B45" s="42">
        <v>45809</v>
      </c>
      <c r="C45">
        <v>5.8924349999999999</v>
      </c>
      <c r="D45">
        <f t="shared" si="1"/>
        <v>6</v>
      </c>
    </row>
    <row r="46" spans="1:4" hidden="1" x14ac:dyDescent="0.25">
      <c r="A46">
        <f t="shared" si="0"/>
        <v>2025</v>
      </c>
      <c r="B46" s="42">
        <v>45839</v>
      </c>
      <c r="C46">
        <v>5.8924349999999999</v>
      </c>
      <c r="D46">
        <f t="shared" si="1"/>
        <v>7</v>
      </c>
    </row>
    <row r="47" spans="1:4" hidden="1" x14ac:dyDescent="0.25">
      <c r="A47">
        <f t="shared" si="0"/>
        <v>2025</v>
      </c>
      <c r="B47" s="42">
        <v>45870</v>
      </c>
      <c r="C47">
        <v>5.8924349999999999</v>
      </c>
      <c r="D47">
        <f t="shared" si="1"/>
        <v>8</v>
      </c>
    </row>
    <row r="48" spans="1:4" hidden="1" x14ac:dyDescent="0.25">
      <c r="A48">
        <f t="shared" si="0"/>
        <v>2025</v>
      </c>
      <c r="B48" s="42">
        <v>45901</v>
      </c>
      <c r="C48">
        <v>5.8924349999999999</v>
      </c>
      <c r="D48">
        <f t="shared" si="1"/>
        <v>9</v>
      </c>
    </row>
    <row r="49" spans="1:4" hidden="1" x14ac:dyDescent="0.25">
      <c r="A49">
        <f t="shared" si="0"/>
        <v>2025</v>
      </c>
      <c r="B49" s="42">
        <v>45931</v>
      </c>
      <c r="C49">
        <v>5.8924349999999999</v>
      </c>
      <c r="D49">
        <f t="shared" si="1"/>
        <v>10</v>
      </c>
    </row>
    <row r="50" spans="1:4" hidden="1" x14ac:dyDescent="0.25">
      <c r="A50">
        <f t="shared" si="0"/>
        <v>2025</v>
      </c>
      <c r="B50" s="42">
        <v>45962</v>
      </c>
      <c r="C50">
        <v>5.8924349999999999</v>
      </c>
      <c r="D50">
        <f t="shared" si="1"/>
        <v>11</v>
      </c>
    </row>
    <row r="51" spans="1:4" x14ac:dyDescent="0.25">
      <c r="A51">
        <f t="shared" si="0"/>
        <v>2025</v>
      </c>
      <c r="B51" s="42">
        <v>45992</v>
      </c>
      <c r="C51">
        <v>5.8924349999999999</v>
      </c>
      <c r="D51">
        <f t="shared" si="1"/>
        <v>12</v>
      </c>
    </row>
    <row r="52" spans="1:4" hidden="1" x14ac:dyDescent="0.25">
      <c r="A52">
        <f t="shared" si="0"/>
        <v>2026</v>
      </c>
      <c r="B52" s="42">
        <v>46023</v>
      </c>
      <c r="C52">
        <v>5.9455200000000001</v>
      </c>
      <c r="D52">
        <f t="shared" si="1"/>
        <v>1</v>
      </c>
    </row>
    <row r="53" spans="1:4" hidden="1" x14ac:dyDescent="0.25">
      <c r="A53">
        <f t="shared" si="0"/>
        <v>2026</v>
      </c>
      <c r="B53" s="42">
        <v>46054</v>
      </c>
      <c r="C53">
        <v>5.9455200000000001</v>
      </c>
      <c r="D53">
        <f t="shared" si="1"/>
        <v>2</v>
      </c>
    </row>
    <row r="54" spans="1:4" hidden="1" x14ac:dyDescent="0.25">
      <c r="A54">
        <f t="shared" si="0"/>
        <v>2026</v>
      </c>
      <c r="B54" s="42">
        <v>46082</v>
      </c>
      <c r="C54">
        <v>5.9455200000000001</v>
      </c>
      <c r="D54">
        <f t="shared" si="1"/>
        <v>3</v>
      </c>
    </row>
    <row r="55" spans="1:4" hidden="1" x14ac:dyDescent="0.25">
      <c r="A55">
        <f t="shared" si="0"/>
        <v>2026</v>
      </c>
      <c r="B55" s="42">
        <v>46113</v>
      </c>
      <c r="C55">
        <v>5.9455200000000001</v>
      </c>
      <c r="D55">
        <f t="shared" si="1"/>
        <v>4</v>
      </c>
    </row>
    <row r="56" spans="1:4" hidden="1" x14ac:dyDescent="0.25">
      <c r="A56">
        <f t="shared" si="0"/>
        <v>2026</v>
      </c>
      <c r="B56" s="42">
        <v>46143</v>
      </c>
      <c r="C56">
        <v>5.9455200000000001</v>
      </c>
      <c r="D56">
        <f t="shared" si="1"/>
        <v>5</v>
      </c>
    </row>
    <row r="57" spans="1:4" hidden="1" x14ac:dyDescent="0.25">
      <c r="A57">
        <f t="shared" si="0"/>
        <v>2026</v>
      </c>
      <c r="B57" s="42">
        <v>46174</v>
      </c>
      <c r="C57">
        <v>5.9455200000000001</v>
      </c>
      <c r="D57">
        <f t="shared" si="1"/>
        <v>6</v>
      </c>
    </row>
    <row r="58" spans="1:4" hidden="1" x14ac:dyDescent="0.25">
      <c r="A58">
        <f t="shared" si="0"/>
        <v>2026</v>
      </c>
      <c r="B58" s="42">
        <v>46204</v>
      </c>
      <c r="C58">
        <v>5.9455200000000001</v>
      </c>
      <c r="D58">
        <f t="shared" si="1"/>
        <v>7</v>
      </c>
    </row>
    <row r="59" spans="1:4" hidden="1" x14ac:dyDescent="0.25">
      <c r="A59">
        <f t="shared" si="0"/>
        <v>2026</v>
      </c>
      <c r="B59" s="42">
        <v>46235</v>
      </c>
      <c r="C59">
        <v>5.9455200000000001</v>
      </c>
      <c r="D59">
        <f t="shared" si="1"/>
        <v>8</v>
      </c>
    </row>
    <row r="60" spans="1:4" hidden="1" x14ac:dyDescent="0.25">
      <c r="A60">
        <f t="shared" si="0"/>
        <v>2026</v>
      </c>
      <c r="B60" s="42">
        <v>46266</v>
      </c>
      <c r="C60">
        <v>5.9455200000000001</v>
      </c>
      <c r="D60">
        <f t="shared" si="1"/>
        <v>9</v>
      </c>
    </row>
    <row r="61" spans="1:4" hidden="1" x14ac:dyDescent="0.25">
      <c r="A61">
        <f t="shared" si="0"/>
        <v>2026</v>
      </c>
      <c r="B61" s="42">
        <v>46296</v>
      </c>
      <c r="C61">
        <v>5.9455200000000001</v>
      </c>
      <c r="D61">
        <f t="shared" si="1"/>
        <v>10</v>
      </c>
    </row>
    <row r="62" spans="1:4" hidden="1" x14ac:dyDescent="0.25">
      <c r="A62">
        <f t="shared" si="0"/>
        <v>2026</v>
      </c>
      <c r="B62" s="42">
        <v>46327</v>
      </c>
      <c r="C62">
        <v>5.9455200000000001</v>
      </c>
      <c r="D62">
        <f t="shared" si="1"/>
        <v>11</v>
      </c>
    </row>
    <row r="63" spans="1:4" x14ac:dyDescent="0.25">
      <c r="A63">
        <f t="shared" si="0"/>
        <v>2026</v>
      </c>
      <c r="B63" s="42">
        <v>46357</v>
      </c>
      <c r="C63">
        <v>5.9455200000000001</v>
      </c>
      <c r="D63">
        <f t="shared" si="1"/>
        <v>12</v>
      </c>
    </row>
    <row r="64" spans="1:4" hidden="1" x14ac:dyDescent="0.25">
      <c r="A64">
        <f t="shared" si="0"/>
        <v>2027</v>
      </c>
      <c r="B64" s="42">
        <v>46388</v>
      </c>
      <c r="C64">
        <v>5.9986050000000004</v>
      </c>
      <c r="D64">
        <f t="shared" si="1"/>
        <v>1</v>
      </c>
    </row>
    <row r="65" spans="1:4" hidden="1" x14ac:dyDescent="0.25">
      <c r="A65">
        <f t="shared" si="0"/>
        <v>2027</v>
      </c>
      <c r="B65" s="42">
        <v>46419</v>
      </c>
      <c r="C65">
        <v>5.9986050000000004</v>
      </c>
      <c r="D65">
        <f t="shared" si="1"/>
        <v>2</v>
      </c>
    </row>
    <row r="66" spans="1:4" hidden="1" x14ac:dyDescent="0.25">
      <c r="A66">
        <f t="shared" si="0"/>
        <v>2027</v>
      </c>
      <c r="B66" s="42">
        <v>46447</v>
      </c>
      <c r="C66">
        <v>5.9986050000000004</v>
      </c>
      <c r="D66">
        <f t="shared" si="1"/>
        <v>3</v>
      </c>
    </row>
    <row r="67" spans="1:4" hidden="1" x14ac:dyDescent="0.25">
      <c r="A67">
        <f t="shared" ref="A67:A130" si="2">YEAR(B67)</f>
        <v>2027</v>
      </c>
      <c r="B67" s="42">
        <v>46478</v>
      </c>
      <c r="C67">
        <v>5.9986050000000004</v>
      </c>
      <c r="D67">
        <f t="shared" ref="D67:D130" si="3">MONTH(B67)</f>
        <v>4</v>
      </c>
    </row>
    <row r="68" spans="1:4" hidden="1" x14ac:dyDescent="0.25">
      <c r="A68">
        <f t="shared" si="2"/>
        <v>2027</v>
      </c>
      <c r="B68" s="42">
        <v>46508</v>
      </c>
      <c r="C68">
        <v>5.9986050000000004</v>
      </c>
      <c r="D68">
        <f t="shared" si="3"/>
        <v>5</v>
      </c>
    </row>
    <row r="69" spans="1:4" hidden="1" x14ac:dyDescent="0.25">
      <c r="A69">
        <f t="shared" si="2"/>
        <v>2027</v>
      </c>
      <c r="B69" s="42">
        <v>46539</v>
      </c>
      <c r="C69">
        <v>5.9986050000000004</v>
      </c>
      <c r="D69">
        <f t="shared" si="3"/>
        <v>6</v>
      </c>
    </row>
    <row r="70" spans="1:4" hidden="1" x14ac:dyDescent="0.25">
      <c r="A70">
        <f t="shared" si="2"/>
        <v>2027</v>
      </c>
      <c r="B70" s="42">
        <v>46569</v>
      </c>
      <c r="C70">
        <v>5.9986050000000004</v>
      </c>
      <c r="D70">
        <f t="shared" si="3"/>
        <v>7</v>
      </c>
    </row>
    <row r="71" spans="1:4" hidden="1" x14ac:dyDescent="0.25">
      <c r="A71">
        <f t="shared" si="2"/>
        <v>2027</v>
      </c>
      <c r="B71" s="42">
        <v>46600</v>
      </c>
      <c r="C71">
        <v>5.9986050000000004</v>
      </c>
      <c r="D71">
        <f t="shared" si="3"/>
        <v>8</v>
      </c>
    </row>
    <row r="72" spans="1:4" hidden="1" x14ac:dyDescent="0.25">
      <c r="A72">
        <f t="shared" si="2"/>
        <v>2027</v>
      </c>
      <c r="B72" s="42">
        <v>46631</v>
      </c>
      <c r="C72">
        <v>5.9986050000000004</v>
      </c>
      <c r="D72">
        <f t="shared" si="3"/>
        <v>9</v>
      </c>
    </row>
    <row r="73" spans="1:4" hidden="1" x14ac:dyDescent="0.25">
      <c r="A73">
        <f t="shared" si="2"/>
        <v>2027</v>
      </c>
      <c r="B73" s="42">
        <v>46661</v>
      </c>
      <c r="C73">
        <v>5.9986050000000004</v>
      </c>
      <c r="D73">
        <f t="shared" si="3"/>
        <v>10</v>
      </c>
    </row>
    <row r="74" spans="1:4" hidden="1" x14ac:dyDescent="0.25">
      <c r="A74">
        <f t="shared" si="2"/>
        <v>2027</v>
      </c>
      <c r="B74" s="42">
        <v>46692</v>
      </c>
      <c r="C74">
        <v>5.9986050000000004</v>
      </c>
      <c r="D74">
        <f t="shared" si="3"/>
        <v>11</v>
      </c>
    </row>
    <row r="75" spans="1:4" x14ac:dyDescent="0.25">
      <c r="A75">
        <f t="shared" si="2"/>
        <v>2027</v>
      </c>
      <c r="B75" s="42">
        <v>46722</v>
      </c>
      <c r="C75">
        <v>5.9986050000000004</v>
      </c>
      <c r="D75">
        <f t="shared" si="3"/>
        <v>12</v>
      </c>
    </row>
    <row r="76" spans="1:4" hidden="1" x14ac:dyDescent="0.25">
      <c r="A76">
        <f t="shared" si="2"/>
        <v>2028</v>
      </c>
      <c r="B76" s="42">
        <v>46753</v>
      </c>
      <c r="C76">
        <v>6.0516899999999998</v>
      </c>
      <c r="D76">
        <f t="shared" si="3"/>
        <v>1</v>
      </c>
    </row>
    <row r="77" spans="1:4" hidden="1" x14ac:dyDescent="0.25">
      <c r="A77">
        <f t="shared" si="2"/>
        <v>2028</v>
      </c>
      <c r="B77" s="42">
        <v>46784</v>
      </c>
      <c r="C77">
        <v>6.0516899999999998</v>
      </c>
      <c r="D77">
        <f t="shared" si="3"/>
        <v>2</v>
      </c>
    </row>
    <row r="78" spans="1:4" hidden="1" x14ac:dyDescent="0.25">
      <c r="A78">
        <f t="shared" si="2"/>
        <v>2028</v>
      </c>
      <c r="B78" s="42">
        <v>46813</v>
      </c>
      <c r="C78">
        <v>6.0516899999999998</v>
      </c>
      <c r="D78">
        <f t="shared" si="3"/>
        <v>3</v>
      </c>
    </row>
    <row r="79" spans="1:4" hidden="1" x14ac:dyDescent="0.25">
      <c r="A79">
        <f t="shared" si="2"/>
        <v>2028</v>
      </c>
      <c r="B79" s="42">
        <v>46844</v>
      </c>
      <c r="C79">
        <v>6.0516899999999998</v>
      </c>
      <c r="D79">
        <f t="shared" si="3"/>
        <v>4</v>
      </c>
    </row>
    <row r="80" spans="1:4" hidden="1" x14ac:dyDescent="0.25">
      <c r="A80">
        <f t="shared" si="2"/>
        <v>2028</v>
      </c>
      <c r="B80" s="42">
        <v>46874</v>
      </c>
      <c r="C80">
        <v>6.0516899999999998</v>
      </c>
      <c r="D80">
        <f t="shared" si="3"/>
        <v>5</v>
      </c>
    </row>
    <row r="81" spans="1:4" hidden="1" x14ac:dyDescent="0.25">
      <c r="A81">
        <f t="shared" si="2"/>
        <v>2028</v>
      </c>
      <c r="B81" s="42">
        <v>46905</v>
      </c>
      <c r="C81">
        <v>6.0516899999999998</v>
      </c>
      <c r="D81">
        <f t="shared" si="3"/>
        <v>6</v>
      </c>
    </row>
    <row r="82" spans="1:4" hidden="1" x14ac:dyDescent="0.25">
      <c r="A82">
        <f t="shared" si="2"/>
        <v>2028</v>
      </c>
      <c r="B82" s="42">
        <v>46935</v>
      </c>
      <c r="C82">
        <v>6.0516899999999998</v>
      </c>
      <c r="D82">
        <f t="shared" si="3"/>
        <v>7</v>
      </c>
    </row>
    <row r="83" spans="1:4" hidden="1" x14ac:dyDescent="0.25">
      <c r="A83">
        <f t="shared" si="2"/>
        <v>2028</v>
      </c>
      <c r="B83" s="42">
        <v>46966</v>
      </c>
      <c r="C83">
        <v>6.0516899999999998</v>
      </c>
      <c r="D83">
        <f t="shared" si="3"/>
        <v>8</v>
      </c>
    </row>
    <row r="84" spans="1:4" hidden="1" x14ac:dyDescent="0.25">
      <c r="A84">
        <f t="shared" si="2"/>
        <v>2028</v>
      </c>
      <c r="B84" s="42">
        <v>46997</v>
      </c>
      <c r="C84">
        <v>6.0516899999999998</v>
      </c>
      <c r="D84">
        <f t="shared" si="3"/>
        <v>9</v>
      </c>
    </row>
    <row r="85" spans="1:4" hidden="1" x14ac:dyDescent="0.25">
      <c r="A85">
        <f t="shared" si="2"/>
        <v>2028</v>
      </c>
      <c r="B85" s="42">
        <v>47027</v>
      </c>
      <c r="C85">
        <v>6.0516899999999998</v>
      </c>
      <c r="D85">
        <f t="shared" si="3"/>
        <v>10</v>
      </c>
    </row>
    <row r="86" spans="1:4" hidden="1" x14ac:dyDescent="0.25">
      <c r="A86">
        <f t="shared" si="2"/>
        <v>2028</v>
      </c>
      <c r="B86" s="42">
        <v>47058</v>
      </c>
      <c r="C86">
        <v>6.0516899999999998</v>
      </c>
      <c r="D86">
        <f t="shared" si="3"/>
        <v>11</v>
      </c>
    </row>
    <row r="87" spans="1:4" x14ac:dyDescent="0.25">
      <c r="A87">
        <f t="shared" si="2"/>
        <v>2028</v>
      </c>
      <c r="B87" s="42">
        <v>47088</v>
      </c>
      <c r="C87">
        <v>6.0516899999999998</v>
      </c>
      <c r="D87">
        <f t="shared" si="3"/>
        <v>12</v>
      </c>
    </row>
    <row r="88" spans="1:4" hidden="1" x14ac:dyDescent="0.25">
      <c r="A88">
        <f t="shared" si="2"/>
        <v>2029</v>
      </c>
      <c r="B88" s="42">
        <v>47119</v>
      </c>
      <c r="C88">
        <v>6.1047750000000001</v>
      </c>
      <c r="D88">
        <f t="shared" si="3"/>
        <v>1</v>
      </c>
    </row>
    <row r="89" spans="1:4" hidden="1" x14ac:dyDescent="0.25">
      <c r="A89">
        <f t="shared" si="2"/>
        <v>2029</v>
      </c>
      <c r="B89" s="42">
        <v>47150</v>
      </c>
      <c r="C89">
        <v>6.1047750000000001</v>
      </c>
      <c r="D89">
        <f t="shared" si="3"/>
        <v>2</v>
      </c>
    </row>
    <row r="90" spans="1:4" hidden="1" x14ac:dyDescent="0.25">
      <c r="A90">
        <f t="shared" si="2"/>
        <v>2029</v>
      </c>
      <c r="B90" s="42">
        <v>47178</v>
      </c>
      <c r="C90">
        <v>6.1047750000000001</v>
      </c>
      <c r="D90">
        <f t="shared" si="3"/>
        <v>3</v>
      </c>
    </row>
    <row r="91" spans="1:4" hidden="1" x14ac:dyDescent="0.25">
      <c r="A91">
        <f t="shared" si="2"/>
        <v>2029</v>
      </c>
      <c r="B91" s="42">
        <v>47209</v>
      </c>
      <c r="C91">
        <v>6.1047750000000001</v>
      </c>
      <c r="D91">
        <f t="shared" si="3"/>
        <v>4</v>
      </c>
    </row>
    <row r="92" spans="1:4" hidden="1" x14ac:dyDescent="0.25">
      <c r="A92">
        <f t="shared" si="2"/>
        <v>2029</v>
      </c>
      <c r="B92" s="42">
        <v>47239</v>
      </c>
      <c r="C92">
        <v>6.1047750000000001</v>
      </c>
      <c r="D92">
        <f t="shared" si="3"/>
        <v>5</v>
      </c>
    </row>
    <row r="93" spans="1:4" hidden="1" x14ac:dyDescent="0.25">
      <c r="A93">
        <f t="shared" si="2"/>
        <v>2029</v>
      </c>
      <c r="B93" s="42">
        <v>47270</v>
      </c>
      <c r="C93">
        <v>6.1047750000000001</v>
      </c>
      <c r="D93">
        <f t="shared" si="3"/>
        <v>6</v>
      </c>
    </row>
    <row r="94" spans="1:4" hidden="1" x14ac:dyDescent="0.25">
      <c r="A94">
        <f t="shared" si="2"/>
        <v>2029</v>
      </c>
      <c r="B94" s="42">
        <v>47300</v>
      </c>
      <c r="C94">
        <v>6.1047750000000001</v>
      </c>
      <c r="D94">
        <f t="shared" si="3"/>
        <v>7</v>
      </c>
    </row>
    <row r="95" spans="1:4" hidden="1" x14ac:dyDescent="0.25">
      <c r="A95">
        <f t="shared" si="2"/>
        <v>2029</v>
      </c>
      <c r="B95" s="42">
        <v>47331</v>
      </c>
      <c r="C95">
        <v>6.1047750000000001</v>
      </c>
      <c r="D95">
        <f t="shared" si="3"/>
        <v>8</v>
      </c>
    </row>
    <row r="96" spans="1:4" hidden="1" x14ac:dyDescent="0.25">
      <c r="A96">
        <f t="shared" si="2"/>
        <v>2029</v>
      </c>
      <c r="B96" s="42">
        <v>47362</v>
      </c>
      <c r="C96">
        <v>6.1047750000000001</v>
      </c>
      <c r="D96">
        <f t="shared" si="3"/>
        <v>9</v>
      </c>
    </row>
    <row r="97" spans="1:4" hidden="1" x14ac:dyDescent="0.25">
      <c r="A97">
        <f t="shared" si="2"/>
        <v>2029</v>
      </c>
      <c r="B97" s="42">
        <v>47392</v>
      </c>
      <c r="C97">
        <v>6.1047750000000001</v>
      </c>
      <c r="D97">
        <f t="shared" si="3"/>
        <v>10</v>
      </c>
    </row>
    <row r="98" spans="1:4" hidden="1" x14ac:dyDescent="0.25">
      <c r="A98">
        <f t="shared" si="2"/>
        <v>2029</v>
      </c>
      <c r="B98" s="42">
        <v>47423</v>
      </c>
      <c r="C98">
        <v>6.1047750000000001</v>
      </c>
      <c r="D98">
        <f t="shared" si="3"/>
        <v>11</v>
      </c>
    </row>
    <row r="99" spans="1:4" x14ac:dyDescent="0.25">
      <c r="A99">
        <f t="shared" si="2"/>
        <v>2029</v>
      </c>
      <c r="B99" s="42">
        <v>47453</v>
      </c>
      <c r="C99">
        <v>6.1047750000000001</v>
      </c>
      <c r="D99">
        <f t="shared" si="3"/>
        <v>12</v>
      </c>
    </row>
    <row r="100" spans="1:4" hidden="1" x14ac:dyDescent="0.25">
      <c r="A100">
        <f t="shared" si="2"/>
        <v>2030</v>
      </c>
      <c r="B100" s="42">
        <v>47484</v>
      </c>
      <c r="C100">
        <v>6.1578600000000003</v>
      </c>
      <c r="D100">
        <f t="shared" si="3"/>
        <v>1</v>
      </c>
    </row>
    <row r="101" spans="1:4" hidden="1" x14ac:dyDescent="0.25">
      <c r="A101">
        <f t="shared" si="2"/>
        <v>2030</v>
      </c>
      <c r="B101" s="42">
        <v>47515</v>
      </c>
      <c r="C101">
        <v>6.1578600000000003</v>
      </c>
      <c r="D101">
        <f t="shared" si="3"/>
        <v>2</v>
      </c>
    </row>
    <row r="102" spans="1:4" hidden="1" x14ac:dyDescent="0.25">
      <c r="A102">
        <f t="shared" si="2"/>
        <v>2030</v>
      </c>
      <c r="B102" s="42">
        <v>47543</v>
      </c>
      <c r="C102">
        <v>6.1578600000000003</v>
      </c>
      <c r="D102">
        <f t="shared" si="3"/>
        <v>3</v>
      </c>
    </row>
    <row r="103" spans="1:4" hidden="1" x14ac:dyDescent="0.25">
      <c r="A103">
        <f t="shared" si="2"/>
        <v>2030</v>
      </c>
      <c r="B103" s="42">
        <v>47574</v>
      </c>
      <c r="C103">
        <v>6.1578600000000003</v>
      </c>
      <c r="D103">
        <f t="shared" si="3"/>
        <v>4</v>
      </c>
    </row>
    <row r="104" spans="1:4" hidden="1" x14ac:dyDescent="0.25">
      <c r="A104">
        <f t="shared" si="2"/>
        <v>2030</v>
      </c>
      <c r="B104" s="42">
        <v>47604</v>
      </c>
      <c r="C104">
        <v>6.1578600000000003</v>
      </c>
      <c r="D104">
        <f t="shared" si="3"/>
        <v>5</v>
      </c>
    </row>
    <row r="105" spans="1:4" hidden="1" x14ac:dyDescent="0.25">
      <c r="A105">
        <f t="shared" si="2"/>
        <v>2030</v>
      </c>
      <c r="B105" s="42">
        <v>47635</v>
      </c>
      <c r="C105">
        <v>6.1578600000000003</v>
      </c>
      <c r="D105">
        <f t="shared" si="3"/>
        <v>6</v>
      </c>
    </row>
    <row r="106" spans="1:4" hidden="1" x14ac:dyDescent="0.25">
      <c r="A106">
        <f t="shared" si="2"/>
        <v>2030</v>
      </c>
      <c r="B106" s="42">
        <v>47665</v>
      </c>
      <c r="C106">
        <v>6.1578600000000003</v>
      </c>
      <c r="D106">
        <f t="shared" si="3"/>
        <v>7</v>
      </c>
    </row>
    <row r="107" spans="1:4" hidden="1" x14ac:dyDescent="0.25">
      <c r="A107">
        <f t="shared" si="2"/>
        <v>2030</v>
      </c>
      <c r="B107" s="42">
        <v>47696</v>
      </c>
      <c r="C107">
        <v>6.1578600000000003</v>
      </c>
      <c r="D107">
        <f t="shared" si="3"/>
        <v>8</v>
      </c>
    </row>
    <row r="108" spans="1:4" hidden="1" x14ac:dyDescent="0.25">
      <c r="A108">
        <f t="shared" si="2"/>
        <v>2030</v>
      </c>
      <c r="B108" s="42">
        <v>47727</v>
      </c>
      <c r="C108">
        <v>6.1578600000000003</v>
      </c>
      <c r="D108">
        <f t="shared" si="3"/>
        <v>9</v>
      </c>
    </row>
    <row r="109" spans="1:4" hidden="1" x14ac:dyDescent="0.25">
      <c r="A109">
        <f t="shared" si="2"/>
        <v>2030</v>
      </c>
      <c r="B109" s="42">
        <v>47757</v>
      </c>
      <c r="C109">
        <v>6.1578600000000003</v>
      </c>
      <c r="D109">
        <f t="shared" si="3"/>
        <v>10</v>
      </c>
    </row>
    <row r="110" spans="1:4" hidden="1" x14ac:dyDescent="0.25">
      <c r="A110">
        <f t="shared" si="2"/>
        <v>2030</v>
      </c>
      <c r="B110" s="42">
        <v>47788</v>
      </c>
      <c r="C110">
        <v>6.1578600000000003</v>
      </c>
      <c r="D110">
        <f t="shared" si="3"/>
        <v>11</v>
      </c>
    </row>
    <row r="111" spans="1:4" x14ac:dyDescent="0.25">
      <c r="A111">
        <f t="shared" si="2"/>
        <v>2030</v>
      </c>
      <c r="B111" s="42">
        <v>47818</v>
      </c>
      <c r="C111">
        <v>6.1578600000000003</v>
      </c>
      <c r="D111">
        <f t="shared" si="3"/>
        <v>12</v>
      </c>
    </row>
    <row r="112" spans="1:4" hidden="1" x14ac:dyDescent="0.25">
      <c r="A112">
        <f t="shared" si="2"/>
        <v>2031</v>
      </c>
      <c r="B112" s="42">
        <v>47849</v>
      </c>
      <c r="C112">
        <v>6.2109449999999997</v>
      </c>
      <c r="D112">
        <f t="shared" si="3"/>
        <v>1</v>
      </c>
    </row>
    <row r="113" spans="1:4" hidden="1" x14ac:dyDescent="0.25">
      <c r="A113">
        <f t="shared" si="2"/>
        <v>2031</v>
      </c>
      <c r="B113" s="42">
        <v>47880</v>
      </c>
      <c r="C113">
        <v>6.2109449999999997</v>
      </c>
      <c r="D113">
        <f t="shared" si="3"/>
        <v>2</v>
      </c>
    </row>
    <row r="114" spans="1:4" hidden="1" x14ac:dyDescent="0.25">
      <c r="A114">
        <f t="shared" si="2"/>
        <v>2031</v>
      </c>
      <c r="B114" s="42">
        <v>47908</v>
      </c>
      <c r="C114">
        <v>6.2109449999999997</v>
      </c>
      <c r="D114">
        <f t="shared" si="3"/>
        <v>3</v>
      </c>
    </row>
    <row r="115" spans="1:4" hidden="1" x14ac:dyDescent="0.25">
      <c r="A115">
        <f t="shared" si="2"/>
        <v>2031</v>
      </c>
      <c r="B115" s="42">
        <v>47939</v>
      </c>
      <c r="C115">
        <v>6.2109449999999997</v>
      </c>
      <c r="D115">
        <f t="shared" si="3"/>
        <v>4</v>
      </c>
    </row>
    <row r="116" spans="1:4" hidden="1" x14ac:dyDescent="0.25">
      <c r="A116">
        <f t="shared" si="2"/>
        <v>2031</v>
      </c>
      <c r="B116" s="42">
        <v>47969</v>
      </c>
      <c r="C116">
        <v>6.2109449999999997</v>
      </c>
      <c r="D116">
        <f t="shared" si="3"/>
        <v>5</v>
      </c>
    </row>
    <row r="117" spans="1:4" hidden="1" x14ac:dyDescent="0.25">
      <c r="A117">
        <f t="shared" si="2"/>
        <v>2031</v>
      </c>
      <c r="B117" s="42">
        <v>48000</v>
      </c>
      <c r="C117">
        <v>6.2109449999999997</v>
      </c>
      <c r="D117">
        <f t="shared" si="3"/>
        <v>6</v>
      </c>
    </row>
    <row r="118" spans="1:4" hidden="1" x14ac:dyDescent="0.25">
      <c r="A118">
        <f t="shared" si="2"/>
        <v>2031</v>
      </c>
      <c r="B118" s="42">
        <v>48030</v>
      </c>
      <c r="C118">
        <v>6.2109449999999997</v>
      </c>
      <c r="D118">
        <f t="shared" si="3"/>
        <v>7</v>
      </c>
    </row>
    <row r="119" spans="1:4" hidden="1" x14ac:dyDescent="0.25">
      <c r="A119">
        <f t="shared" si="2"/>
        <v>2031</v>
      </c>
      <c r="B119" s="42">
        <v>48061</v>
      </c>
      <c r="C119">
        <v>6.2109449999999997</v>
      </c>
      <c r="D119">
        <f t="shared" si="3"/>
        <v>8</v>
      </c>
    </row>
    <row r="120" spans="1:4" hidden="1" x14ac:dyDescent="0.25">
      <c r="A120">
        <f t="shared" si="2"/>
        <v>2031</v>
      </c>
      <c r="B120" s="42">
        <v>48092</v>
      </c>
      <c r="C120">
        <v>6.2109449999999997</v>
      </c>
      <c r="D120">
        <f t="shared" si="3"/>
        <v>9</v>
      </c>
    </row>
    <row r="121" spans="1:4" hidden="1" x14ac:dyDescent="0.25">
      <c r="A121">
        <f t="shared" si="2"/>
        <v>2031</v>
      </c>
      <c r="B121" s="42">
        <v>48122</v>
      </c>
      <c r="C121">
        <v>6.2109449999999997</v>
      </c>
      <c r="D121">
        <f t="shared" si="3"/>
        <v>10</v>
      </c>
    </row>
    <row r="122" spans="1:4" hidden="1" x14ac:dyDescent="0.25">
      <c r="A122">
        <f t="shared" si="2"/>
        <v>2031</v>
      </c>
      <c r="B122" s="42">
        <v>48153</v>
      </c>
      <c r="C122">
        <v>6.2109449999999997</v>
      </c>
      <c r="D122">
        <f t="shared" si="3"/>
        <v>11</v>
      </c>
    </row>
    <row r="123" spans="1:4" x14ac:dyDescent="0.25">
      <c r="A123">
        <f t="shared" si="2"/>
        <v>2031</v>
      </c>
      <c r="B123" s="42">
        <v>48183</v>
      </c>
      <c r="C123">
        <v>6.2109449999999997</v>
      </c>
      <c r="D123">
        <f t="shared" si="3"/>
        <v>12</v>
      </c>
    </row>
    <row r="124" spans="1:4" hidden="1" x14ac:dyDescent="0.25">
      <c r="A124">
        <f t="shared" si="2"/>
        <v>2032</v>
      </c>
      <c r="B124" s="42">
        <v>48214</v>
      </c>
      <c r="C124">
        <v>6.26403</v>
      </c>
      <c r="D124">
        <f t="shared" si="3"/>
        <v>1</v>
      </c>
    </row>
    <row r="125" spans="1:4" hidden="1" x14ac:dyDescent="0.25">
      <c r="A125">
        <f t="shared" si="2"/>
        <v>2032</v>
      </c>
      <c r="B125" s="42">
        <v>48245</v>
      </c>
      <c r="C125">
        <v>6.26403</v>
      </c>
      <c r="D125">
        <f t="shared" si="3"/>
        <v>2</v>
      </c>
    </row>
    <row r="126" spans="1:4" hidden="1" x14ac:dyDescent="0.25">
      <c r="A126">
        <f t="shared" si="2"/>
        <v>2032</v>
      </c>
      <c r="B126" s="42">
        <v>48274</v>
      </c>
      <c r="C126">
        <v>6.26403</v>
      </c>
      <c r="D126">
        <f t="shared" si="3"/>
        <v>3</v>
      </c>
    </row>
    <row r="127" spans="1:4" hidden="1" x14ac:dyDescent="0.25">
      <c r="A127">
        <f t="shared" si="2"/>
        <v>2032</v>
      </c>
      <c r="B127" s="42">
        <v>48305</v>
      </c>
      <c r="C127">
        <v>6.26403</v>
      </c>
      <c r="D127">
        <f t="shared" si="3"/>
        <v>4</v>
      </c>
    </row>
    <row r="128" spans="1:4" hidden="1" x14ac:dyDescent="0.25">
      <c r="A128">
        <f t="shared" si="2"/>
        <v>2032</v>
      </c>
      <c r="B128" s="42">
        <v>48335</v>
      </c>
      <c r="C128">
        <v>6.26403</v>
      </c>
      <c r="D128">
        <f t="shared" si="3"/>
        <v>5</v>
      </c>
    </row>
    <row r="129" spans="1:4" hidden="1" x14ac:dyDescent="0.25">
      <c r="A129">
        <f t="shared" si="2"/>
        <v>2032</v>
      </c>
      <c r="B129" s="42">
        <v>48366</v>
      </c>
      <c r="C129">
        <v>6.26403</v>
      </c>
      <c r="D129">
        <f t="shared" si="3"/>
        <v>6</v>
      </c>
    </row>
    <row r="130" spans="1:4" hidden="1" x14ac:dyDescent="0.25">
      <c r="A130">
        <f t="shared" si="2"/>
        <v>2032</v>
      </c>
      <c r="B130" s="42">
        <v>48396</v>
      </c>
      <c r="C130">
        <v>6.26403</v>
      </c>
      <c r="D130">
        <f t="shared" si="3"/>
        <v>7</v>
      </c>
    </row>
    <row r="131" spans="1:4" hidden="1" x14ac:dyDescent="0.25">
      <c r="A131">
        <f t="shared" ref="A131:A194" si="4">YEAR(B131)</f>
        <v>2032</v>
      </c>
      <c r="B131" s="42">
        <v>48427</v>
      </c>
      <c r="C131">
        <v>6.26403</v>
      </c>
      <c r="D131">
        <f t="shared" ref="D131:D194" si="5">MONTH(B131)</f>
        <v>8</v>
      </c>
    </row>
    <row r="132" spans="1:4" hidden="1" x14ac:dyDescent="0.25">
      <c r="A132">
        <f t="shared" si="4"/>
        <v>2032</v>
      </c>
      <c r="B132" s="42">
        <v>48458</v>
      </c>
      <c r="C132">
        <v>6.26403</v>
      </c>
      <c r="D132">
        <f t="shared" si="5"/>
        <v>9</v>
      </c>
    </row>
    <row r="133" spans="1:4" hidden="1" x14ac:dyDescent="0.25">
      <c r="A133">
        <f t="shared" si="4"/>
        <v>2032</v>
      </c>
      <c r="B133" s="42">
        <v>48488</v>
      </c>
      <c r="C133">
        <v>6.26403</v>
      </c>
      <c r="D133">
        <f t="shared" si="5"/>
        <v>10</v>
      </c>
    </row>
    <row r="134" spans="1:4" hidden="1" x14ac:dyDescent="0.25">
      <c r="A134">
        <f t="shared" si="4"/>
        <v>2032</v>
      </c>
      <c r="B134" s="42">
        <v>48519</v>
      </c>
      <c r="C134">
        <v>6.26403</v>
      </c>
      <c r="D134">
        <f t="shared" si="5"/>
        <v>11</v>
      </c>
    </row>
    <row r="135" spans="1:4" x14ac:dyDescent="0.25">
      <c r="A135">
        <f t="shared" si="4"/>
        <v>2032</v>
      </c>
      <c r="B135" s="42">
        <v>48549</v>
      </c>
      <c r="C135">
        <v>6.26403</v>
      </c>
      <c r="D135">
        <f t="shared" si="5"/>
        <v>12</v>
      </c>
    </row>
    <row r="136" spans="1:4" hidden="1" x14ac:dyDescent="0.25">
      <c r="A136">
        <f t="shared" si="4"/>
        <v>2033</v>
      </c>
      <c r="B136" s="42">
        <v>48580</v>
      </c>
      <c r="C136">
        <v>6.3171150000000003</v>
      </c>
      <c r="D136">
        <f t="shared" si="5"/>
        <v>1</v>
      </c>
    </row>
    <row r="137" spans="1:4" hidden="1" x14ac:dyDescent="0.25">
      <c r="A137">
        <f t="shared" si="4"/>
        <v>2033</v>
      </c>
      <c r="B137" s="42">
        <v>48611</v>
      </c>
      <c r="C137">
        <v>6.3171150000000003</v>
      </c>
      <c r="D137">
        <f t="shared" si="5"/>
        <v>2</v>
      </c>
    </row>
    <row r="138" spans="1:4" hidden="1" x14ac:dyDescent="0.25">
      <c r="A138">
        <f t="shared" si="4"/>
        <v>2033</v>
      </c>
      <c r="B138" s="42">
        <v>48639</v>
      </c>
      <c r="C138">
        <v>6.3171150000000003</v>
      </c>
      <c r="D138">
        <f t="shared" si="5"/>
        <v>3</v>
      </c>
    </row>
    <row r="139" spans="1:4" hidden="1" x14ac:dyDescent="0.25">
      <c r="A139">
        <f t="shared" si="4"/>
        <v>2033</v>
      </c>
      <c r="B139" s="42">
        <v>48670</v>
      </c>
      <c r="C139">
        <v>6.3171150000000003</v>
      </c>
      <c r="D139">
        <f t="shared" si="5"/>
        <v>4</v>
      </c>
    </row>
    <row r="140" spans="1:4" hidden="1" x14ac:dyDescent="0.25">
      <c r="A140">
        <f t="shared" si="4"/>
        <v>2033</v>
      </c>
      <c r="B140" s="42">
        <v>48700</v>
      </c>
      <c r="C140">
        <v>6.3171150000000003</v>
      </c>
      <c r="D140">
        <f t="shared" si="5"/>
        <v>5</v>
      </c>
    </row>
    <row r="141" spans="1:4" hidden="1" x14ac:dyDescent="0.25">
      <c r="A141">
        <f t="shared" si="4"/>
        <v>2033</v>
      </c>
      <c r="B141" s="42">
        <v>48731</v>
      </c>
      <c r="C141">
        <v>6.3171150000000003</v>
      </c>
      <c r="D141">
        <f t="shared" si="5"/>
        <v>6</v>
      </c>
    </row>
    <row r="142" spans="1:4" hidden="1" x14ac:dyDescent="0.25">
      <c r="A142">
        <f t="shared" si="4"/>
        <v>2033</v>
      </c>
      <c r="B142" s="42">
        <v>48761</v>
      </c>
      <c r="C142">
        <v>6.3171150000000003</v>
      </c>
      <c r="D142">
        <f t="shared" si="5"/>
        <v>7</v>
      </c>
    </row>
    <row r="143" spans="1:4" hidden="1" x14ac:dyDescent="0.25">
      <c r="A143">
        <f t="shared" si="4"/>
        <v>2033</v>
      </c>
      <c r="B143" s="42">
        <v>48792</v>
      </c>
      <c r="C143">
        <v>6.3171150000000003</v>
      </c>
      <c r="D143">
        <f t="shared" si="5"/>
        <v>8</v>
      </c>
    </row>
    <row r="144" spans="1:4" hidden="1" x14ac:dyDescent="0.25">
      <c r="A144">
        <f t="shared" si="4"/>
        <v>2033</v>
      </c>
      <c r="B144" s="42">
        <v>48823</v>
      </c>
      <c r="C144">
        <v>6.3171150000000003</v>
      </c>
      <c r="D144">
        <f t="shared" si="5"/>
        <v>9</v>
      </c>
    </row>
    <row r="145" spans="1:4" hidden="1" x14ac:dyDescent="0.25">
      <c r="A145">
        <f t="shared" si="4"/>
        <v>2033</v>
      </c>
      <c r="B145" s="42">
        <v>48853</v>
      </c>
      <c r="C145">
        <v>6.3171150000000003</v>
      </c>
      <c r="D145">
        <f t="shared" si="5"/>
        <v>10</v>
      </c>
    </row>
    <row r="146" spans="1:4" hidden="1" x14ac:dyDescent="0.25">
      <c r="A146">
        <f t="shared" si="4"/>
        <v>2033</v>
      </c>
      <c r="B146" s="42">
        <v>48884</v>
      </c>
      <c r="C146">
        <v>6.3171150000000003</v>
      </c>
      <c r="D146">
        <f t="shared" si="5"/>
        <v>11</v>
      </c>
    </row>
    <row r="147" spans="1:4" x14ac:dyDescent="0.25">
      <c r="A147">
        <f t="shared" si="4"/>
        <v>2033</v>
      </c>
      <c r="B147" s="42">
        <v>48914</v>
      </c>
      <c r="C147">
        <v>6.3171150000000003</v>
      </c>
      <c r="D147">
        <f t="shared" si="5"/>
        <v>12</v>
      </c>
    </row>
    <row r="148" spans="1:4" hidden="1" x14ac:dyDescent="0.25">
      <c r="A148">
        <f t="shared" si="4"/>
        <v>2034</v>
      </c>
      <c r="B148" s="42">
        <v>48945</v>
      </c>
      <c r="C148">
        <v>6.3701999999999996</v>
      </c>
      <c r="D148">
        <f t="shared" si="5"/>
        <v>1</v>
      </c>
    </row>
    <row r="149" spans="1:4" hidden="1" x14ac:dyDescent="0.25">
      <c r="A149">
        <f t="shared" si="4"/>
        <v>2034</v>
      </c>
      <c r="B149" s="42">
        <v>48976</v>
      </c>
      <c r="C149">
        <v>6.3701999999999996</v>
      </c>
      <c r="D149">
        <f t="shared" si="5"/>
        <v>2</v>
      </c>
    </row>
    <row r="150" spans="1:4" hidden="1" x14ac:dyDescent="0.25">
      <c r="A150">
        <f t="shared" si="4"/>
        <v>2034</v>
      </c>
      <c r="B150" s="42">
        <v>49004</v>
      </c>
      <c r="C150">
        <v>6.3701999999999996</v>
      </c>
      <c r="D150">
        <f t="shared" si="5"/>
        <v>3</v>
      </c>
    </row>
    <row r="151" spans="1:4" hidden="1" x14ac:dyDescent="0.25">
      <c r="A151">
        <f t="shared" si="4"/>
        <v>2034</v>
      </c>
      <c r="B151" s="42">
        <v>49035</v>
      </c>
      <c r="C151">
        <v>6.3701999999999996</v>
      </c>
      <c r="D151">
        <f t="shared" si="5"/>
        <v>4</v>
      </c>
    </row>
    <row r="152" spans="1:4" hidden="1" x14ac:dyDescent="0.25">
      <c r="A152">
        <f t="shared" si="4"/>
        <v>2034</v>
      </c>
      <c r="B152" s="42">
        <v>49065</v>
      </c>
      <c r="C152">
        <v>6.3701999999999996</v>
      </c>
      <c r="D152">
        <f t="shared" si="5"/>
        <v>5</v>
      </c>
    </row>
    <row r="153" spans="1:4" hidden="1" x14ac:dyDescent="0.25">
      <c r="A153">
        <f t="shared" si="4"/>
        <v>2034</v>
      </c>
      <c r="B153" s="42">
        <v>49096</v>
      </c>
      <c r="C153">
        <v>6.3701999999999996</v>
      </c>
      <c r="D153">
        <f t="shared" si="5"/>
        <v>6</v>
      </c>
    </row>
    <row r="154" spans="1:4" hidden="1" x14ac:dyDescent="0.25">
      <c r="A154">
        <f t="shared" si="4"/>
        <v>2034</v>
      </c>
      <c r="B154" s="42">
        <v>49126</v>
      </c>
      <c r="C154">
        <v>6.3701999999999996</v>
      </c>
      <c r="D154">
        <f t="shared" si="5"/>
        <v>7</v>
      </c>
    </row>
    <row r="155" spans="1:4" hidden="1" x14ac:dyDescent="0.25">
      <c r="A155">
        <f t="shared" si="4"/>
        <v>2034</v>
      </c>
      <c r="B155" s="42">
        <v>49157</v>
      </c>
      <c r="C155">
        <v>6.3701999999999996</v>
      </c>
      <c r="D155">
        <f t="shared" si="5"/>
        <v>8</v>
      </c>
    </row>
    <row r="156" spans="1:4" hidden="1" x14ac:dyDescent="0.25">
      <c r="A156">
        <f t="shared" si="4"/>
        <v>2034</v>
      </c>
      <c r="B156" s="42">
        <v>49188</v>
      </c>
      <c r="C156">
        <v>6.3701999999999996</v>
      </c>
      <c r="D156">
        <f t="shared" si="5"/>
        <v>9</v>
      </c>
    </row>
    <row r="157" spans="1:4" hidden="1" x14ac:dyDescent="0.25">
      <c r="A157">
        <f t="shared" si="4"/>
        <v>2034</v>
      </c>
      <c r="B157" s="42">
        <v>49218</v>
      </c>
      <c r="C157">
        <v>6.3701999999999996</v>
      </c>
      <c r="D157">
        <f t="shared" si="5"/>
        <v>10</v>
      </c>
    </row>
    <row r="158" spans="1:4" hidden="1" x14ac:dyDescent="0.25">
      <c r="A158">
        <f t="shared" si="4"/>
        <v>2034</v>
      </c>
      <c r="B158" s="42">
        <v>49249</v>
      </c>
      <c r="C158">
        <v>6.3701999999999996</v>
      </c>
      <c r="D158">
        <f t="shared" si="5"/>
        <v>11</v>
      </c>
    </row>
    <row r="159" spans="1:4" x14ac:dyDescent="0.25">
      <c r="A159">
        <f t="shared" si="4"/>
        <v>2034</v>
      </c>
      <c r="B159" s="42">
        <v>49279</v>
      </c>
      <c r="C159">
        <v>6.3701999999999996</v>
      </c>
      <c r="D159">
        <f t="shared" si="5"/>
        <v>12</v>
      </c>
    </row>
    <row r="160" spans="1:4" hidden="1" x14ac:dyDescent="0.25">
      <c r="A160">
        <f t="shared" si="4"/>
        <v>2035</v>
      </c>
      <c r="B160" s="42">
        <v>49310</v>
      </c>
      <c r="C160">
        <v>6.4232849999999999</v>
      </c>
      <c r="D160">
        <f t="shared" si="5"/>
        <v>1</v>
      </c>
    </row>
    <row r="161" spans="1:4" hidden="1" x14ac:dyDescent="0.25">
      <c r="A161">
        <f t="shared" si="4"/>
        <v>2035</v>
      </c>
      <c r="B161" s="42">
        <v>49341</v>
      </c>
      <c r="C161">
        <v>6.4232849999999999</v>
      </c>
      <c r="D161">
        <f t="shared" si="5"/>
        <v>2</v>
      </c>
    </row>
    <row r="162" spans="1:4" hidden="1" x14ac:dyDescent="0.25">
      <c r="A162">
        <f t="shared" si="4"/>
        <v>2035</v>
      </c>
      <c r="B162" s="42">
        <v>49369</v>
      </c>
      <c r="C162">
        <v>6.4232849999999999</v>
      </c>
      <c r="D162">
        <f t="shared" si="5"/>
        <v>3</v>
      </c>
    </row>
    <row r="163" spans="1:4" hidden="1" x14ac:dyDescent="0.25">
      <c r="A163">
        <f t="shared" si="4"/>
        <v>2035</v>
      </c>
      <c r="B163" s="42">
        <v>49400</v>
      </c>
      <c r="C163">
        <v>6.4232849999999999</v>
      </c>
      <c r="D163">
        <f t="shared" si="5"/>
        <v>4</v>
      </c>
    </row>
    <row r="164" spans="1:4" hidden="1" x14ac:dyDescent="0.25">
      <c r="A164">
        <f t="shared" si="4"/>
        <v>2035</v>
      </c>
      <c r="B164" s="42">
        <v>49430</v>
      </c>
      <c r="C164">
        <v>6.4232849999999999</v>
      </c>
      <c r="D164">
        <f t="shared" si="5"/>
        <v>5</v>
      </c>
    </row>
    <row r="165" spans="1:4" hidden="1" x14ac:dyDescent="0.25">
      <c r="A165">
        <f t="shared" si="4"/>
        <v>2035</v>
      </c>
      <c r="B165" s="42">
        <v>49461</v>
      </c>
      <c r="C165">
        <v>6.4232849999999999</v>
      </c>
      <c r="D165">
        <f t="shared" si="5"/>
        <v>6</v>
      </c>
    </row>
    <row r="166" spans="1:4" hidden="1" x14ac:dyDescent="0.25">
      <c r="A166">
        <f t="shared" si="4"/>
        <v>2035</v>
      </c>
      <c r="B166" s="42">
        <v>49491</v>
      </c>
      <c r="C166">
        <v>6.4232849999999999</v>
      </c>
      <c r="D166">
        <f t="shared" si="5"/>
        <v>7</v>
      </c>
    </row>
    <row r="167" spans="1:4" hidden="1" x14ac:dyDescent="0.25">
      <c r="A167">
        <f t="shared" si="4"/>
        <v>2035</v>
      </c>
      <c r="B167" s="42">
        <v>49522</v>
      </c>
      <c r="C167">
        <v>6.4232849999999999</v>
      </c>
      <c r="D167">
        <f t="shared" si="5"/>
        <v>8</v>
      </c>
    </row>
    <row r="168" spans="1:4" hidden="1" x14ac:dyDescent="0.25">
      <c r="A168">
        <f t="shared" si="4"/>
        <v>2035</v>
      </c>
      <c r="B168" s="42">
        <v>49553</v>
      </c>
      <c r="C168">
        <v>6.4232849999999999</v>
      </c>
      <c r="D168">
        <f t="shared" si="5"/>
        <v>9</v>
      </c>
    </row>
    <row r="169" spans="1:4" hidden="1" x14ac:dyDescent="0.25">
      <c r="A169">
        <f t="shared" si="4"/>
        <v>2035</v>
      </c>
      <c r="B169" s="42">
        <v>49583</v>
      </c>
      <c r="C169">
        <v>6.4232849999999999</v>
      </c>
      <c r="D169">
        <f t="shared" si="5"/>
        <v>10</v>
      </c>
    </row>
    <row r="170" spans="1:4" hidden="1" x14ac:dyDescent="0.25">
      <c r="A170">
        <f t="shared" si="4"/>
        <v>2035</v>
      </c>
      <c r="B170" s="42">
        <v>49614</v>
      </c>
      <c r="C170">
        <v>6.4232849999999999</v>
      </c>
      <c r="D170">
        <f t="shared" si="5"/>
        <v>11</v>
      </c>
    </row>
    <row r="171" spans="1:4" x14ac:dyDescent="0.25">
      <c r="A171">
        <f t="shared" si="4"/>
        <v>2035</v>
      </c>
      <c r="B171" s="42">
        <v>49644</v>
      </c>
      <c r="C171">
        <v>6.4232849999999999</v>
      </c>
      <c r="D171">
        <f t="shared" si="5"/>
        <v>12</v>
      </c>
    </row>
    <row r="172" spans="1:4" hidden="1" x14ac:dyDescent="0.25">
      <c r="A172">
        <f t="shared" si="4"/>
        <v>2036</v>
      </c>
      <c r="B172" s="42">
        <v>49675</v>
      </c>
      <c r="C172">
        <v>6.4763700000000002</v>
      </c>
      <c r="D172">
        <f t="shared" si="5"/>
        <v>1</v>
      </c>
    </row>
    <row r="173" spans="1:4" hidden="1" x14ac:dyDescent="0.25">
      <c r="A173">
        <f t="shared" si="4"/>
        <v>2036</v>
      </c>
      <c r="B173" s="42">
        <v>49706</v>
      </c>
      <c r="C173">
        <v>6.4763700000000002</v>
      </c>
      <c r="D173">
        <f t="shared" si="5"/>
        <v>2</v>
      </c>
    </row>
    <row r="174" spans="1:4" hidden="1" x14ac:dyDescent="0.25">
      <c r="A174">
        <f t="shared" si="4"/>
        <v>2036</v>
      </c>
      <c r="B174" s="42">
        <v>49735</v>
      </c>
      <c r="C174">
        <v>6.4763700000000002</v>
      </c>
      <c r="D174">
        <f t="shared" si="5"/>
        <v>3</v>
      </c>
    </row>
    <row r="175" spans="1:4" hidden="1" x14ac:dyDescent="0.25">
      <c r="A175">
        <f t="shared" si="4"/>
        <v>2036</v>
      </c>
      <c r="B175" s="42">
        <v>49766</v>
      </c>
      <c r="C175">
        <v>6.4763700000000002</v>
      </c>
      <c r="D175">
        <f t="shared" si="5"/>
        <v>4</v>
      </c>
    </row>
    <row r="176" spans="1:4" hidden="1" x14ac:dyDescent="0.25">
      <c r="A176">
        <f t="shared" si="4"/>
        <v>2036</v>
      </c>
      <c r="B176" s="42">
        <v>49796</v>
      </c>
      <c r="C176">
        <v>6.4763700000000002</v>
      </c>
      <c r="D176">
        <f t="shared" si="5"/>
        <v>5</v>
      </c>
    </row>
    <row r="177" spans="1:4" hidden="1" x14ac:dyDescent="0.25">
      <c r="A177">
        <f t="shared" si="4"/>
        <v>2036</v>
      </c>
      <c r="B177" s="42">
        <v>49827</v>
      </c>
      <c r="C177">
        <v>6.4763700000000002</v>
      </c>
      <c r="D177">
        <f t="shared" si="5"/>
        <v>6</v>
      </c>
    </row>
    <row r="178" spans="1:4" hidden="1" x14ac:dyDescent="0.25">
      <c r="A178">
        <f t="shared" si="4"/>
        <v>2036</v>
      </c>
      <c r="B178" s="42">
        <v>49857</v>
      </c>
      <c r="C178">
        <v>6.4763700000000002</v>
      </c>
      <c r="D178">
        <f t="shared" si="5"/>
        <v>7</v>
      </c>
    </row>
    <row r="179" spans="1:4" hidden="1" x14ac:dyDescent="0.25">
      <c r="A179">
        <f t="shared" si="4"/>
        <v>2036</v>
      </c>
      <c r="B179" s="42">
        <v>49888</v>
      </c>
      <c r="C179">
        <v>6.4763700000000002</v>
      </c>
      <c r="D179">
        <f t="shared" si="5"/>
        <v>8</v>
      </c>
    </row>
    <row r="180" spans="1:4" hidden="1" x14ac:dyDescent="0.25">
      <c r="A180">
        <f t="shared" si="4"/>
        <v>2036</v>
      </c>
      <c r="B180" s="42">
        <v>49919</v>
      </c>
      <c r="C180">
        <v>6.4763700000000002</v>
      </c>
      <c r="D180">
        <f t="shared" si="5"/>
        <v>9</v>
      </c>
    </row>
    <row r="181" spans="1:4" hidden="1" x14ac:dyDescent="0.25">
      <c r="A181">
        <f t="shared" si="4"/>
        <v>2036</v>
      </c>
      <c r="B181" s="42">
        <v>49949</v>
      </c>
      <c r="C181">
        <v>6.4763700000000002</v>
      </c>
      <c r="D181">
        <f t="shared" si="5"/>
        <v>10</v>
      </c>
    </row>
    <row r="182" spans="1:4" hidden="1" x14ac:dyDescent="0.25">
      <c r="A182">
        <f t="shared" si="4"/>
        <v>2036</v>
      </c>
      <c r="B182" s="42">
        <v>49980</v>
      </c>
      <c r="C182">
        <v>6.4763700000000002</v>
      </c>
      <c r="D182">
        <f t="shared" si="5"/>
        <v>11</v>
      </c>
    </row>
    <row r="183" spans="1:4" x14ac:dyDescent="0.25">
      <c r="A183">
        <f t="shared" si="4"/>
        <v>2036</v>
      </c>
      <c r="B183" s="42">
        <v>50010</v>
      </c>
      <c r="C183">
        <v>6.4763700000000002</v>
      </c>
      <c r="D183">
        <f t="shared" si="5"/>
        <v>12</v>
      </c>
    </row>
    <row r="184" spans="1:4" hidden="1" x14ac:dyDescent="0.25">
      <c r="A184">
        <f t="shared" si="4"/>
        <v>2037</v>
      </c>
      <c r="B184" s="42">
        <v>50041</v>
      </c>
      <c r="C184">
        <v>6.5294549999999996</v>
      </c>
      <c r="D184">
        <f t="shared" si="5"/>
        <v>1</v>
      </c>
    </row>
    <row r="185" spans="1:4" hidden="1" x14ac:dyDescent="0.25">
      <c r="A185">
        <f t="shared" si="4"/>
        <v>2037</v>
      </c>
      <c r="B185" s="42">
        <v>50072</v>
      </c>
      <c r="C185">
        <v>6.5294549999999996</v>
      </c>
      <c r="D185">
        <f t="shared" si="5"/>
        <v>2</v>
      </c>
    </row>
    <row r="186" spans="1:4" hidden="1" x14ac:dyDescent="0.25">
      <c r="A186">
        <f t="shared" si="4"/>
        <v>2037</v>
      </c>
      <c r="B186" s="42">
        <v>50100</v>
      </c>
      <c r="C186">
        <v>6.5294549999999996</v>
      </c>
      <c r="D186">
        <f t="shared" si="5"/>
        <v>3</v>
      </c>
    </row>
    <row r="187" spans="1:4" hidden="1" x14ac:dyDescent="0.25">
      <c r="A187">
        <f t="shared" si="4"/>
        <v>2037</v>
      </c>
      <c r="B187" s="42">
        <v>50131</v>
      </c>
      <c r="C187">
        <v>6.5294549999999996</v>
      </c>
      <c r="D187">
        <f t="shared" si="5"/>
        <v>4</v>
      </c>
    </row>
    <row r="188" spans="1:4" hidden="1" x14ac:dyDescent="0.25">
      <c r="A188">
        <f t="shared" si="4"/>
        <v>2037</v>
      </c>
      <c r="B188" s="42">
        <v>50161</v>
      </c>
      <c r="C188">
        <v>6.5294549999999996</v>
      </c>
      <c r="D188">
        <f t="shared" si="5"/>
        <v>5</v>
      </c>
    </row>
    <row r="189" spans="1:4" hidden="1" x14ac:dyDescent="0.25">
      <c r="A189">
        <f t="shared" si="4"/>
        <v>2037</v>
      </c>
      <c r="B189" s="42">
        <v>50192</v>
      </c>
      <c r="C189">
        <v>6.5294549999999996</v>
      </c>
      <c r="D189">
        <f t="shared" si="5"/>
        <v>6</v>
      </c>
    </row>
    <row r="190" spans="1:4" hidden="1" x14ac:dyDescent="0.25">
      <c r="A190">
        <f t="shared" si="4"/>
        <v>2037</v>
      </c>
      <c r="B190" s="42">
        <v>50222</v>
      </c>
      <c r="C190">
        <v>6.5294549999999996</v>
      </c>
      <c r="D190">
        <f t="shared" si="5"/>
        <v>7</v>
      </c>
    </row>
    <row r="191" spans="1:4" hidden="1" x14ac:dyDescent="0.25">
      <c r="A191">
        <f t="shared" si="4"/>
        <v>2037</v>
      </c>
      <c r="B191" s="42">
        <v>50253</v>
      </c>
      <c r="C191">
        <v>6.5294549999999996</v>
      </c>
      <c r="D191">
        <f t="shared" si="5"/>
        <v>8</v>
      </c>
    </row>
    <row r="192" spans="1:4" hidden="1" x14ac:dyDescent="0.25">
      <c r="A192">
        <f t="shared" si="4"/>
        <v>2037</v>
      </c>
      <c r="B192" s="42">
        <v>50284</v>
      </c>
      <c r="C192">
        <v>6.5294549999999996</v>
      </c>
      <c r="D192">
        <f t="shared" si="5"/>
        <v>9</v>
      </c>
    </row>
    <row r="193" spans="1:4" hidden="1" x14ac:dyDescent="0.25">
      <c r="A193">
        <f t="shared" si="4"/>
        <v>2037</v>
      </c>
      <c r="B193" s="42">
        <v>50314</v>
      </c>
      <c r="C193">
        <v>6.5294549999999996</v>
      </c>
      <c r="D193">
        <f t="shared" si="5"/>
        <v>10</v>
      </c>
    </row>
    <row r="194" spans="1:4" hidden="1" x14ac:dyDescent="0.25">
      <c r="A194">
        <f t="shared" si="4"/>
        <v>2037</v>
      </c>
      <c r="B194" s="42">
        <v>50345</v>
      </c>
      <c r="C194">
        <v>6.5294549999999996</v>
      </c>
      <c r="D194">
        <f t="shared" si="5"/>
        <v>11</v>
      </c>
    </row>
    <row r="195" spans="1:4" x14ac:dyDescent="0.25">
      <c r="A195">
        <f t="shared" ref="A195:A258" si="6">YEAR(B195)</f>
        <v>2037</v>
      </c>
      <c r="B195" s="42">
        <v>50375</v>
      </c>
      <c r="C195">
        <v>6.5294549999999996</v>
      </c>
      <c r="D195">
        <f t="shared" ref="D195:D258" si="7">MONTH(B195)</f>
        <v>12</v>
      </c>
    </row>
    <row r="196" spans="1:4" hidden="1" x14ac:dyDescent="0.25">
      <c r="A196">
        <f t="shared" si="6"/>
        <v>2038</v>
      </c>
      <c r="B196" s="42">
        <v>50406</v>
      </c>
      <c r="C196">
        <v>6.5825399999999998</v>
      </c>
      <c r="D196">
        <f t="shared" si="7"/>
        <v>1</v>
      </c>
    </row>
    <row r="197" spans="1:4" hidden="1" x14ac:dyDescent="0.25">
      <c r="A197">
        <f t="shared" si="6"/>
        <v>2038</v>
      </c>
      <c r="B197" s="42">
        <v>50437</v>
      </c>
      <c r="C197">
        <v>6.5825399999999998</v>
      </c>
      <c r="D197">
        <f t="shared" si="7"/>
        <v>2</v>
      </c>
    </row>
    <row r="198" spans="1:4" hidden="1" x14ac:dyDescent="0.25">
      <c r="A198">
        <f t="shared" si="6"/>
        <v>2038</v>
      </c>
      <c r="B198" s="42">
        <v>50465</v>
      </c>
      <c r="C198">
        <v>6.5825399999999998</v>
      </c>
      <c r="D198">
        <f t="shared" si="7"/>
        <v>3</v>
      </c>
    </row>
    <row r="199" spans="1:4" hidden="1" x14ac:dyDescent="0.25">
      <c r="A199">
        <f t="shared" si="6"/>
        <v>2038</v>
      </c>
      <c r="B199" s="42">
        <v>50496</v>
      </c>
      <c r="C199">
        <v>6.5825399999999998</v>
      </c>
      <c r="D199">
        <f t="shared" si="7"/>
        <v>4</v>
      </c>
    </row>
    <row r="200" spans="1:4" hidden="1" x14ac:dyDescent="0.25">
      <c r="A200">
        <f t="shared" si="6"/>
        <v>2038</v>
      </c>
      <c r="B200" s="42">
        <v>50526</v>
      </c>
      <c r="C200">
        <v>6.5825399999999998</v>
      </c>
      <c r="D200">
        <f t="shared" si="7"/>
        <v>5</v>
      </c>
    </row>
    <row r="201" spans="1:4" hidden="1" x14ac:dyDescent="0.25">
      <c r="A201">
        <f t="shared" si="6"/>
        <v>2038</v>
      </c>
      <c r="B201" s="42">
        <v>50557</v>
      </c>
      <c r="C201">
        <v>6.5825399999999998</v>
      </c>
      <c r="D201">
        <f t="shared" si="7"/>
        <v>6</v>
      </c>
    </row>
    <row r="202" spans="1:4" hidden="1" x14ac:dyDescent="0.25">
      <c r="A202">
        <f t="shared" si="6"/>
        <v>2038</v>
      </c>
      <c r="B202" s="42">
        <v>50587</v>
      </c>
      <c r="C202">
        <v>6.5825399999999998</v>
      </c>
      <c r="D202">
        <f t="shared" si="7"/>
        <v>7</v>
      </c>
    </row>
    <row r="203" spans="1:4" hidden="1" x14ac:dyDescent="0.25">
      <c r="A203">
        <f t="shared" si="6"/>
        <v>2038</v>
      </c>
      <c r="B203" s="42">
        <v>50618</v>
      </c>
      <c r="C203">
        <v>6.5825399999999998</v>
      </c>
      <c r="D203">
        <f t="shared" si="7"/>
        <v>8</v>
      </c>
    </row>
    <row r="204" spans="1:4" hidden="1" x14ac:dyDescent="0.25">
      <c r="A204">
        <f t="shared" si="6"/>
        <v>2038</v>
      </c>
      <c r="B204" s="42">
        <v>50649</v>
      </c>
      <c r="C204">
        <v>6.5825399999999998</v>
      </c>
      <c r="D204">
        <f t="shared" si="7"/>
        <v>9</v>
      </c>
    </row>
    <row r="205" spans="1:4" hidden="1" x14ac:dyDescent="0.25">
      <c r="A205">
        <f t="shared" si="6"/>
        <v>2038</v>
      </c>
      <c r="B205" s="42">
        <v>50679</v>
      </c>
      <c r="C205">
        <v>6.5825399999999998</v>
      </c>
      <c r="D205">
        <f t="shared" si="7"/>
        <v>10</v>
      </c>
    </row>
    <row r="206" spans="1:4" hidden="1" x14ac:dyDescent="0.25">
      <c r="A206">
        <f t="shared" si="6"/>
        <v>2038</v>
      </c>
      <c r="B206" s="42">
        <v>50710</v>
      </c>
      <c r="C206">
        <v>6.5825399999999998</v>
      </c>
      <c r="D206">
        <f t="shared" si="7"/>
        <v>11</v>
      </c>
    </row>
    <row r="207" spans="1:4" x14ac:dyDescent="0.25">
      <c r="A207">
        <f t="shared" si="6"/>
        <v>2038</v>
      </c>
      <c r="B207" s="42">
        <v>50740</v>
      </c>
      <c r="C207">
        <v>6.5825399999999998</v>
      </c>
      <c r="D207">
        <f t="shared" si="7"/>
        <v>12</v>
      </c>
    </row>
    <row r="208" spans="1:4" hidden="1" x14ac:dyDescent="0.25">
      <c r="A208">
        <f t="shared" si="6"/>
        <v>2039</v>
      </c>
      <c r="B208" s="42">
        <v>50771</v>
      </c>
      <c r="C208">
        <v>6.6356250000000001</v>
      </c>
      <c r="D208">
        <f t="shared" si="7"/>
        <v>1</v>
      </c>
    </row>
    <row r="209" spans="1:4" hidden="1" x14ac:dyDescent="0.25">
      <c r="A209">
        <f t="shared" si="6"/>
        <v>2039</v>
      </c>
      <c r="B209" s="42">
        <v>50802</v>
      </c>
      <c r="C209">
        <v>6.6356250000000001</v>
      </c>
      <c r="D209">
        <f t="shared" si="7"/>
        <v>2</v>
      </c>
    </row>
    <row r="210" spans="1:4" hidden="1" x14ac:dyDescent="0.25">
      <c r="A210">
        <f t="shared" si="6"/>
        <v>2039</v>
      </c>
      <c r="B210" s="42">
        <v>50830</v>
      </c>
      <c r="C210">
        <v>6.6356250000000001</v>
      </c>
      <c r="D210">
        <f t="shared" si="7"/>
        <v>3</v>
      </c>
    </row>
    <row r="211" spans="1:4" hidden="1" x14ac:dyDescent="0.25">
      <c r="A211">
        <f t="shared" si="6"/>
        <v>2039</v>
      </c>
      <c r="B211" s="42">
        <v>50861</v>
      </c>
      <c r="C211">
        <v>6.6356250000000001</v>
      </c>
      <c r="D211">
        <f t="shared" si="7"/>
        <v>4</v>
      </c>
    </row>
    <row r="212" spans="1:4" hidden="1" x14ac:dyDescent="0.25">
      <c r="A212">
        <f t="shared" si="6"/>
        <v>2039</v>
      </c>
      <c r="B212" s="42">
        <v>50891</v>
      </c>
      <c r="C212">
        <v>6.6356250000000001</v>
      </c>
      <c r="D212">
        <f t="shared" si="7"/>
        <v>5</v>
      </c>
    </row>
    <row r="213" spans="1:4" hidden="1" x14ac:dyDescent="0.25">
      <c r="A213">
        <f t="shared" si="6"/>
        <v>2039</v>
      </c>
      <c r="B213" s="42">
        <v>50922</v>
      </c>
      <c r="C213">
        <v>6.6356250000000001</v>
      </c>
      <c r="D213">
        <f t="shared" si="7"/>
        <v>6</v>
      </c>
    </row>
    <row r="214" spans="1:4" hidden="1" x14ac:dyDescent="0.25">
      <c r="A214">
        <f t="shared" si="6"/>
        <v>2039</v>
      </c>
      <c r="B214" s="42">
        <v>50952</v>
      </c>
      <c r="C214">
        <v>6.6356250000000001</v>
      </c>
      <c r="D214">
        <f t="shared" si="7"/>
        <v>7</v>
      </c>
    </row>
    <row r="215" spans="1:4" hidden="1" x14ac:dyDescent="0.25">
      <c r="A215">
        <f t="shared" si="6"/>
        <v>2039</v>
      </c>
      <c r="B215" s="42">
        <v>50983</v>
      </c>
      <c r="C215">
        <v>6.6356250000000001</v>
      </c>
      <c r="D215">
        <f t="shared" si="7"/>
        <v>8</v>
      </c>
    </row>
    <row r="216" spans="1:4" hidden="1" x14ac:dyDescent="0.25">
      <c r="A216">
        <f t="shared" si="6"/>
        <v>2039</v>
      </c>
      <c r="B216" s="42">
        <v>51014</v>
      </c>
      <c r="C216">
        <v>6.6356250000000001</v>
      </c>
      <c r="D216">
        <f t="shared" si="7"/>
        <v>9</v>
      </c>
    </row>
    <row r="217" spans="1:4" hidden="1" x14ac:dyDescent="0.25">
      <c r="A217">
        <f t="shared" si="6"/>
        <v>2039</v>
      </c>
      <c r="B217" s="42">
        <v>51044</v>
      </c>
      <c r="C217">
        <v>6.6356250000000001</v>
      </c>
      <c r="D217">
        <f t="shared" si="7"/>
        <v>10</v>
      </c>
    </row>
    <row r="218" spans="1:4" hidden="1" x14ac:dyDescent="0.25">
      <c r="A218">
        <f t="shared" si="6"/>
        <v>2039</v>
      </c>
      <c r="B218" s="42">
        <v>51075</v>
      </c>
      <c r="C218">
        <v>6.6356250000000001</v>
      </c>
      <c r="D218">
        <f t="shared" si="7"/>
        <v>11</v>
      </c>
    </row>
    <row r="219" spans="1:4" x14ac:dyDescent="0.25">
      <c r="A219">
        <f t="shared" si="6"/>
        <v>2039</v>
      </c>
      <c r="B219" s="42">
        <v>51105</v>
      </c>
      <c r="C219">
        <v>6.6356250000000001</v>
      </c>
      <c r="D219">
        <f t="shared" si="7"/>
        <v>12</v>
      </c>
    </row>
    <row r="220" spans="1:4" hidden="1" x14ac:dyDescent="0.25">
      <c r="A220">
        <f t="shared" si="6"/>
        <v>2040</v>
      </c>
      <c r="B220" s="42">
        <v>51136</v>
      </c>
      <c r="C220">
        <v>6.6887100000000004</v>
      </c>
      <c r="D220">
        <f t="shared" si="7"/>
        <v>1</v>
      </c>
    </row>
    <row r="221" spans="1:4" hidden="1" x14ac:dyDescent="0.25">
      <c r="A221">
        <f t="shared" si="6"/>
        <v>2040</v>
      </c>
      <c r="B221" s="42">
        <v>51167</v>
      </c>
      <c r="C221">
        <v>6.6887100000000004</v>
      </c>
      <c r="D221">
        <f t="shared" si="7"/>
        <v>2</v>
      </c>
    </row>
    <row r="222" spans="1:4" hidden="1" x14ac:dyDescent="0.25">
      <c r="A222">
        <f t="shared" si="6"/>
        <v>2040</v>
      </c>
      <c r="B222" s="42">
        <v>51196</v>
      </c>
      <c r="C222">
        <v>6.6887100000000004</v>
      </c>
      <c r="D222">
        <f t="shared" si="7"/>
        <v>3</v>
      </c>
    </row>
    <row r="223" spans="1:4" hidden="1" x14ac:dyDescent="0.25">
      <c r="A223">
        <f t="shared" si="6"/>
        <v>2040</v>
      </c>
      <c r="B223" s="42">
        <v>51227</v>
      </c>
      <c r="C223">
        <v>6.6887100000000004</v>
      </c>
      <c r="D223">
        <f t="shared" si="7"/>
        <v>4</v>
      </c>
    </row>
    <row r="224" spans="1:4" hidden="1" x14ac:dyDescent="0.25">
      <c r="A224">
        <f t="shared" si="6"/>
        <v>2040</v>
      </c>
      <c r="B224" s="42">
        <v>51257</v>
      </c>
      <c r="C224">
        <v>6.6887100000000004</v>
      </c>
      <c r="D224">
        <f t="shared" si="7"/>
        <v>5</v>
      </c>
    </row>
    <row r="225" spans="1:4" hidden="1" x14ac:dyDescent="0.25">
      <c r="A225">
        <f t="shared" si="6"/>
        <v>2040</v>
      </c>
      <c r="B225" s="42">
        <v>51288</v>
      </c>
      <c r="C225">
        <v>6.6887100000000004</v>
      </c>
      <c r="D225">
        <f t="shared" si="7"/>
        <v>6</v>
      </c>
    </row>
    <row r="226" spans="1:4" hidden="1" x14ac:dyDescent="0.25">
      <c r="A226">
        <f t="shared" si="6"/>
        <v>2040</v>
      </c>
      <c r="B226" s="42">
        <v>51318</v>
      </c>
      <c r="C226">
        <v>6.6887100000000004</v>
      </c>
      <c r="D226">
        <f t="shared" si="7"/>
        <v>7</v>
      </c>
    </row>
    <row r="227" spans="1:4" hidden="1" x14ac:dyDescent="0.25">
      <c r="A227">
        <f t="shared" si="6"/>
        <v>2040</v>
      </c>
      <c r="B227" s="42">
        <v>51349</v>
      </c>
      <c r="C227">
        <v>6.6887100000000004</v>
      </c>
      <c r="D227">
        <f t="shared" si="7"/>
        <v>8</v>
      </c>
    </row>
    <row r="228" spans="1:4" hidden="1" x14ac:dyDescent="0.25">
      <c r="A228">
        <f t="shared" si="6"/>
        <v>2040</v>
      </c>
      <c r="B228" s="42">
        <v>51380</v>
      </c>
      <c r="C228">
        <v>6.6887100000000004</v>
      </c>
      <c r="D228">
        <f t="shared" si="7"/>
        <v>9</v>
      </c>
    </row>
    <row r="229" spans="1:4" hidden="1" x14ac:dyDescent="0.25">
      <c r="A229">
        <f t="shared" si="6"/>
        <v>2040</v>
      </c>
      <c r="B229" s="42">
        <v>51410</v>
      </c>
      <c r="C229">
        <v>6.6887100000000004</v>
      </c>
      <c r="D229">
        <f t="shared" si="7"/>
        <v>10</v>
      </c>
    </row>
    <row r="230" spans="1:4" hidden="1" x14ac:dyDescent="0.25">
      <c r="A230">
        <f t="shared" si="6"/>
        <v>2040</v>
      </c>
      <c r="B230" s="42">
        <v>51441</v>
      </c>
      <c r="C230">
        <v>6.6887100000000004</v>
      </c>
      <c r="D230">
        <f t="shared" si="7"/>
        <v>11</v>
      </c>
    </row>
    <row r="231" spans="1:4" x14ac:dyDescent="0.25">
      <c r="A231">
        <f t="shared" si="6"/>
        <v>2040</v>
      </c>
      <c r="B231" s="42">
        <v>51471</v>
      </c>
      <c r="C231">
        <v>6.6887100000000004</v>
      </c>
      <c r="D231">
        <f t="shared" si="7"/>
        <v>12</v>
      </c>
    </row>
    <row r="232" spans="1:4" hidden="1" x14ac:dyDescent="0.25">
      <c r="A232">
        <f t="shared" si="6"/>
        <v>2041</v>
      </c>
      <c r="B232" s="42">
        <v>51502</v>
      </c>
      <c r="C232">
        <v>6.7417949999999998</v>
      </c>
      <c r="D232">
        <f t="shared" si="7"/>
        <v>1</v>
      </c>
    </row>
    <row r="233" spans="1:4" hidden="1" x14ac:dyDescent="0.25">
      <c r="A233">
        <f t="shared" si="6"/>
        <v>2041</v>
      </c>
      <c r="B233" s="42">
        <v>51533</v>
      </c>
      <c r="C233">
        <v>6.7417949999999998</v>
      </c>
      <c r="D233">
        <f t="shared" si="7"/>
        <v>2</v>
      </c>
    </row>
    <row r="234" spans="1:4" hidden="1" x14ac:dyDescent="0.25">
      <c r="A234">
        <f t="shared" si="6"/>
        <v>2041</v>
      </c>
      <c r="B234" s="42">
        <v>51561</v>
      </c>
      <c r="C234">
        <v>6.7417949999999998</v>
      </c>
      <c r="D234">
        <f t="shared" si="7"/>
        <v>3</v>
      </c>
    </row>
    <row r="235" spans="1:4" hidden="1" x14ac:dyDescent="0.25">
      <c r="A235">
        <f t="shared" si="6"/>
        <v>2041</v>
      </c>
      <c r="B235" s="42">
        <v>51592</v>
      </c>
      <c r="C235">
        <v>6.7417949999999998</v>
      </c>
      <c r="D235">
        <f t="shared" si="7"/>
        <v>4</v>
      </c>
    </row>
    <row r="236" spans="1:4" hidden="1" x14ac:dyDescent="0.25">
      <c r="A236">
        <f t="shared" si="6"/>
        <v>2041</v>
      </c>
      <c r="B236" s="42">
        <v>51622</v>
      </c>
      <c r="C236">
        <v>6.7417949999999998</v>
      </c>
      <c r="D236">
        <f t="shared" si="7"/>
        <v>5</v>
      </c>
    </row>
    <row r="237" spans="1:4" hidden="1" x14ac:dyDescent="0.25">
      <c r="A237">
        <f t="shared" si="6"/>
        <v>2041</v>
      </c>
      <c r="B237" s="42">
        <v>51653</v>
      </c>
      <c r="C237">
        <v>6.7417949999999998</v>
      </c>
      <c r="D237">
        <f t="shared" si="7"/>
        <v>6</v>
      </c>
    </row>
    <row r="238" spans="1:4" hidden="1" x14ac:dyDescent="0.25">
      <c r="A238">
        <f t="shared" si="6"/>
        <v>2041</v>
      </c>
      <c r="B238" s="42">
        <v>51683</v>
      </c>
      <c r="C238">
        <v>6.7417949999999998</v>
      </c>
      <c r="D238">
        <f t="shared" si="7"/>
        <v>7</v>
      </c>
    </row>
    <row r="239" spans="1:4" hidden="1" x14ac:dyDescent="0.25">
      <c r="A239">
        <f t="shared" si="6"/>
        <v>2041</v>
      </c>
      <c r="B239" s="42">
        <v>51714</v>
      </c>
      <c r="C239">
        <v>6.7417949999999998</v>
      </c>
      <c r="D239">
        <f t="shared" si="7"/>
        <v>8</v>
      </c>
    </row>
    <row r="240" spans="1:4" hidden="1" x14ac:dyDescent="0.25">
      <c r="A240">
        <f t="shared" si="6"/>
        <v>2041</v>
      </c>
      <c r="B240" s="42">
        <v>51745</v>
      </c>
      <c r="C240">
        <v>6.7417949999999998</v>
      </c>
      <c r="D240">
        <f t="shared" si="7"/>
        <v>9</v>
      </c>
    </row>
    <row r="241" spans="1:4" hidden="1" x14ac:dyDescent="0.25">
      <c r="A241">
        <f t="shared" si="6"/>
        <v>2041</v>
      </c>
      <c r="B241" s="42">
        <v>51775</v>
      </c>
      <c r="C241">
        <v>6.7417949999999998</v>
      </c>
      <c r="D241">
        <f t="shared" si="7"/>
        <v>10</v>
      </c>
    </row>
    <row r="242" spans="1:4" hidden="1" x14ac:dyDescent="0.25">
      <c r="A242">
        <f t="shared" si="6"/>
        <v>2041</v>
      </c>
      <c r="B242" s="42">
        <v>51806</v>
      </c>
      <c r="C242">
        <v>6.7417949999999998</v>
      </c>
      <c r="D242">
        <f t="shared" si="7"/>
        <v>11</v>
      </c>
    </row>
    <row r="243" spans="1:4" x14ac:dyDescent="0.25">
      <c r="A243">
        <f t="shared" si="6"/>
        <v>2041</v>
      </c>
      <c r="B243" s="42">
        <v>51836</v>
      </c>
      <c r="C243">
        <v>6.7417949999999998</v>
      </c>
      <c r="D243">
        <f t="shared" si="7"/>
        <v>12</v>
      </c>
    </row>
    <row r="244" spans="1:4" hidden="1" x14ac:dyDescent="0.25">
      <c r="A244">
        <f t="shared" si="6"/>
        <v>2042</v>
      </c>
      <c r="B244" s="42">
        <v>51867</v>
      </c>
      <c r="C244">
        <v>6.79488</v>
      </c>
      <c r="D244">
        <f t="shared" si="7"/>
        <v>1</v>
      </c>
    </row>
    <row r="245" spans="1:4" hidden="1" x14ac:dyDescent="0.25">
      <c r="A245">
        <f t="shared" si="6"/>
        <v>2042</v>
      </c>
      <c r="B245" s="42">
        <v>51898</v>
      </c>
      <c r="C245">
        <v>6.79488</v>
      </c>
      <c r="D245">
        <f t="shared" si="7"/>
        <v>2</v>
      </c>
    </row>
    <row r="246" spans="1:4" hidden="1" x14ac:dyDescent="0.25">
      <c r="A246">
        <f t="shared" si="6"/>
        <v>2042</v>
      </c>
      <c r="B246" s="42">
        <v>51926</v>
      </c>
      <c r="C246">
        <v>6.79488</v>
      </c>
      <c r="D246">
        <f t="shared" si="7"/>
        <v>3</v>
      </c>
    </row>
    <row r="247" spans="1:4" hidden="1" x14ac:dyDescent="0.25">
      <c r="A247">
        <f t="shared" si="6"/>
        <v>2042</v>
      </c>
      <c r="B247" s="42">
        <v>51957</v>
      </c>
      <c r="C247">
        <v>6.79488</v>
      </c>
      <c r="D247">
        <f t="shared" si="7"/>
        <v>4</v>
      </c>
    </row>
    <row r="248" spans="1:4" hidden="1" x14ac:dyDescent="0.25">
      <c r="A248">
        <f t="shared" si="6"/>
        <v>2042</v>
      </c>
      <c r="B248" s="42">
        <v>51987</v>
      </c>
      <c r="C248">
        <v>6.79488</v>
      </c>
      <c r="D248">
        <f t="shared" si="7"/>
        <v>5</v>
      </c>
    </row>
    <row r="249" spans="1:4" hidden="1" x14ac:dyDescent="0.25">
      <c r="A249">
        <f t="shared" si="6"/>
        <v>2042</v>
      </c>
      <c r="B249" s="42">
        <v>52018</v>
      </c>
      <c r="C249">
        <v>6.79488</v>
      </c>
      <c r="D249">
        <f t="shared" si="7"/>
        <v>6</v>
      </c>
    </row>
    <row r="250" spans="1:4" hidden="1" x14ac:dyDescent="0.25">
      <c r="A250">
        <f t="shared" si="6"/>
        <v>2042</v>
      </c>
      <c r="B250" s="42">
        <v>52048</v>
      </c>
      <c r="C250">
        <v>6.79488</v>
      </c>
      <c r="D250">
        <f t="shared" si="7"/>
        <v>7</v>
      </c>
    </row>
    <row r="251" spans="1:4" hidden="1" x14ac:dyDescent="0.25">
      <c r="A251">
        <f t="shared" si="6"/>
        <v>2042</v>
      </c>
      <c r="B251" s="42">
        <v>52079</v>
      </c>
      <c r="C251">
        <v>6.79488</v>
      </c>
      <c r="D251">
        <f t="shared" si="7"/>
        <v>8</v>
      </c>
    </row>
    <row r="252" spans="1:4" hidden="1" x14ac:dyDescent="0.25">
      <c r="A252">
        <f t="shared" si="6"/>
        <v>2042</v>
      </c>
      <c r="B252" s="42">
        <v>52110</v>
      </c>
      <c r="C252">
        <v>6.79488</v>
      </c>
      <c r="D252">
        <f t="shared" si="7"/>
        <v>9</v>
      </c>
    </row>
    <row r="253" spans="1:4" hidden="1" x14ac:dyDescent="0.25">
      <c r="A253">
        <f t="shared" si="6"/>
        <v>2042</v>
      </c>
      <c r="B253" s="42">
        <v>52140</v>
      </c>
      <c r="C253">
        <v>6.79488</v>
      </c>
      <c r="D253">
        <f t="shared" si="7"/>
        <v>10</v>
      </c>
    </row>
    <row r="254" spans="1:4" hidden="1" x14ac:dyDescent="0.25">
      <c r="A254">
        <f t="shared" si="6"/>
        <v>2042</v>
      </c>
      <c r="B254" s="42">
        <v>52171</v>
      </c>
      <c r="C254">
        <v>6.79488</v>
      </c>
      <c r="D254">
        <f t="shared" si="7"/>
        <v>11</v>
      </c>
    </row>
    <row r="255" spans="1:4" x14ac:dyDescent="0.25">
      <c r="A255">
        <f t="shared" si="6"/>
        <v>2042</v>
      </c>
      <c r="B255" s="42">
        <v>52201</v>
      </c>
      <c r="C255">
        <v>6.79488</v>
      </c>
      <c r="D255">
        <f t="shared" si="7"/>
        <v>12</v>
      </c>
    </row>
    <row r="256" spans="1:4" hidden="1" x14ac:dyDescent="0.25">
      <c r="A256">
        <f t="shared" si="6"/>
        <v>2043</v>
      </c>
      <c r="B256" s="42">
        <v>52232</v>
      </c>
      <c r="C256">
        <v>6.8479650000000003</v>
      </c>
      <c r="D256">
        <f t="shared" si="7"/>
        <v>1</v>
      </c>
    </row>
    <row r="257" spans="1:4" hidden="1" x14ac:dyDescent="0.25">
      <c r="A257">
        <f t="shared" si="6"/>
        <v>2043</v>
      </c>
      <c r="B257" s="42">
        <v>52263</v>
      </c>
      <c r="C257">
        <v>6.8479650000000003</v>
      </c>
      <c r="D257">
        <f t="shared" si="7"/>
        <v>2</v>
      </c>
    </row>
    <row r="258" spans="1:4" hidden="1" x14ac:dyDescent="0.25">
      <c r="A258">
        <f t="shared" si="6"/>
        <v>2043</v>
      </c>
      <c r="B258" s="42">
        <v>52291</v>
      </c>
      <c r="C258">
        <v>6.8479650000000003</v>
      </c>
      <c r="D258">
        <f t="shared" si="7"/>
        <v>3</v>
      </c>
    </row>
    <row r="259" spans="1:4" hidden="1" x14ac:dyDescent="0.25">
      <c r="A259">
        <f t="shared" ref="A259:A322" si="8">YEAR(B259)</f>
        <v>2043</v>
      </c>
      <c r="B259" s="42">
        <v>52322</v>
      </c>
      <c r="C259">
        <v>6.8479650000000003</v>
      </c>
      <c r="D259">
        <f t="shared" ref="D259:D322" si="9">MONTH(B259)</f>
        <v>4</v>
      </c>
    </row>
    <row r="260" spans="1:4" hidden="1" x14ac:dyDescent="0.25">
      <c r="A260">
        <f t="shared" si="8"/>
        <v>2043</v>
      </c>
      <c r="B260" s="42">
        <v>52352</v>
      </c>
      <c r="C260">
        <v>6.8479650000000003</v>
      </c>
      <c r="D260">
        <f t="shared" si="9"/>
        <v>5</v>
      </c>
    </row>
    <row r="261" spans="1:4" hidden="1" x14ac:dyDescent="0.25">
      <c r="A261">
        <f t="shared" si="8"/>
        <v>2043</v>
      </c>
      <c r="B261" s="42">
        <v>52383</v>
      </c>
      <c r="C261">
        <v>6.8479650000000003</v>
      </c>
      <c r="D261">
        <f t="shared" si="9"/>
        <v>6</v>
      </c>
    </row>
    <row r="262" spans="1:4" hidden="1" x14ac:dyDescent="0.25">
      <c r="A262">
        <f t="shared" si="8"/>
        <v>2043</v>
      </c>
      <c r="B262" s="42">
        <v>52413</v>
      </c>
      <c r="C262">
        <v>6.8479650000000003</v>
      </c>
      <c r="D262">
        <f t="shared" si="9"/>
        <v>7</v>
      </c>
    </row>
    <row r="263" spans="1:4" hidden="1" x14ac:dyDescent="0.25">
      <c r="A263">
        <f t="shared" si="8"/>
        <v>2043</v>
      </c>
      <c r="B263" s="42">
        <v>52444</v>
      </c>
      <c r="C263">
        <v>6.8479650000000003</v>
      </c>
      <c r="D263">
        <f t="shared" si="9"/>
        <v>8</v>
      </c>
    </row>
    <row r="264" spans="1:4" hidden="1" x14ac:dyDescent="0.25">
      <c r="A264">
        <f t="shared" si="8"/>
        <v>2043</v>
      </c>
      <c r="B264" s="42">
        <v>52475</v>
      </c>
      <c r="C264">
        <v>6.8479650000000003</v>
      </c>
      <c r="D264">
        <f t="shared" si="9"/>
        <v>9</v>
      </c>
    </row>
    <row r="265" spans="1:4" hidden="1" x14ac:dyDescent="0.25">
      <c r="A265">
        <f t="shared" si="8"/>
        <v>2043</v>
      </c>
      <c r="B265" s="42">
        <v>52505</v>
      </c>
      <c r="C265">
        <v>6.8479650000000003</v>
      </c>
      <c r="D265">
        <f t="shared" si="9"/>
        <v>10</v>
      </c>
    </row>
    <row r="266" spans="1:4" hidden="1" x14ac:dyDescent="0.25">
      <c r="A266">
        <f t="shared" si="8"/>
        <v>2043</v>
      </c>
      <c r="B266" s="42">
        <v>52536</v>
      </c>
      <c r="C266">
        <v>6.8479650000000003</v>
      </c>
      <c r="D266">
        <f t="shared" si="9"/>
        <v>11</v>
      </c>
    </row>
    <row r="267" spans="1:4" x14ac:dyDescent="0.25">
      <c r="A267">
        <f t="shared" si="8"/>
        <v>2043</v>
      </c>
      <c r="B267" s="42">
        <v>52566</v>
      </c>
      <c r="C267">
        <v>6.8479650000000003</v>
      </c>
      <c r="D267">
        <f t="shared" si="9"/>
        <v>12</v>
      </c>
    </row>
    <row r="268" spans="1:4" hidden="1" x14ac:dyDescent="0.25">
      <c r="A268">
        <f t="shared" si="8"/>
        <v>2044</v>
      </c>
      <c r="B268" s="42">
        <v>52597</v>
      </c>
      <c r="C268">
        <v>6.9010499999999997</v>
      </c>
      <c r="D268">
        <f t="shared" si="9"/>
        <v>1</v>
      </c>
    </row>
    <row r="269" spans="1:4" hidden="1" x14ac:dyDescent="0.25">
      <c r="A269">
        <f t="shared" si="8"/>
        <v>2044</v>
      </c>
      <c r="B269" s="42">
        <v>52628</v>
      </c>
      <c r="C269">
        <v>6.9010499999999997</v>
      </c>
      <c r="D269">
        <f t="shared" si="9"/>
        <v>2</v>
      </c>
    </row>
    <row r="270" spans="1:4" hidden="1" x14ac:dyDescent="0.25">
      <c r="A270">
        <f t="shared" si="8"/>
        <v>2044</v>
      </c>
      <c r="B270" s="42">
        <v>52657</v>
      </c>
      <c r="C270">
        <v>6.9010499999999997</v>
      </c>
      <c r="D270">
        <f t="shared" si="9"/>
        <v>3</v>
      </c>
    </row>
    <row r="271" spans="1:4" hidden="1" x14ac:dyDescent="0.25">
      <c r="A271">
        <f t="shared" si="8"/>
        <v>2044</v>
      </c>
      <c r="B271" s="42">
        <v>52688</v>
      </c>
      <c r="C271">
        <v>6.9010499999999997</v>
      </c>
      <c r="D271">
        <f t="shared" si="9"/>
        <v>4</v>
      </c>
    </row>
    <row r="272" spans="1:4" hidden="1" x14ac:dyDescent="0.25">
      <c r="A272">
        <f t="shared" si="8"/>
        <v>2044</v>
      </c>
      <c r="B272" s="42">
        <v>52718</v>
      </c>
      <c r="C272">
        <v>6.9010499999999997</v>
      </c>
      <c r="D272">
        <f t="shared" si="9"/>
        <v>5</v>
      </c>
    </row>
    <row r="273" spans="1:4" hidden="1" x14ac:dyDescent="0.25">
      <c r="A273">
        <f t="shared" si="8"/>
        <v>2044</v>
      </c>
      <c r="B273" s="42">
        <v>52749</v>
      </c>
      <c r="C273">
        <v>6.9010499999999997</v>
      </c>
      <c r="D273">
        <f t="shared" si="9"/>
        <v>6</v>
      </c>
    </row>
    <row r="274" spans="1:4" hidden="1" x14ac:dyDescent="0.25">
      <c r="A274">
        <f t="shared" si="8"/>
        <v>2044</v>
      </c>
      <c r="B274" s="42">
        <v>52779</v>
      </c>
      <c r="C274">
        <v>6.9010499999999997</v>
      </c>
      <c r="D274">
        <f t="shared" si="9"/>
        <v>7</v>
      </c>
    </row>
    <row r="275" spans="1:4" hidden="1" x14ac:dyDescent="0.25">
      <c r="A275">
        <f t="shared" si="8"/>
        <v>2044</v>
      </c>
      <c r="B275" s="42">
        <v>52810</v>
      </c>
      <c r="C275">
        <v>6.9010499999999997</v>
      </c>
      <c r="D275">
        <f t="shared" si="9"/>
        <v>8</v>
      </c>
    </row>
    <row r="276" spans="1:4" hidden="1" x14ac:dyDescent="0.25">
      <c r="A276">
        <f t="shared" si="8"/>
        <v>2044</v>
      </c>
      <c r="B276" s="42">
        <v>52841</v>
      </c>
      <c r="C276">
        <v>6.9010499999999997</v>
      </c>
      <c r="D276">
        <f t="shared" si="9"/>
        <v>9</v>
      </c>
    </row>
    <row r="277" spans="1:4" hidden="1" x14ac:dyDescent="0.25">
      <c r="A277">
        <f t="shared" si="8"/>
        <v>2044</v>
      </c>
      <c r="B277" s="42">
        <v>52871</v>
      </c>
      <c r="C277">
        <v>6.9010499999999997</v>
      </c>
      <c r="D277">
        <f t="shared" si="9"/>
        <v>10</v>
      </c>
    </row>
    <row r="278" spans="1:4" hidden="1" x14ac:dyDescent="0.25">
      <c r="A278">
        <f t="shared" si="8"/>
        <v>2044</v>
      </c>
      <c r="B278" s="42">
        <v>52902</v>
      </c>
      <c r="C278">
        <v>6.9010499999999997</v>
      </c>
      <c r="D278">
        <f t="shared" si="9"/>
        <v>11</v>
      </c>
    </row>
    <row r="279" spans="1:4" x14ac:dyDescent="0.25">
      <c r="A279">
        <f t="shared" si="8"/>
        <v>2044</v>
      </c>
      <c r="B279" s="42">
        <v>52932</v>
      </c>
      <c r="C279">
        <v>6.9010499999999997</v>
      </c>
      <c r="D279">
        <f t="shared" si="9"/>
        <v>12</v>
      </c>
    </row>
    <row r="280" spans="1:4" hidden="1" x14ac:dyDescent="0.25">
      <c r="A280">
        <f t="shared" si="8"/>
        <v>2045</v>
      </c>
      <c r="B280" s="42">
        <v>52963</v>
      </c>
      <c r="C280">
        <v>6.954135</v>
      </c>
      <c r="D280">
        <f t="shared" si="9"/>
        <v>1</v>
      </c>
    </row>
    <row r="281" spans="1:4" hidden="1" x14ac:dyDescent="0.25">
      <c r="A281">
        <f t="shared" si="8"/>
        <v>2045</v>
      </c>
      <c r="B281" s="42">
        <v>52994</v>
      </c>
      <c r="C281">
        <v>6.954135</v>
      </c>
      <c r="D281">
        <f t="shared" si="9"/>
        <v>2</v>
      </c>
    </row>
    <row r="282" spans="1:4" hidden="1" x14ac:dyDescent="0.25">
      <c r="A282">
        <f t="shared" si="8"/>
        <v>2045</v>
      </c>
      <c r="B282" s="42">
        <v>53022</v>
      </c>
      <c r="C282">
        <v>6.954135</v>
      </c>
      <c r="D282">
        <f t="shared" si="9"/>
        <v>3</v>
      </c>
    </row>
    <row r="283" spans="1:4" hidden="1" x14ac:dyDescent="0.25">
      <c r="A283">
        <f t="shared" si="8"/>
        <v>2045</v>
      </c>
      <c r="B283" s="42">
        <v>53053</v>
      </c>
      <c r="C283">
        <v>6.954135</v>
      </c>
      <c r="D283">
        <f t="shared" si="9"/>
        <v>4</v>
      </c>
    </row>
    <row r="284" spans="1:4" hidden="1" x14ac:dyDescent="0.25">
      <c r="A284">
        <f t="shared" si="8"/>
        <v>2045</v>
      </c>
      <c r="B284" s="42">
        <v>53083</v>
      </c>
      <c r="C284">
        <v>6.954135</v>
      </c>
      <c r="D284">
        <f t="shared" si="9"/>
        <v>5</v>
      </c>
    </row>
    <row r="285" spans="1:4" hidden="1" x14ac:dyDescent="0.25">
      <c r="A285">
        <f t="shared" si="8"/>
        <v>2045</v>
      </c>
      <c r="B285" s="42">
        <v>53114</v>
      </c>
      <c r="C285">
        <v>6.954135</v>
      </c>
      <c r="D285">
        <f t="shared" si="9"/>
        <v>6</v>
      </c>
    </row>
    <row r="286" spans="1:4" hidden="1" x14ac:dyDescent="0.25">
      <c r="A286">
        <f t="shared" si="8"/>
        <v>2045</v>
      </c>
      <c r="B286" s="42">
        <v>53144</v>
      </c>
      <c r="C286">
        <v>6.954135</v>
      </c>
      <c r="D286">
        <f t="shared" si="9"/>
        <v>7</v>
      </c>
    </row>
    <row r="287" spans="1:4" hidden="1" x14ac:dyDescent="0.25">
      <c r="A287">
        <f t="shared" si="8"/>
        <v>2045</v>
      </c>
      <c r="B287" s="42">
        <v>53175</v>
      </c>
      <c r="C287">
        <v>6.954135</v>
      </c>
      <c r="D287">
        <f t="shared" si="9"/>
        <v>8</v>
      </c>
    </row>
    <row r="288" spans="1:4" hidden="1" x14ac:dyDescent="0.25">
      <c r="A288">
        <f t="shared" si="8"/>
        <v>2045</v>
      </c>
      <c r="B288" s="42">
        <v>53206</v>
      </c>
      <c r="C288">
        <v>6.954135</v>
      </c>
      <c r="D288">
        <f t="shared" si="9"/>
        <v>9</v>
      </c>
    </row>
    <row r="289" spans="1:4" hidden="1" x14ac:dyDescent="0.25">
      <c r="A289">
        <f t="shared" si="8"/>
        <v>2045</v>
      </c>
      <c r="B289" s="42">
        <v>53236</v>
      </c>
      <c r="C289">
        <v>6.954135</v>
      </c>
      <c r="D289">
        <f t="shared" si="9"/>
        <v>10</v>
      </c>
    </row>
    <row r="290" spans="1:4" hidden="1" x14ac:dyDescent="0.25">
      <c r="A290">
        <f t="shared" si="8"/>
        <v>2045</v>
      </c>
      <c r="B290" s="42">
        <v>53267</v>
      </c>
      <c r="C290">
        <v>6.954135</v>
      </c>
      <c r="D290">
        <f t="shared" si="9"/>
        <v>11</v>
      </c>
    </row>
    <row r="291" spans="1:4" x14ac:dyDescent="0.25">
      <c r="A291">
        <f t="shared" si="8"/>
        <v>2045</v>
      </c>
      <c r="B291" s="42">
        <v>53297</v>
      </c>
      <c r="C291">
        <v>6.954135</v>
      </c>
      <c r="D291">
        <f t="shared" si="9"/>
        <v>12</v>
      </c>
    </row>
    <row r="292" spans="1:4" hidden="1" x14ac:dyDescent="0.25">
      <c r="A292">
        <f t="shared" si="8"/>
        <v>2046</v>
      </c>
      <c r="B292" s="42">
        <v>53328</v>
      </c>
      <c r="C292">
        <v>7.0072200000000002</v>
      </c>
      <c r="D292">
        <f t="shared" si="9"/>
        <v>1</v>
      </c>
    </row>
    <row r="293" spans="1:4" hidden="1" x14ac:dyDescent="0.25">
      <c r="A293">
        <f t="shared" si="8"/>
        <v>2046</v>
      </c>
      <c r="B293" s="42">
        <v>53359</v>
      </c>
      <c r="C293">
        <v>7.0072200000000002</v>
      </c>
      <c r="D293">
        <f t="shared" si="9"/>
        <v>2</v>
      </c>
    </row>
    <row r="294" spans="1:4" hidden="1" x14ac:dyDescent="0.25">
      <c r="A294">
        <f t="shared" si="8"/>
        <v>2046</v>
      </c>
      <c r="B294" s="42">
        <v>53387</v>
      </c>
      <c r="C294">
        <v>7.0072200000000002</v>
      </c>
      <c r="D294">
        <f t="shared" si="9"/>
        <v>3</v>
      </c>
    </row>
    <row r="295" spans="1:4" hidden="1" x14ac:dyDescent="0.25">
      <c r="A295">
        <f t="shared" si="8"/>
        <v>2046</v>
      </c>
      <c r="B295" s="42">
        <v>53418</v>
      </c>
      <c r="C295">
        <v>7.0072200000000002</v>
      </c>
      <c r="D295">
        <f t="shared" si="9"/>
        <v>4</v>
      </c>
    </row>
    <row r="296" spans="1:4" hidden="1" x14ac:dyDescent="0.25">
      <c r="A296">
        <f t="shared" si="8"/>
        <v>2046</v>
      </c>
      <c r="B296" s="42">
        <v>53448</v>
      </c>
      <c r="C296">
        <v>7.0072200000000002</v>
      </c>
      <c r="D296">
        <f t="shared" si="9"/>
        <v>5</v>
      </c>
    </row>
    <row r="297" spans="1:4" hidden="1" x14ac:dyDescent="0.25">
      <c r="A297">
        <f t="shared" si="8"/>
        <v>2046</v>
      </c>
      <c r="B297" s="42">
        <v>53479</v>
      </c>
      <c r="C297">
        <v>7.0072200000000002</v>
      </c>
      <c r="D297">
        <f t="shared" si="9"/>
        <v>6</v>
      </c>
    </row>
    <row r="298" spans="1:4" hidden="1" x14ac:dyDescent="0.25">
      <c r="A298">
        <f t="shared" si="8"/>
        <v>2046</v>
      </c>
      <c r="B298" s="42">
        <v>53509</v>
      </c>
      <c r="C298">
        <v>7.0072200000000002</v>
      </c>
      <c r="D298">
        <f t="shared" si="9"/>
        <v>7</v>
      </c>
    </row>
    <row r="299" spans="1:4" hidden="1" x14ac:dyDescent="0.25">
      <c r="A299">
        <f t="shared" si="8"/>
        <v>2046</v>
      </c>
      <c r="B299" s="42">
        <v>53540</v>
      </c>
      <c r="C299">
        <v>7.0072200000000002</v>
      </c>
      <c r="D299">
        <f t="shared" si="9"/>
        <v>8</v>
      </c>
    </row>
    <row r="300" spans="1:4" hidden="1" x14ac:dyDescent="0.25">
      <c r="A300">
        <f t="shared" si="8"/>
        <v>2046</v>
      </c>
      <c r="B300" s="42">
        <v>53571</v>
      </c>
      <c r="C300">
        <v>7.0072200000000002</v>
      </c>
      <c r="D300">
        <f t="shared" si="9"/>
        <v>9</v>
      </c>
    </row>
    <row r="301" spans="1:4" hidden="1" x14ac:dyDescent="0.25">
      <c r="A301">
        <f t="shared" si="8"/>
        <v>2046</v>
      </c>
      <c r="B301" s="42">
        <v>53601</v>
      </c>
      <c r="C301">
        <v>7.0072200000000002</v>
      </c>
      <c r="D301">
        <f t="shared" si="9"/>
        <v>10</v>
      </c>
    </row>
    <row r="302" spans="1:4" hidden="1" x14ac:dyDescent="0.25">
      <c r="A302">
        <f t="shared" si="8"/>
        <v>2046</v>
      </c>
      <c r="B302" s="42">
        <v>53632</v>
      </c>
      <c r="C302">
        <v>7.0072200000000002</v>
      </c>
      <c r="D302">
        <f t="shared" si="9"/>
        <v>11</v>
      </c>
    </row>
    <row r="303" spans="1:4" x14ac:dyDescent="0.25">
      <c r="A303">
        <f t="shared" si="8"/>
        <v>2046</v>
      </c>
      <c r="B303" s="42">
        <v>53662</v>
      </c>
      <c r="C303">
        <v>7.0072200000000002</v>
      </c>
      <c r="D303">
        <f t="shared" si="9"/>
        <v>12</v>
      </c>
    </row>
    <row r="304" spans="1:4" hidden="1" x14ac:dyDescent="0.25">
      <c r="A304">
        <f t="shared" si="8"/>
        <v>2047</v>
      </c>
      <c r="B304" s="42">
        <v>53693</v>
      </c>
      <c r="C304">
        <v>7.0603049999999996</v>
      </c>
      <c r="D304">
        <f t="shared" si="9"/>
        <v>1</v>
      </c>
    </row>
    <row r="305" spans="1:4" hidden="1" x14ac:dyDescent="0.25">
      <c r="A305">
        <f t="shared" si="8"/>
        <v>2047</v>
      </c>
      <c r="B305" s="42">
        <v>53724</v>
      </c>
      <c r="C305">
        <v>7.0603049999999996</v>
      </c>
      <c r="D305">
        <f t="shared" si="9"/>
        <v>2</v>
      </c>
    </row>
    <row r="306" spans="1:4" hidden="1" x14ac:dyDescent="0.25">
      <c r="A306">
        <f t="shared" si="8"/>
        <v>2047</v>
      </c>
      <c r="B306" s="42">
        <v>53752</v>
      </c>
      <c r="C306">
        <v>7.0603049999999996</v>
      </c>
      <c r="D306">
        <f t="shared" si="9"/>
        <v>3</v>
      </c>
    </row>
    <row r="307" spans="1:4" hidden="1" x14ac:dyDescent="0.25">
      <c r="A307">
        <f t="shared" si="8"/>
        <v>2047</v>
      </c>
      <c r="B307" s="42">
        <v>53783</v>
      </c>
      <c r="C307">
        <v>7.0603049999999996</v>
      </c>
      <c r="D307">
        <f t="shared" si="9"/>
        <v>4</v>
      </c>
    </row>
    <row r="308" spans="1:4" hidden="1" x14ac:dyDescent="0.25">
      <c r="A308">
        <f t="shared" si="8"/>
        <v>2047</v>
      </c>
      <c r="B308" s="42">
        <v>53813</v>
      </c>
      <c r="C308">
        <v>7.0603049999999996</v>
      </c>
      <c r="D308">
        <f t="shared" si="9"/>
        <v>5</v>
      </c>
    </row>
    <row r="309" spans="1:4" hidden="1" x14ac:dyDescent="0.25">
      <c r="A309">
        <f t="shared" si="8"/>
        <v>2047</v>
      </c>
      <c r="B309" s="42">
        <v>53844</v>
      </c>
      <c r="C309">
        <v>7.0603049999999996</v>
      </c>
      <c r="D309">
        <f t="shared" si="9"/>
        <v>6</v>
      </c>
    </row>
    <row r="310" spans="1:4" hidden="1" x14ac:dyDescent="0.25">
      <c r="A310">
        <f t="shared" si="8"/>
        <v>2047</v>
      </c>
      <c r="B310" s="42">
        <v>53874</v>
      </c>
      <c r="C310">
        <v>7.0603049999999996</v>
      </c>
      <c r="D310">
        <f t="shared" si="9"/>
        <v>7</v>
      </c>
    </row>
    <row r="311" spans="1:4" hidden="1" x14ac:dyDescent="0.25">
      <c r="A311">
        <f t="shared" si="8"/>
        <v>2047</v>
      </c>
      <c r="B311" s="42">
        <v>53905</v>
      </c>
      <c r="C311">
        <v>7.0603049999999996</v>
      </c>
      <c r="D311">
        <f t="shared" si="9"/>
        <v>8</v>
      </c>
    </row>
    <row r="312" spans="1:4" hidden="1" x14ac:dyDescent="0.25">
      <c r="A312">
        <f t="shared" si="8"/>
        <v>2047</v>
      </c>
      <c r="B312" s="42">
        <v>53936</v>
      </c>
      <c r="C312">
        <v>7.0603049999999996</v>
      </c>
      <c r="D312">
        <f t="shared" si="9"/>
        <v>9</v>
      </c>
    </row>
    <row r="313" spans="1:4" hidden="1" x14ac:dyDescent="0.25">
      <c r="A313">
        <f t="shared" si="8"/>
        <v>2047</v>
      </c>
      <c r="B313" s="42">
        <v>53966</v>
      </c>
      <c r="C313">
        <v>7.0603049999999996</v>
      </c>
      <c r="D313">
        <f t="shared" si="9"/>
        <v>10</v>
      </c>
    </row>
    <row r="314" spans="1:4" hidden="1" x14ac:dyDescent="0.25">
      <c r="A314">
        <f t="shared" si="8"/>
        <v>2047</v>
      </c>
      <c r="B314" s="42">
        <v>53997</v>
      </c>
      <c r="C314">
        <v>7.0603049999999996</v>
      </c>
      <c r="D314">
        <f t="shared" si="9"/>
        <v>11</v>
      </c>
    </row>
    <row r="315" spans="1:4" x14ac:dyDescent="0.25">
      <c r="A315">
        <f t="shared" si="8"/>
        <v>2047</v>
      </c>
      <c r="B315" s="42">
        <v>54027</v>
      </c>
      <c r="C315">
        <v>7.0603049999999996</v>
      </c>
      <c r="D315">
        <f t="shared" si="9"/>
        <v>12</v>
      </c>
    </row>
    <row r="316" spans="1:4" hidden="1" x14ac:dyDescent="0.25">
      <c r="A316">
        <f t="shared" si="8"/>
        <v>2048</v>
      </c>
      <c r="B316" s="42">
        <v>54058</v>
      </c>
      <c r="C316">
        <v>7.1133899999999999</v>
      </c>
      <c r="D316">
        <f t="shared" si="9"/>
        <v>1</v>
      </c>
    </row>
    <row r="317" spans="1:4" hidden="1" x14ac:dyDescent="0.25">
      <c r="A317">
        <f t="shared" si="8"/>
        <v>2048</v>
      </c>
      <c r="B317" s="42">
        <v>54089</v>
      </c>
      <c r="C317">
        <v>7.1133899999999999</v>
      </c>
      <c r="D317">
        <f t="shared" si="9"/>
        <v>2</v>
      </c>
    </row>
    <row r="318" spans="1:4" hidden="1" x14ac:dyDescent="0.25">
      <c r="A318">
        <f t="shared" si="8"/>
        <v>2048</v>
      </c>
      <c r="B318" s="42">
        <v>54118</v>
      </c>
      <c r="C318">
        <v>7.1133899999999999</v>
      </c>
      <c r="D318">
        <f t="shared" si="9"/>
        <v>3</v>
      </c>
    </row>
    <row r="319" spans="1:4" hidden="1" x14ac:dyDescent="0.25">
      <c r="A319">
        <f t="shared" si="8"/>
        <v>2048</v>
      </c>
      <c r="B319" s="42">
        <v>54149</v>
      </c>
      <c r="C319">
        <v>7.1133899999999999</v>
      </c>
      <c r="D319">
        <f t="shared" si="9"/>
        <v>4</v>
      </c>
    </row>
    <row r="320" spans="1:4" hidden="1" x14ac:dyDescent="0.25">
      <c r="A320">
        <f t="shared" si="8"/>
        <v>2048</v>
      </c>
      <c r="B320" s="42">
        <v>54179</v>
      </c>
      <c r="C320">
        <v>7.1133899999999999</v>
      </c>
      <c r="D320">
        <f t="shared" si="9"/>
        <v>5</v>
      </c>
    </row>
    <row r="321" spans="1:4" hidden="1" x14ac:dyDescent="0.25">
      <c r="A321">
        <f t="shared" si="8"/>
        <v>2048</v>
      </c>
      <c r="B321" s="42">
        <v>54210</v>
      </c>
      <c r="C321">
        <v>7.1133899999999999</v>
      </c>
      <c r="D321">
        <f t="shared" si="9"/>
        <v>6</v>
      </c>
    </row>
    <row r="322" spans="1:4" hidden="1" x14ac:dyDescent="0.25">
      <c r="A322">
        <f t="shared" si="8"/>
        <v>2048</v>
      </c>
      <c r="B322" s="42">
        <v>54240</v>
      </c>
      <c r="C322">
        <v>7.1133899999999999</v>
      </c>
      <c r="D322">
        <f t="shared" si="9"/>
        <v>7</v>
      </c>
    </row>
    <row r="323" spans="1:4" hidden="1" x14ac:dyDescent="0.25">
      <c r="A323">
        <f t="shared" ref="A323:A386" si="10">YEAR(B323)</f>
        <v>2048</v>
      </c>
      <c r="B323" s="42">
        <v>54271</v>
      </c>
      <c r="C323">
        <v>7.1133899999999999</v>
      </c>
      <c r="D323">
        <f t="shared" ref="D323:D386" si="11">MONTH(B323)</f>
        <v>8</v>
      </c>
    </row>
    <row r="324" spans="1:4" hidden="1" x14ac:dyDescent="0.25">
      <c r="A324">
        <f t="shared" si="10"/>
        <v>2048</v>
      </c>
      <c r="B324" s="42">
        <v>54302</v>
      </c>
      <c r="C324">
        <v>7.1133899999999999</v>
      </c>
      <c r="D324">
        <f t="shared" si="11"/>
        <v>9</v>
      </c>
    </row>
    <row r="325" spans="1:4" hidden="1" x14ac:dyDescent="0.25">
      <c r="A325">
        <f t="shared" si="10"/>
        <v>2048</v>
      </c>
      <c r="B325" s="42">
        <v>54332</v>
      </c>
      <c r="C325">
        <v>7.1133899999999999</v>
      </c>
      <c r="D325">
        <f t="shared" si="11"/>
        <v>10</v>
      </c>
    </row>
    <row r="326" spans="1:4" hidden="1" x14ac:dyDescent="0.25">
      <c r="A326">
        <f t="shared" si="10"/>
        <v>2048</v>
      </c>
      <c r="B326" s="42">
        <v>54363</v>
      </c>
      <c r="C326">
        <v>7.1133899999999999</v>
      </c>
      <c r="D326">
        <f t="shared" si="11"/>
        <v>11</v>
      </c>
    </row>
    <row r="327" spans="1:4" x14ac:dyDescent="0.25">
      <c r="A327">
        <f t="shared" si="10"/>
        <v>2048</v>
      </c>
      <c r="B327" s="42">
        <v>54393</v>
      </c>
      <c r="C327">
        <v>7.1133899999999999</v>
      </c>
      <c r="D327">
        <f t="shared" si="11"/>
        <v>12</v>
      </c>
    </row>
    <row r="328" spans="1:4" hidden="1" x14ac:dyDescent="0.25">
      <c r="A328">
        <f t="shared" si="10"/>
        <v>2049</v>
      </c>
      <c r="B328" s="42">
        <v>54424</v>
      </c>
      <c r="C328">
        <v>7.1664750000000002</v>
      </c>
      <c r="D328">
        <f t="shared" si="11"/>
        <v>1</v>
      </c>
    </row>
    <row r="329" spans="1:4" hidden="1" x14ac:dyDescent="0.25">
      <c r="A329">
        <f t="shared" si="10"/>
        <v>2049</v>
      </c>
      <c r="B329" s="42">
        <v>54455</v>
      </c>
      <c r="C329">
        <v>7.1664750000000002</v>
      </c>
      <c r="D329">
        <f t="shared" si="11"/>
        <v>2</v>
      </c>
    </row>
    <row r="330" spans="1:4" hidden="1" x14ac:dyDescent="0.25">
      <c r="A330">
        <f t="shared" si="10"/>
        <v>2049</v>
      </c>
      <c r="B330" s="42">
        <v>54483</v>
      </c>
      <c r="C330">
        <v>7.1664750000000002</v>
      </c>
      <c r="D330">
        <f t="shared" si="11"/>
        <v>3</v>
      </c>
    </row>
    <row r="331" spans="1:4" hidden="1" x14ac:dyDescent="0.25">
      <c r="A331">
        <f t="shared" si="10"/>
        <v>2049</v>
      </c>
      <c r="B331" s="42">
        <v>54514</v>
      </c>
      <c r="C331">
        <v>7.1664750000000002</v>
      </c>
      <c r="D331">
        <f t="shared" si="11"/>
        <v>4</v>
      </c>
    </row>
    <row r="332" spans="1:4" hidden="1" x14ac:dyDescent="0.25">
      <c r="A332">
        <f t="shared" si="10"/>
        <v>2049</v>
      </c>
      <c r="B332" s="42">
        <v>54544</v>
      </c>
      <c r="C332">
        <v>7.1664750000000002</v>
      </c>
      <c r="D332">
        <f t="shared" si="11"/>
        <v>5</v>
      </c>
    </row>
    <row r="333" spans="1:4" hidden="1" x14ac:dyDescent="0.25">
      <c r="A333">
        <f t="shared" si="10"/>
        <v>2049</v>
      </c>
      <c r="B333" s="42">
        <v>54575</v>
      </c>
      <c r="C333">
        <v>7.1664750000000002</v>
      </c>
      <c r="D333">
        <f t="shared" si="11"/>
        <v>6</v>
      </c>
    </row>
    <row r="334" spans="1:4" hidden="1" x14ac:dyDescent="0.25">
      <c r="A334">
        <f t="shared" si="10"/>
        <v>2049</v>
      </c>
      <c r="B334" s="42">
        <v>54605</v>
      </c>
      <c r="C334">
        <v>7.1664750000000002</v>
      </c>
      <c r="D334">
        <f t="shared" si="11"/>
        <v>7</v>
      </c>
    </row>
    <row r="335" spans="1:4" hidden="1" x14ac:dyDescent="0.25">
      <c r="A335">
        <f t="shared" si="10"/>
        <v>2049</v>
      </c>
      <c r="B335" s="42">
        <v>54636</v>
      </c>
      <c r="C335">
        <v>7.1664750000000002</v>
      </c>
      <c r="D335">
        <f t="shared" si="11"/>
        <v>8</v>
      </c>
    </row>
    <row r="336" spans="1:4" hidden="1" x14ac:dyDescent="0.25">
      <c r="A336">
        <f t="shared" si="10"/>
        <v>2049</v>
      </c>
      <c r="B336" s="42">
        <v>54667</v>
      </c>
      <c r="C336">
        <v>7.1664750000000002</v>
      </c>
      <c r="D336">
        <f t="shared" si="11"/>
        <v>9</v>
      </c>
    </row>
    <row r="337" spans="1:4" hidden="1" x14ac:dyDescent="0.25">
      <c r="A337">
        <f t="shared" si="10"/>
        <v>2049</v>
      </c>
      <c r="B337" s="42">
        <v>54697</v>
      </c>
      <c r="C337">
        <v>7.1664750000000002</v>
      </c>
      <c r="D337">
        <f t="shared" si="11"/>
        <v>10</v>
      </c>
    </row>
    <row r="338" spans="1:4" hidden="1" x14ac:dyDescent="0.25">
      <c r="A338">
        <f t="shared" si="10"/>
        <v>2049</v>
      </c>
      <c r="B338" s="42">
        <v>54728</v>
      </c>
      <c r="C338">
        <v>7.1664750000000002</v>
      </c>
      <c r="D338">
        <f t="shared" si="11"/>
        <v>11</v>
      </c>
    </row>
    <row r="339" spans="1:4" x14ac:dyDescent="0.25">
      <c r="A339">
        <f t="shared" si="10"/>
        <v>2049</v>
      </c>
      <c r="B339" s="42">
        <v>54758</v>
      </c>
      <c r="C339">
        <v>7.1664750000000002</v>
      </c>
      <c r="D339">
        <f t="shared" si="11"/>
        <v>12</v>
      </c>
    </row>
    <row r="340" spans="1:4" hidden="1" x14ac:dyDescent="0.25">
      <c r="A340">
        <f t="shared" si="10"/>
        <v>2050</v>
      </c>
      <c r="B340" s="42">
        <v>54789</v>
      </c>
      <c r="C340">
        <v>7.2195600000000004</v>
      </c>
      <c r="D340">
        <f t="shared" si="11"/>
        <v>1</v>
      </c>
    </row>
    <row r="341" spans="1:4" hidden="1" x14ac:dyDescent="0.25">
      <c r="A341">
        <f t="shared" si="10"/>
        <v>2050</v>
      </c>
      <c r="B341" s="42">
        <v>54820</v>
      </c>
      <c r="C341">
        <v>7.2195600000000004</v>
      </c>
      <c r="D341">
        <f t="shared" si="11"/>
        <v>2</v>
      </c>
    </row>
    <row r="342" spans="1:4" hidden="1" x14ac:dyDescent="0.25">
      <c r="A342">
        <f t="shared" si="10"/>
        <v>2050</v>
      </c>
      <c r="B342" s="42">
        <v>54848</v>
      </c>
      <c r="C342">
        <v>7.2195600000000004</v>
      </c>
      <c r="D342">
        <f t="shared" si="11"/>
        <v>3</v>
      </c>
    </row>
    <row r="343" spans="1:4" hidden="1" x14ac:dyDescent="0.25">
      <c r="A343">
        <f t="shared" si="10"/>
        <v>2050</v>
      </c>
      <c r="B343" s="42">
        <v>54879</v>
      </c>
      <c r="C343">
        <v>7.2195600000000004</v>
      </c>
      <c r="D343">
        <f t="shared" si="11"/>
        <v>4</v>
      </c>
    </row>
    <row r="344" spans="1:4" hidden="1" x14ac:dyDescent="0.25">
      <c r="A344">
        <f t="shared" si="10"/>
        <v>2050</v>
      </c>
      <c r="B344" s="42">
        <v>54909</v>
      </c>
      <c r="C344">
        <v>7.2195600000000004</v>
      </c>
      <c r="D344">
        <f t="shared" si="11"/>
        <v>5</v>
      </c>
    </row>
    <row r="345" spans="1:4" hidden="1" x14ac:dyDescent="0.25">
      <c r="A345">
        <f t="shared" si="10"/>
        <v>2050</v>
      </c>
      <c r="B345" s="42">
        <v>54940</v>
      </c>
      <c r="C345">
        <v>7.2195600000000004</v>
      </c>
      <c r="D345">
        <f t="shared" si="11"/>
        <v>6</v>
      </c>
    </row>
    <row r="346" spans="1:4" hidden="1" x14ac:dyDescent="0.25">
      <c r="A346">
        <f t="shared" si="10"/>
        <v>2050</v>
      </c>
      <c r="B346" s="42">
        <v>54970</v>
      </c>
      <c r="C346">
        <v>7.2195600000000004</v>
      </c>
      <c r="D346">
        <f t="shared" si="11"/>
        <v>7</v>
      </c>
    </row>
    <row r="347" spans="1:4" hidden="1" x14ac:dyDescent="0.25">
      <c r="A347">
        <f t="shared" si="10"/>
        <v>2050</v>
      </c>
      <c r="B347" s="42">
        <v>55001</v>
      </c>
      <c r="C347">
        <v>7.2195600000000004</v>
      </c>
      <c r="D347">
        <f t="shared" si="11"/>
        <v>8</v>
      </c>
    </row>
    <row r="348" spans="1:4" hidden="1" x14ac:dyDescent="0.25">
      <c r="A348">
        <f t="shared" si="10"/>
        <v>2050</v>
      </c>
      <c r="B348" s="42">
        <v>55032</v>
      </c>
      <c r="C348">
        <v>7.2195600000000004</v>
      </c>
      <c r="D348">
        <f t="shared" si="11"/>
        <v>9</v>
      </c>
    </row>
    <row r="349" spans="1:4" hidden="1" x14ac:dyDescent="0.25">
      <c r="A349">
        <f t="shared" si="10"/>
        <v>2050</v>
      </c>
      <c r="B349" s="42">
        <v>55062</v>
      </c>
      <c r="C349">
        <v>7.2195600000000004</v>
      </c>
      <c r="D349">
        <f t="shared" si="11"/>
        <v>10</v>
      </c>
    </row>
    <row r="350" spans="1:4" hidden="1" x14ac:dyDescent="0.25">
      <c r="A350">
        <f t="shared" si="10"/>
        <v>2050</v>
      </c>
      <c r="B350" s="42">
        <v>55093</v>
      </c>
      <c r="C350">
        <v>7.2195600000000004</v>
      </c>
      <c r="D350">
        <f t="shared" si="11"/>
        <v>11</v>
      </c>
    </row>
    <row r="351" spans="1:4" x14ac:dyDescent="0.25">
      <c r="A351">
        <f t="shared" si="10"/>
        <v>2050</v>
      </c>
      <c r="B351" s="42">
        <v>55123</v>
      </c>
      <c r="C351">
        <v>7.2195600000000004</v>
      </c>
      <c r="D351">
        <f t="shared" si="11"/>
        <v>12</v>
      </c>
    </row>
    <row r="352" spans="1:4" hidden="1" x14ac:dyDescent="0.25">
      <c r="A352">
        <f t="shared" si="10"/>
        <v>2051</v>
      </c>
      <c r="B352" s="42">
        <v>55154</v>
      </c>
      <c r="C352">
        <v>7.2195600000000004</v>
      </c>
      <c r="D352">
        <f t="shared" si="11"/>
        <v>1</v>
      </c>
    </row>
    <row r="353" spans="1:4" hidden="1" x14ac:dyDescent="0.25">
      <c r="A353">
        <f t="shared" si="10"/>
        <v>2051</v>
      </c>
      <c r="B353" s="42">
        <v>55185</v>
      </c>
      <c r="C353">
        <v>7.2195600000000004</v>
      </c>
      <c r="D353">
        <f t="shared" si="11"/>
        <v>2</v>
      </c>
    </row>
    <row r="354" spans="1:4" hidden="1" x14ac:dyDescent="0.25">
      <c r="A354">
        <f t="shared" si="10"/>
        <v>2051</v>
      </c>
      <c r="B354" s="42">
        <v>55213</v>
      </c>
      <c r="C354">
        <v>7.2195600000000004</v>
      </c>
      <c r="D354">
        <f t="shared" si="11"/>
        <v>3</v>
      </c>
    </row>
    <row r="355" spans="1:4" hidden="1" x14ac:dyDescent="0.25">
      <c r="A355">
        <f t="shared" si="10"/>
        <v>2051</v>
      </c>
      <c r="B355" s="42">
        <v>55244</v>
      </c>
      <c r="C355">
        <v>7.2195600000000004</v>
      </c>
      <c r="D355">
        <f t="shared" si="11"/>
        <v>4</v>
      </c>
    </row>
    <row r="356" spans="1:4" hidden="1" x14ac:dyDescent="0.25">
      <c r="A356">
        <f t="shared" si="10"/>
        <v>2051</v>
      </c>
      <c r="B356" s="42">
        <v>55274</v>
      </c>
      <c r="C356">
        <v>7.2195600000000004</v>
      </c>
      <c r="D356">
        <f t="shared" si="11"/>
        <v>5</v>
      </c>
    </row>
    <row r="357" spans="1:4" hidden="1" x14ac:dyDescent="0.25">
      <c r="A357">
        <f t="shared" si="10"/>
        <v>2051</v>
      </c>
      <c r="B357" s="42">
        <v>55305</v>
      </c>
      <c r="C357">
        <v>7.2195600000000004</v>
      </c>
      <c r="D357">
        <f t="shared" si="11"/>
        <v>6</v>
      </c>
    </row>
    <row r="358" spans="1:4" hidden="1" x14ac:dyDescent="0.25">
      <c r="A358">
        <f t="shared" si="10"/>
        <v>2051</v>
      </c>
      <c r="B358" s="42">
        <v>55335</v>
      </c>
      <c r="C358">
        <v>7.2195600000000004</v>
      </c>
      <c r="D358">
        <f t="shared" si="11"/>
        <v>7</v>
      </c>
    </row>
    <row r="359" spans="1:4" hidden="1" x14ac:dyDescent="0.25">
      <c r="A359">
        <f t="shared" si="10"/>
        <v>2051</v>
      </c>
      <c r="B359" s="42">
        <v>55366</v>
      </c>
      <c r="C359">
        <v>7.2195600000000004</v>
      </c>
      <c r="D359">
        <f t="shared" si="11"/>
        <v>8</v>
      </c>
    </row>
    <row r="360" spans="1:4" hidden="1" x14ac:dyDescent="0.25">
      <c r="A360">
        <f t="shared" si="10"/>
        <v>2051</v>
      </c>
      <c r="B360" s="42">
        <v>55397</v>
      </c>
      <c r="C360">
        <v>7.2195600000000004</v>
      </c>
      <c r="D360">
        <f t="shared" si="11"/>
        <v>9</v>
      </c>
    </row>
    <row r="361" spans="1:4" hidden="1" x14ac:dyDescent="0.25">
      <c r="A361">
        <f t="shared" si="10"/>
        <v>2051</v>
      </c>
      <c r="B361" s="42">
        <v>55427</v>
      </c>
      <c r="C361">
        <v>7.2195600000000004</v>
      </c>
      <c r="D361">
        <f t="shared" si="11"/>
        <v>10</v>
      </c>
    </row>
    <row r="362" spans="1:4" hidden="1" x14ac:dyDescent="0.25">
      <c r="A362">
        <f t="shared" si="10"/>
        <v>2051</v>
      </c>
      <c r="B362" s="42">
        <v>55458</v>
      </c>
      <c r="C362">
        <v>7.2195600000000004</v>
      </c>
      <c r="D362">
        <f t="shared" si="11"/>
        <v>11</v>
      </c>
    </row>
    <row r="363" spans="1:4" x14ac:dyDescent="0.25">
      <c r="A363">
        <f t="shared" si="10"/>
        <v>2051</v>
      </c>
      <c r="B363" s="42">
        <v>55488</v>
      </c>
      <c r="C363">
        <v>7.2195600000000004</v>
      </c>
      <c r="D363">
        <f t="shared" si="11"/>
        <v>12</v>
      </c>
    </row>
    <row r="364" spans="1:4" hidden="1" x14ac:dyDescent="0.25">
      <c r="A364">
        <f t="shared" si="10"/>
        <v>2052</v>
      </c>
      <c r="B364" s="42">
        <v>55519</v>
      </c>
      <c r="C364">
        <v>7.2195600000000004</v>
      </c>
      <c r="D364">
        <f t="shared" si="11"/>
        <v>1</v>
      </c>
    </row>
    <row r="365" spans="1:4" hidden="1" x14ac:dyDescent="0.25">
      <c r="A365">
        <f t="shared" si="10"/>
        <v>2052</v>
      </c>
      <c r="B365" s="42">
        <v>55550</v>
      </c>
      <c r="C365">
        <v>7.2195600000000004</v>
      </c>
      <c r="D365">
        <f t="shared" si="11"/>
        <v>2</v>
      </c>
    </row>
    <row r="366" spans="1:4" hidden="1" x14ac:dyDescent="0.25">
      <c r="A366">
        <f t="shared" si="10"/>
        <v>2052</v>
      </c>
      <c r="B366" s="42">
        <v>55579</v>
      </c>
      <c r="C366">
        <v>7.2195600000000004</v>
      </c>
      <c r="D366">
        <f t="shared" si="11"/>
        <v>3</v>
      </c>
    </row>
    <row r="367" spans="1:4" hidden="1" x14ac:dyDescent="0.25">
      <c r="A367">
        <f t="shared" si="10"/>
        <v>2052</v>
      </c>
      <c r="B367" s="42">
        <v>55610</v>
      </c>
      <c r="C367">
        <v>7.2195600000000004</v>
      </c>
      <c r="D367">
        <f t="shared" si="11"/>
        <v>4</v>
      </c>
    </row>
    <row r="368" spans="1:4" hidden="1" x14ac:dyDescent="0.25">
      <c r="A368">
        <f t="shared" si="10"/>
        <v>2052</v>
      </c>
      <c r="B368" s="42">
        <v>55640</v>
      </c>
      <c r="C368">
        <v>7.2195600000000004</v>
      </c>
      <c r="D368">
        <f t="shared" si="11"/>
        <v>5</v>
      </c>
    </row>
    <row r="369" spans="1:4" hidden="1" x14ac:dyDescent="0.25">
      <c r="A369">
        <f t="shared" si="10"/>
        <v>2052</v>
      </c>
      <c r="B369" s="42">
        <v>55671</v>
      </c>
      <c r="C369">
        <v>7.2195600000000004</v>
      </c>
      <c r="D369">
        <f t="shared" si="11"/>
        <v>6</v>
      </c>
    </row>
    <row r="370" spans="1:4" hidden="1" x14ac:dyDescent="0.25">
      <c r="A370">
        <f t="shared" si="10"/>
        <v>2052</v>
      </c>
      <c r="B370" s="42">
        <v>55701</v>
      </c>
      <c r="C370">
        <v>7.2195600000000004</v>
      </c>
      <c r="D370">
        <f t="shared" si="11"/>
        <v>7</v>
      </c>
    </row>
    <row r="371" spans="1:4" hidden="1" x14ac:dyDescent="0.25">
      <c r="A371">
        <f t="shared" si="10"/>
        <v>2052</v>
      </c>
      <c r="B371" s="42">
        <v>55732</v>
      </c>
      <c r="C371">
        <v>7.2195600000000004</v>
      </c>
      <c r="D371">
        <f t="shared" si="11"/>
        <v>8</v>
      </c>
    </row>
    <row r="372" spans="1:4" hidden="1" x14ac:dyDescent="0.25">
      <c r="A372">
        <f t="shared" si="10"/>
        <v>2052</v>
      </c>
      <c r="B372" s="42">
        <v>55763</v>
      </c>
      <c r="C372">
        <v>7.2195600000000004</v>
      </c>
      <c r="D372">
        <f t="shared" si="11"/>
        <v>9</v>
      </c>
    </row>
    <row r="373" spans="1:4" hidden="1" x14ac:dyDescent="0.25">
      <c r="A373">
        <f t="shared" si="10"/>
        <v>2052</v>
      </c>
      <c r="B373" s="42">
        <v>55793</v>
      </c>
      <c r="C373">
        <v>7.2195600000000004</v>
      </c>
      <c r="D373">
        <f t="shared" si="11"/>
        <v>10</v>
      </c>
    </row>
    <row r="374" spans="1:4" hidden="1" x14ac:dyDescent="0.25">
      <c r="A374">
        <f t="shared" si="10"/>
        <v>2052</v>
      </c>
      <c r="B374" s="42">
        <v>55824</v>
      </c>
      <c r="C374">
        <v>7.2195600000000004</v>
      </c>
      <c r="D374">
        <f t="shared" si="11"/>
        <v>11</v>
      </c>
    </row>
    <row r="375" spans="1:4" x14ac:dyDescent="0.25">
      <c r="A375">
        <f t="shared" si="10"/>
        <v>2052</v>
      </c>
      <c r="B375" s="42">
        <v>55854</v>
      </c>
      <c r="C375">
        <v>7.2195600000000004</v>
      </c>
      <c r="D375">
        <f t="shared" si="11"/>
        <v>12</v>
      </c>
    </row>
    <row r="376" spans="1:4" hidden="1" x14ac:dyDescent="0.25">
      <c r="A376">
        <f t="shared" si="10"/>
        <v>2053</v>
      </c>
      <c r="B376" s="42">
        <v>55885</v>
      </c>
      <c r="C376">
        <v>7.2195600000000004</v>
      </c>
      <c r="D376">
        <f t="shared" si="11"/>
        <v>1</v>
      </c>
    </row>
    <row r="377" spans="1:4" hidden="1" x14ac:dyDescent="0.25">
      <c r="A377">
        <f t="shared" si="10"/>
        <v>2053</v>
      </c>
      <c r="B377" s="42">
        <v>55916</v>
      </c>
      <c r="C377">
        <v>7.2195600000000004</v>
      </c>
      <c r="D377">
        <f t="shared" si="11"/>
        <v>2</v>
      </c>
    </row>
    <row r="378" spans="1:4" hidden="1" x14ac:dyDescent="0.25">
      <c r="A378">
        <f t="shared" si="10"/>
        <v>2053</v>
      </c>
      <c r="B378" s="42">
        <v>55944</v>
      </c>
      <c r="C378">
        <v>7.2195600000000004</v>
      </c>
      <c r="D378">
        <f t="shared" si="11"/>
        <v>3</v>
      </c>
    </row>
    <row r="379" spans="1:4" hidden="1" x14ac:dyDescent="0.25">
      <c r="A379">
        <f t="shared" si="10"/>
        <v>2053</v>
      </c>
      <c r="B379" s="42">
        <v>55975</v>
      </c>
      <c r="C379">
        <v>7.2195600000000004</v>
      </c>
      <c r="D379">
        <f t="shared" si="11"/>
        <v>4</v>
      </c>
    </row>
    <row r="380" spans="1:4" hidden="1" x14ac:dyDescent="0.25">
      <c r="A380">
        <f t="shared" si="10"/>
        <v>2053</v>
      </c>
      <c r="B380" s="42">
        <v>56005</v>
      </c>
      <c r="C380">
        <v>7.2195600000000004</v>
      </c>
      <c r="D380">
        <f t="shared" si="11"/>
        <v>5</v>
      </c>
    </row>
    <row r="381" spans="1:4" hidden="1" x14ac:dyDescent="0.25">
      <c r="A381">
        <f t="shared" si="10"/>
        <v>2053</v>
      </c>
      <c r="B381" s="42">
        <v>56036</v>
      </c>
      <c r="C381">
        <v>7.2195600000000004</v>
      </c>
      <c r="D381">
        <f t="shared" si="11"/>
        <v>6</v>
      </c>
    </row>
    <row r="382" spans="1:4" hidden="1" x14ac:dyDescent="0.25">
      <c r="A382">
        <f t="shared" si="10"/>
        <v>2053</v>
      </c>
      <c r="B382" s="42">
        <v>56066</v>
      </c>
      <c r="C382">
        <v>7.2195600000000004</v>
      </c>
      <c r="D382">
        <f t="shared" si="11"/>
        <v>7</v>
      </c>
    </row>
    <row r="383" spans="1:4" hidden="1" x14ac:dyDescent="0.25">
      <c r="A383">
        <f t="shared" si="10"/>
        <v>2053</v>
      </c>
      <c r="B383" s="42">
        <v>56097</v>
      </c>
      <c r="C383">
        <v>7.2195600000000004</v>
      </c>
      <c r="D383">
        <f t="shared" si="11"/>
        <v>8</v>
      </c>
    </row>
    <row r="384" spans="1:4" hidden="1" x14ac:dyDescent="0.25">
      <c r="A384">
        <f t="shared" si="10"/>
        <v>2053</v>
      </c>
      <c r="B384" s="42">
        <v>56128</v>
      </c>
      <c r="C384">
        <v>7.2195600000000004</v>
      </c>
      <c r="D384">
        <f t="shared" si="11"/>
        <v>9</v>
      </c>
    </row>
    <row r="385" spans="1:4" hidden="1" x14ac:dyDescent="0.25">
      <c r="A385">
        <f t="shared" si="10"/>
        <v>2053</v>
      </c>
      <c r="B385" s="42">
        <v>56158</v>
      </c>
      <c r="C385">
        <v>7.2195600000000004</v>
      </c>
      <c r="D385">
        <f t="shared" si="11"/>
        <v>10</v>
      </c>
    </row>
    <row r="386" spans="1:4" hidden="1" x14ac:dyDescent="0.25">
      <c r="A386">
        <f t="shared" si="10"/>
        <v>2053</v>
      </c>
      <c r="B386" s="42">
        <v>56189</v>
      </c>
      <c r="C386">
        <v>7.2195600000000004</v>
      </c>
      <c r="D386">
        <f t="shared" si="11"/>
        <v>11</v>
      </c>
    </row>
    <row r="387" spans="1:4" x14ac:dyDescent="0.25">
      <c r="A387">
        <f t="shared" ref="A387:A411" si="12">YEAR(B387)</f>
        <v>2053</v>
      </c>
      <c r="B387" s="42">
        <v>56219</v>
      </c>
      <c r="C387">
        <v>7.2195600000000004</v>
      </c>
      <c r="D387">
        <f t="shared" ref="D387:D411" si="13">MONTH(B387)</f>
        <v>12</v>
      </c>
    </row>
    <row r="388" spans="1:4" hidden="1" x14ac:dyDescent="0.25">
      <c r="A388">
        <f t="shared" si="12"/>
        <v>2054</v>
      </c>
      <c r="B388" s="42">
        <v>56250</v>
      </c>
      <c r="C388">
        <v>7.2195600000000004</v>
      </c>
      <c r="D388">
        <f t="shared" si="13"/>
        <v>1</v>
      </c>
    </row>
    <row r="389" spans="1:4" hidden="1" x14ac:dyDescent="0.25">
      <c r="A389">
        <f t="shared" si="12"/>
        <v>2054</v>
      </c>
      <c r="B389" s="42">
        <v>56281</v>
      </c>
      <c r="C389">
        <v>7.2195600000000004</v>
      </c>
      <c r="D389">
        <f t="shared" si="13"/>
        <v>2</v>
      </c>
    </row>
    <row r="390" spans="1:4" hidden="1" x14ac:dyDescent="0.25">
      <c r="A390">
        <f t="shared" si="12"/>
        <v>2054</v>
      </c>
      <c r="B390" s="42">
        <v>56309</v>
      </c>
      <c r="C390">
        <v>7.2195600000000004</v>
      </c>
      <c r="D390">
        <f t="shared" si="13"/>
        <v>3</v>
      </c>
    </row>
    <row r="391" spans="1:4" hidden="1" x14ac:dyDescent="0.25">
      <c r="A391">
        <f t="shared" si="12"/>
        <v>2054</v>
      </c>
      <c r="B391" s="42">
        <v>56340</v>
      </c>
      <c r="C391">
        <v>7.2195600000000004</v>
      </c>
      <c r="D391">
        <f t="shared" si="13"/>
        <v>4</v>
      </c>
    </row>
    <row r="392" spans="1:4" hidden="1" x14ac:dyDescent="0.25">
      <c r="A392">
        <f t="shared" si="12"/>
        <v>2054</v>
      </c>
      <c r="B392" s="42">
        <v>56370</v>
      </c>
      <c r="C392">
        <v>7.2195600000000004</v>
      </c>
      <c r="D392">
        <f t="shared" si="13"/>
        <v>5</v>
      </c>
    </row>
    <row r="393" spans="1:4" hidden="1" x14ac:dyDescent="0.25">
      <c r="A393">
        <f t="shared" si="12"/>
        <v>2054</v>
      </c>
      <c r="B393" s="42">
        <v>56401</v>
      </c>
      <c r="C393">
        <v>7.2195600000000004</v>
      </c>
      <c r="D393">
        <f t="shared" si="13"/>
        <v>6</v>
      </c>
    </row>
    <row r="394" spans="1:4" hidden="1" x14ac:dyDescent="0.25">
      <c r="A394">
        <f t="shared" si="12"/>
        <v>2054</v>
      </c>
      <c r="B394" s="42">
        <v>56431</v>
      </c>
      <c r="C394">
        <v>7.2195600000000004</v>
      </c>
      <c r="D394">
        <f t="shared" si="13"/>
        <v>7</v>
      </c>
    </row>
    <row r="395" spans="1:4" hidden="1" x14ac:dyDescent="0.25">
      <c r="A395">
        <f t="shared" si="12"/>
        <v>2054</v>
      </c>
      <c r="B395" s="42">
        <v>56462</v>
      </c>
      <c r="C395">
        <v>7.2195600000000004</v>
      </c>
      <c r="D395">
        <f t="shared" si="13"/>
        <v>8</v>
      </c>
    </row>
    <row r="396" spans="1:4" hidden="1" x14ac:dyDescent="0.25">
      <c r="A396">
        <f t="shared" si="12"/>
        <v>2054</v>
      </c>
      <c r="B396" s="42">
        <v>56493</v>
      </c>
      <c r="C396">
        <v>7.2195600000000004</v>
      </c>
      <c r="D396">
        <f t="shared" si="13"/>
        <v>9</v>
      </c>
    </row>
    <row r="397" spans="1:4" hidden="1" x14ac:dyDescent="0.25">
      <c r="A397">
        <f t="shared" si="12"/>
        <v>2054</v>
      </c>
      <c r="B397" s="42">
        <v>56523</v>
      </c>
      <c r="C397">
        <v>7.2195600000000004</v>
      </c>
      <c r="D397">
        <f t="shared" si="13"/>
        <v>10</v>
      </c>
    </row>
    <row r="398" spans="1:4" hidden="1" x14ac:dyDescent="0.25">
      <c r="A398">
        <f t="shared" si="12"/>
        <v>2054</v>
      </c>
      <c r="B398" s="42">
        <v>56554</v>
      </c>
      <c r="C398">
        <v>7.2195600000000004</v>
      </c>
      <c r="D398">
        <f t="shared" si="13"/>
        <v>11</v>
      </c>
    </row>
    <row r="399" spans="1:4" x14ac:dyDescent="0.25">
      <c r="A399">
        <f t="shared" si="12"/>
        <v>2054</v>
      </c>
      <c r="B399" s="42">
        <v>56584</v>
      </c>
      <c r="C399">
        <v>7.2195600000000004</v>
      </c>
      <c r="D399">
        <f t="shared" si="13"/>
        <v>12</v>
      </c>
    </row>
    <row r="400" spans="1:4" hidden="1" x14ac:dyDescent="0.25">
      <c r="A400">
        <f t="shared" si="12"/>
        <v>2055</v>
      </c>
      <c r="B400" s="42">
        <v>56615</v>
      </c>
      <c r="C400">
        <v>7.2195600000000004</v>
      </c>
      <c r="D400">
        <f t="shared" si="13"/>
        <v>1</v>
      </c>
    </row>
    <row r="401" spans="1:4" hidden="1" x14ac:dyDescent="0.25">
      <c r="A401">
        <f t="shared" si="12"/>
        <v>2055</v>
      </c>
      <c r="B401" s="42">
        <v>56646</v>
      </c>
      <c r="C401">
        <v>7.2195600000000004</v>
      </c>
      <c r="D401">
        <f t="shared" si="13"/>
        <v>2</v>
      </c>
    </row>
    <row r="402" spans="1:4" hidden="1" x14ac:dyDescent="0.25">
      <c r="A402">
        <f t="shared" si="12"/>
        <v>2055</v>
      </c>
      <c r="B402" s="42">
        <v>56674</v>
      </c>
      <c r="C402">
        <v>7.2195600000000004</v>
      </c>
      <c r="D402">
        <f t="shared" si="13"/>
        <v>3</v>
      </c>
    </row>
    <row r="403" spans="1:4" hidden="1" x14ac:dyDescent="0.25">
      <c r="A403">
        <f t="shared" si="12"/>
        <v>2055</v>
      </c>
      <c r="B403" s="42">
        <v>56705</v>
      </c>
      <c r="C403">
        <v>7.2195600000000004</v>
      </c>
      <c r="D403">
        <f t="shared" si="13"/>
        <v>4</v>
      </c>
    </row>
    <row r="404" spans="1:4" hidden="1" x14ac:dyDescent="0.25">
      <c r="A404">
        <f t="shared" si="12"/>
        <v>2055</v>
      </c>
      <c r="B404" s="42">
        <v>56735</v>
      </c>
      <c r="C404">
        <v>7.2195600000000004</v>
      </c>
      <c r="D404">
        <f t="shared" si="13"/>
        <v>5</v>
      </c>
    </row>
    <row r="405" spans="1:4" hidden="1" x14ac:dyDescent="0.25">
      <c r="A405">
        <f t="shared" si="12"/>
        <v>2055</v>
      </c>
      <c r="B405" s="42">
        <v>56766</v>
      </c>
      <c r="C405">
        <v>7.2195600000000004</v>
      </c>
      <c r="D405">
        <f t="shared" si="13"/>
        <v>6</v>
      </c>
    </row>
    <row r="406" spans="1:4" hidden="1" x14ac:dyDescent="0.25">
      <c r="A406">
        <f t="shared" si="12"/>
        <v>2055</v>
      </c>
      <c r="B406" s="42">
        <v>56796</v>
      </c>
      <c r="C406">
        <v>7.2195600000000004</v>
      </c>
      <c r="D406">
        <f t="shared" si="13"/>
        <v>7</v>
      </c>
    </row>
    <row r="407" spans="1:4" hidden="1" x14ac:dyDescent="0.25">
      <c r="A407">
        <f t="shared" si="12"/>
        <v>2055</v>
      </c>
      <c r="B407" s="42">
        <v>56827</v>
      </c>
      <c r="C407">
        <v>7.2195600000000004</v>
      </c>
      <c r="D407">
        <f t="shared" si="13"/>
        <v>8</v>
      </c>
    </row>
    <row r="408" spans="1:4" hidden="1" x14ac:dyDescent="0.25">
      <c r="A408">
        <f t="shared" si="12"/>
        <v>2055</v>
      </c>
      <c r="B408" s="42">
        <v>56858</v>
      </c>
      <c r="C408">
        <v>7.2195600000000004</v>
      </c>
      <c r="D408">
        <f t="shared" si="13"/>
        <v>9</v>
      </c>
    </row>
    <row r="409" spans="1:4" hidden="1" x14ac:dyDescent="0.25">
      <c r="A409">
        <f t="shared" si="12"/>
        <v>2055</v>
      </c>
      <c r="B409" s="42">
        <v>56888</v>
      </c>
      <c r="C409">
        <v>7.2195600000000004</v>
      </c>
      <c r="D409">
        <f t="shared" si="13"/>
        <v>10</v>
      </c>
    </row>
    <row r="410" spans="1:4" hidden="1" x14ac:dyDescent="0.25">
      <c r="A410">
        <f t="shared" si="12"/>
        <v>2055</v>
      </c>
      <c r="B410" s="42">
        <v>56919</v>
      </c>
      <c r="C410">
        <v>7.2195600000000004</v>
      </c>
      <c r="D410">
        <f t="shared" si="13"/>
        <v>11</v>
      </c>
    </row>
    <row r="411" spans="1:4" x14ac:dyDescent="0.25">
      <c r="A411">
        <f t="shared" si="12"/>
        <v>2055</v>
      </c>
      <c r="B411" s="42">
        <v>56949</v>
      </c>
      <c r="C411">
        <v>7.2195600000000004</v>
      </c>
      <c r="D411">
        <f t="shared" si="13"/>
        <v>12</v>
      </c>
    </row>
  </sheetData>
  <autoFilter ref="A1:D411" xr:uid="{0B5A3199-A8FB-4062-9E05-20CCDEEC23DE}">
    <filterColumn colId="3">
      <filters>
        <filter val="12"/>
      </filters>
    </filterColumn>
  </autoFilter>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F0C08-9658-4C8C-AAB3-277BA2639847}">
  <sheetPr>
    <tabColor rgb="FFFFFF00"/>
  </sheetPr>
  <dimension ref="A1:AK13"/>
  <sheetViews>
    <sheetView showGridLines="0" topLeftCell="N1" zoomScaleNormal="100" workbookViewId="0">
      <selection activeCell="AQ16" sqref="AQ16"/>
    </sheetView>
  </sheetViews>
  <sheetFormatPr defaultRowHeight="15" x14ac:dyDescent="0.25"/>
  <cols>
    <col min="2" max="2" width="16.28515625" customWidth="1"/>
  </cols>
  <sheetData>
    <row r="1" spans="1:37" s="198" customFormat="1" ht="49.9" customHeight="1" x14ac:dyDescent="0.25">
      <c r="A1" s="198" t="s">
        <v>514</v>
      </c>
      <c r="B1" s="198" t="str">
        <f>'Scenario Selection and Summary'!$B$3</f>
        <v>Scenario 5- Aggressive Building Electrification</v>
      </c>
      <c r="H1" s="198" t="s">
        <v>515</v>
      </c>
      <c r="I1" s="198">
        <v>2030</v>
      </c>
      <c r="J1" s="198">
        <v>2050</v>
      </c>
    </row>
    <row r="2" spans="1:37" x14ac:dyDescent="0.25">
      <c r="B2" t="s">
        <v>98</v>
      </c>
      <c r="H2" t="s">
        <v>516</v>
      </c>
      <c r="I2" s="219">
        <f>'Oregon Bill Impacts'!CB10</f>
        <v>0.34420618650863111</v>
      </c>
      <c r="J2" s="219">
        <f>'Oregon Bill Impacts'!CB30</f>
        <v>3.8892650073753541</v>
      </c>
    </row>
    <row r="3" spans="1:37" x14ac:dyDescent="0.25">
      <c r="B3" t="s">
        <v>99</v>
      </c>
      <c r="H3" t="s">
        <v>80</v>
      </c>
      <c r="I3" s="219">
        <f>'Washington Bill Impacts'!CB10</f>
        <v>0.43666095947806299</v>
      </c>
      <c r="J3" s="219">
        <f>'Washington Bill Impacts'!CB30</f>
        <v>3.5191430138779598</v>
      </c>
    </row>
    <row r="4" spans="1:37" x14ac:dyDescent="0.25">
      <c r="B4" t="s">
        <v>100</v>
      </c>
    </row>
    <row r="5" spans="1:37" x14ac:dyDescent="0.25">
      <c r="B5" t="s">
        <v>101</v>
      </c>
    </row>
    <row r="6" spans="1:37" x14ac:dyDescent="0.25">
      <c r="B6" t="s">
        <v>102</v>
      </c>
      <c r="T6" t="s">
        <v>517</v>
      </c>
      <c r="AF6" t="s">
        <v>518</v>
      </c>
    </row>
    <row r="7" spans="1:37" x14ac:dyDescent="0.25">
      <c r="B7" t="s">
        <v>103</v>
      </c>
      <c r="F7" t="s">
        <v>519</v>
      </c>
    </row>
    <row r="8" spans="1:37" x14ac:dyDescent="0.25">
      <c r="B8" t="s">
        <v>104</v>
      </c>
    </row>
    <row r="9" spans="1:37" ht="15.75" x14ac:dyDescent="0.25">
      <c r="B9" t="s">
        <v>105</v>
      </c>
      <c r="AG9" s="220"/>
    </row>
    <row r="10" spans="1:37" x14ac:dyDescent="0.25">
      <c r="B10" t="s">
        <v>106</v>
      </c>
    </row>
    <row r="13" spans="1:37" x14ac:dyDescent="0.25">
      <c r="AK13" s="221"/>
    </row>
  </sheetData>
  <dataValidations count="1">
    <dataValidation type="list" allowBlank="1" showInputMessage="1" showErrorMessage="1" sqref="B1" xr:uid="{290676A0-EC2D-4107-9634-D820722CA1F5}">
      <formula1>$B$2:$B$10</formula1>
    </dataValidation>
  </dataValidation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22ECF-57E3-4E4E-A276-5EDDDD25F23B}">
  <sheetPr>
    <tabColor rgb="FF0070C0"/>
  </sheetPr>
  <dimension ref="A1:BY30"/>
  <sheetViews>
    <sheetView workbookViewId="0">
      <selection activeCell="H34" sqref="H34"/>
    </sheetView>
  </sheetViews>
  <sheetFormatPr defaultColWidth="8.7109375" defaultRowHeight="15" x14ac:dyDescent="0.25"/>
  <cols>
    <col min="1" max="1" width="8.7109375" style="43"/>
    <col min="2" max="2" width="14.5703125" style="44" bestFit="1" customWidth="1"/>
    <col min="3" max="9" width="14.5703125" style="43" bestFit="1" customWidth="1"/>
    <col min="10" max="10" width="13.5703125" style="43" bestFit="1" customWidth="1"/>
    <col min="11" max="11" width="12.42578125" style="44" customWidth="1"/>
    <col min="12" max="19" width="12.42578125" style="43" customWidth="1"/>
    <col min="20" max="20" width="12.42578125" style="44" customWidth="1"/>
    <col min="21" max="28" width="12.42578125" style="43" customWidth="1"/>
    <col min="29" max="29" width="12.42578125" style="44" customWidth="1"/>
    <col min="30" max="40" width="12.42578125" style="43" customWidth="1"/>
    <col min="41" max="41" width="12.42578125" style="44" customWidth="1"/>
    <col min="42" max="49" width="12.42578125" style="43" customWidth="1"/>
    <col min="50" max="50" width="12.42578125" style="44" customWidth="1"/>
    <col min="51" max="58" width="12.42578125" style="43" customWidth="1"/>
    <col min="59" max="59" width="12.42578125" style="44" customWidth="1"/>
    <col min="60" max="67" width="12.42578125" style="43" customWidth="1"/>
    <col min="68" max="68" width="12.42578125" style="44" customWidth="1"/>
    <col min="69" max="76" width="12.42578125" style="43" customWidth="1"/>
    <col min="77" max="16384" width="8.7109375" style="43"/>
  </cols>
  <sheetData>
    <row r="1" spans="1:77" x14ac:dyDescent="0.25">
      <c r="A1" s="43" t="s">
        <v>243</v>
      </c>
      <c r="B1" s="44" t="s">
        <v>244</v>
      </c>
      <c r="C1" s="43" t="s">
        <v>245</v>
      </c>
      <c r="D1" s="43" t="s">
        <v>246</v>
      </c>
      <c r="E1" s="43" t="s">
        <v>247</v>
      </c>
      <c r="F1" s="43" t="s">
        <v>248</v>
      </c>
      <c r="G1" s="43" t="s">
        <v>249</v>
      </c>
      <c r="H1" s="43" t="s">
        <v>250</v>
      </c>
      <c r="I1" s="43" t="s">
        <v>251</v>
      </c>
      <c r="J1" s="43" t="s">
        <v>252</v>
      </c>
      <c r="K1" s="44" t="s">
        <v>253</v>
      </c>
      <c r="L1" s="43" t="s">
        <v>254</v>
      </c>
      <c r="M1" s="43" t="s">
        <v>255</v>
      </c>
      <c r="N1" s="43" t="s">
        <v>256</v>
      </c>
      <c r="O1" s="43" t="s">
        <v>257</v>
      </c>
      <c r="P1" s="43" t="s">
        <v>258</v>
      </c>
      <c r="Q1" s="43" t="s">
        <v>259</v>
      </c>
      <c r="R1" s="43" t="s">
        <v>260</v>
      </c>
      <c r="S1" s="43" t="s">
        <v>261</v>
      </c>
      <c r="T1" s="44" t="s">
        <v>262</v>
      </c>
      <c r="U1" s="43" t="s">
        <v>263</v>
      </c>
      <c r="V1" s="43" t="s">
        <v>264</v>
      </c>
      <c r="W1" s="43" t="s">
        <v>265</v>
      </c>
      <c r="X1" s="43" t="s">
        <v>266</v>
      </c>
      <c r="Y1" s="43" t="s">
        <v>267</v>
      </c>
      <c r="Z1" s="43" t="s">
        <v>268</v>
      </c>
      <c r="AA1" s="43" t="s">
        <v>269</v>
      </c>
      <c r="AB1" s="43" t="s">
        <v>270</v>
      </c>
      <c r="AC1" s="44" t="s">
        <v>271</v>
      </c>
      <c r="AD1" s="43" t="s">
        <v>272</v>
      </c>
      <c r="AE1" s="43" t="s">
        <v>273</v>
      </c>
      <c r="AF1" s="43" t="s">
        <v>274</v>
      </c>
      <c r="AG1" s="43" t="s">
        <v>275</v>
      </c>
      <c r="AH1" s="43" t="s">
        <v>276</v>
      </c>
      <c r="AI1" s="43" t="s">
        <v>277</v>
      </c>
      <c r="AJ1" s="43" t="s">
        <v>278</v>
      </c>
      <c r="AK1" s="43" t="s">
        <v>279</v>
      </c>
      <c r="AN1" s="43" t="s">
        <v>243</v>
      </c>
      <c r="AO1" s="44" t="s">
        <v>280</v>
      </c>
      <c r="AP1" s="43" t="s">
        <v>281</v>
      </c>
      <c r="AQ1" s="43" t="s">
        <v>282</v>
      </c>
      <c r="AR1" s="43" t="s">
        <v>283</v>
      </c>
      <c r="AS1" s="43" t="s">
        <v>284</v>
      </c>
      <c r="AT1" s="43" t="s">
        <v>285</v>
      </c>
      <c r="AU1" s="43" t="s">
        <v>286</v>
      </c>
      <c r="AV1" s="43" t="s">
        <v>287</v>
      </c>
      <c r="AW1" s="43" t="s">
        <v>288</v>
      </c>
      <c r="AX1" s="44" t="s">
        <v>289</v>
      </c>
      <c r="AY1" s="43" t="s">
        <v>290</v>
      </c>
      <c r="AZ1" s="43" t="s">
        <v>291</v>
      </c>
      <c r="BA1" s="43" t="s">
        <v>292</v>
      </c>
      <c r="BB1" s="43" t="s">
        <v>293</v>
      </c>
      <c r="BC1" s="43" t="s">
        <v>294</v>
      </c>
      <c r="BD1" s="43" t="s">
        <v>295</v>
      </c>
      <c r="BE1" s="43" t="s">
        <v>296</v>
      </c>
      <c r="BF1" s="43" t="s">
        <v>297</v>
      </c>
      <c r="BG1" s="44" t="s">
        <v>298</v>
      </c>
      <c r="BH1" s="43" t="s">
        <v>299</v>
      </c>
      <c r="BI1" s="43" t="s">
        <v>300</v>
      </c>
      <c r="BJ1" s="43" t="s">
        <v>301</v>
      </c>
      <c r="BK1" s="43" t="s">
        <v>302</v>
      </c>
      <c r="BL1" s="43" t="s">
        <v>303</v>
      </c>
      <c r="BM1" s="43" t="s">
        <v>304</v>
      </c>
      <c r="BN1" s="43" t="s">
        <v>305</v>
      </c>
      <c r="BO1" s="43" t="s">
        <v>306</v>
      </c>
      <c r="BP1" s="44" t="s">
        <v>307</v>
      </c>
      <c r="BQ1" s="43" t="s">
        <v>308</v>
      </c>
      <c r="BR1" s="43" t="s">
        <v>309</v>
      </c>
      <c r="BS1" s="43" t="s">
        <v>310</v>
      </c>
      <c r="BT1" s="43" t="s">
        <v>311</v>
      </c>
      <c r="BU1" s="43" t="s">
        <v>312</v>
      </c>
      <c r="BV1" s="43" t="s">
        <v>313</v>
      </c>
      <c r="BW1" s="43" t="s">
        <v>314</v>
      </c>
      <c r="BX1" s="43" t="s">
        <v>315</v>
      </c>
    </row>
    <row r="2" spans="1:77" x14ac:dyDescent="0.25">
      <c r="A2" s="43">
        <v>2022</v>
      </c>
      <c r="B2" s="45">
        <v>9.2422312499999997</v>
      </c>
      <c r="C2" s="46">
        <v>18.011757812500001</v>
      </c>
      <c r="D2" s="46">
        <v>9.2422312499999997</v>
      </c>
      <c r="E2" s="46">
        <v>9.2422312499999997</v>
      </c>
      <c r="F2" s="46">
        <v>-58.214662500000003</v>
      </c>
      <c r="G2" s="46">
        <v>-58.214662500000003</v>
      </c>
      <c r="H2" s="46">
        <v>9.2422312499999997</v>
      </c>
      <c r="I2" s="46">
        <v>9.2422312499999997</v>
      </c>
      <c r="J2" s="46">
        <v>9.2422312499999997</v>
      </c>
      <c r="K2" s="45">
        <v>98.013542187499993</v>
      </c>
      <c r="L2" s="47">
        <v>110.7553046875</v>
      </c>
      <c r="M2" s="47">
        <v>98.013542187499993</v>
      </c>
      <c r="N2" s="47">
        <v>98.013542187499993</v>
      </c>
      <c r="O2" s="47">
        <v>0</v>
      </c>
      <c r="P2" s="47">
        <v>0</v>
      </c>
      <c r="Q2" s="47">
        <v>98.013542187499993</v>
      </c>
      <c r="R2" s="47">
        <v>98.013542187499993</v>
      </c>
      <c r="S2" s="47">
        <v>98.013542187499993</v>
      </c>
      <c r="T2" s="45">
        <v>0</v>
      </c>
      <c r="U2" s="46">
        <v>0</v>
      </c>
      <c r="V2" s="46">
        <v>0</v>
      </c>
      <c r="W2" s="46">
        <v>0</v>
      </c>
      <c r="X2" s="46">
        <v>0</v>
      </c>
      <c r="Y2" s="46">
        <v>0</v>
      </c>
      <c r="Z2" s="46">
        <v>0</v>
      </c>
      <c r="AA2" s="46">
        <v>0</v>
      </c>
      <c r="AB2" s="46">
        <v>0</v>
      </c>
      <c r="AC2" s="45">
        <v>0</v>
      </c>
      <c r="AD2" s="46">
        <v>0</v>
      </c>
      <c r="AE2" s="46">
        <v>0</v>
      </c>
      <c r="AF2" s="46">
        <v>0</v>
      </c>
      <c r="AG2" s="46">
        <v>0</v>
      </c>
      <c r="AH2" s="46">
        <v>0</v>
      </c>
      <c r="AI2" s="46">
        <v>0</v>
      </c>
      <c r="AJ2" s="46">
        <v>0</v>
      </c>
      <c r="AK2" s="46">
        <v>0</v>
      </c>
      <c r="AM2" s="48"/>
      <c r="AN2" s="43">
        <v>2022</v>
      </c>
      <c r="AO2" s="45">
        <v>8.8014189453125002</v>
      </c>
      <c r="AP2" s="46">
        <v>9.9456035156250007</v>
      </c>
      <c r="AQ2" s="46">
        <v>8.8014189453125002</v>
      </c>
      <c r="AR2" s="46">
        <v>8.8014189453125002</v>
      </c>
      <c r="AS2" s="46">
        <v>0</v>
      </c>
      <c r="AT2" s="46">
        <v>0</v>
      </c>
      <c r="AU2" s="46">
        <v>8.8014189453125002</v>
      </c>
      <c r="AV2" s="46">
        <v>8.8014189453125002</v>
      </c>
      <c r="AW2" s="46">
        <v>8.8014189453125002</v>
      </c>
      <c r="AX2" s="45">
        <v>12.3419609375</v>
      </c>
      <c r="AY2" s="49">
        <v>13.94641513671875</v>
      </c>
      <c r="AZ2" s="49">
        <v>12.3419609375</v>
      </c>
      <c r="BA2" s="49">
        <v>12.3419609375</v>
      </c>
      <c r="BB2" s="49">
        <v>0</v>
      </c>
      <c r="BC2" s="49">
        <v>0</v>
      </c>
      <c r="BD2" s="49">
        <v>12.3419609375</v>
      </c>
      <c r="BE2" s="49">
        <v>12.3419609375</v>
      </c>
      <c r="BF2" s="49">
        <v>12.3419609375</v>
      </c>
      <c r="BG2" s="45">
        <v>0</v>
      </c>
      <c r="BH2" s="46">
        <v>0</v>
      </c>
      <c r="BI2" s="46">
        <v>0</v>
      </c>
      <c r="BJ2" s="46">
        <v>0</v>
      </c>
      <c r="BK2" s="46">
        <v>0</v>
      </c>
      <c r="BL2" s="46">
        <v>0</v>
      </c>
      <c r="BM2" s="46">
        <v>0</v>
      </c>
      <c r="BN2" s="46">
        <v>0</v>
      </c>
      <c r="BO2" s="46">
        <v>0</v>
      </c>
      <c r="BP2" s="45">
        <v>0</v>
      </c>
      <c r="BQ2" s="46">
        <v>0</v>
      </c>
      <c r="BR2" s="46">
        <v>0</v>
      </c>
      <c r="BS2" s="46">
        <v>0</v>
      </c>
      <c r="BT2" s="46">
        <v>0</v>
      </c>
      <c r="BU2" s="46">
        <v>0</v>
      </c>
      <c r="BV2" s="46">
        <v>0</v>
      </c>
      <c r="BW2" s="46">
        <v>0</v>
      </c>
      <c r="BX2" s="46">
        <v>0</v>
      </c>
      <c r="BY2" s="46"/>
    </row>
    <row r="3" spans="1:77" x14ac:dyDescent="0.25">
      <c r="A3" s="43">
        <v>2023</v>
      </c>
      <c r="B3" s="45">
        <v>36.249915625</v>
      </c>
      <c r="C3" s="46">
        <v>67.454724999999996</v>
      </c>
      <c r="D3" s="46">
        <v>98.113234375000005</v>
      </c>
      <c r="E3" s="46">
        <v>36.249915625</v>
      </c>
      <c r="F3" s="46">
        <v>-203.78678593750001</v>
      </c>
      <c r="G3" s="46">
        <v>494.31905</v>
      </c>
      <c r="H3" s="46">
        <v>36.249915625</v>
      </c>
      <c r="I3" s="46">
        <v>36.249915625</v>
      </c>
      <c r="J3" s="46">
        <v>36.249915625</v>
      </c>
      <c r="K3" s="45">
        <v>332.21701953125</v>
      </c>
      <c r="L3" s="47">
        <v>375.40515546875002</v>
      </c>
      <c r="M3" s="47">
        <v>359.01444296875002</v>
      </c>
      <c r="N3" s="47">
        <v>332.21701953125</v>
      </c>
      <c r="O3" s="47">
        <v>0</v>
      </c>
      <c r="P3" s="47">
        <v>280.66460546874998</v>
      </c>
      <c r="Q3" s="47">
        <v>332.21701953125</v>
      </c>
      <c r="R3" s="47">
        <v>332.21701953125</v>
      </c>
      <c r="S3" s="47">
        <v>332.21701953125</v>
      </c>
      <c r="T3" s="45">
        <v>0</v>
      </c>
      <c r="U3" s="46">
        <v>322.01076562499998</v>
      </c>
      <c r="V3" s="46">
        <v>0</v>
      </c>
      <c r="W3" s="46">
        <v>0</v>
      </c>
      <c r="X3" s="46">
        <v>343.81080937500002</v>
      </c>
      <c r="Y3" s="46">
        <v>515.71607812499997</v>
      </c>
      <c r="Z3" s="46">
        <v>0</v>
      </c>
      <c r="AA3" s="46">
        <v>0</v>
      </c>
      <c r="AB3" s="46">
        <v>0</v>
      </c>
      <c r="AC3" s="45">
        <v>0</v>
      </c>
      <c r="AD3" s="46">
        <v>0</v>
      </c>
      <c r="AE3" s="46">
        <v>0</v>
      </c>
      <c r="AF3" s="46">
        <v>0</v>
      </c>
      <c r="AG3" s="46">
        <v>772.05213749999996</v>
      </c>
      <c r="AH3" s="46">
        <v>1158.0783125</v>
      </c>
      <c r="AI3" s="46">
        <v>0</v>
      </c>
      <c r="AJ3" s="46">
        <v>0</v>
      </c>
      <c r="AK3" s="46">
        <v>0</v>
      </c>
      <c r="AM3" s="48"/>
      <c r="AN3" s="43">
        <v>2023</v>
      </c>
      <c r="AO3" s="45">
        <v>30.523751367187501</v>
      </c>
      <c r="AP3" s="46">
        <v>34.491863085937503</v>
      </c>
      <c r="AQ3" s="46">
        <v>39.306484570312499</v>
      </c>
      <c r="AR3" s="46">
        <v>30.523751367187501</v>
      </c>
      <c r="AS3" s="46">
        <v>0</v>
      </c>
      <c r="AT3" s="46">
        <v>101.24393320312501</v>
      </c>
      <c r="AU3" s="46">
        <v>30.523751367187501</v>
      </c>
      <c r="AV3" s="46">
        <v>30.523751367187501</v>
      </c>
      <c r="AW3" s="46">
        <v>30.523751367187501</v>
      </c>
      <c r="AX3" s="45">
        <v>42.176585644531251</v>
      </c>
      <c r="AY3" s="49">
        <v>47.659541894531252</v>
      </c>
      <c r="AZ3" s="49">
        <v>44.388230957031247</v>
      </c>
      <c r="BA3" s="49">
        <v>42.176585644531251</v>
      </c>
      <c r="BB3" s="49">
        <v>0</v>
      </c>
      <c r="BC3" s="49">
        <v>35.362702734374999</v>
      </c>
      <c r="BD3" s="49">
        <v>42.176585644531251</v>
      </c>
      <c r="BE3" s="49">
        <v>42.176585644531251</v>
      </c>
      <c r="BF3" s="49">
        <v>42.176585644531251</v>
      </c>
      <c r="BG3" s="45">
        <v>0</v>
      </c>
      <c r="BH3" s="46">
        <v>11.823752246093751</v>
      </c>
      <c r="BI3" s="46">
        <v>0</v>
      </c>
      <c r="BJ3" s="46">
        <v>0</v>
      </c>
      <c r="BK3" s="46">
        <v>20.4033359375</v>
      </c>
      <c r="BL3" s="46">
        <v>30.6049955078125</v>
      </c>
      <c r="BM3" s="46">
        <v>0</v>
      </c>
      <c r="BN3" s="46">
        <v>0</v>
      </c>
      <c r="BO3" s="46">
        <v>0</v>
      </c>
      <c r="BP3" s="45">
        <v>0</v>
      </c>
      <c r="BQ3" s="46">
        <v>0</v>
      </c>
      <c r="BR3" s="46">
        <v>0</v>
      </c>
      <c r="BS3" s="46">
        <v>0</v>
      </c>
      <c r="BT3" s="46">
        <v>37.103385937500001</v>
      </c>
      <c r="BU3" s="46">
        <v>55.655066796874998</v>
      </c>
      <c r="BV3" s="46">
        <v>0</v>
      </c>
      <c r="BW3" s="46">
        <v>0</v>
      </c>
      <c r="BX3" s="46">
        <v>0</v>
      </c>
    </row>
    <row r="4" spans="1:77" x14ac:dyDescent="0.25">
      <c r="A4" s="43">
        <v>2024</v>
      </c>
      <c r="B4" s="45">
        <v>65.965731250000005</v>
      </c>
      <c r="C4" s="46">
        <v>125.5991875</v>
      </c>
      <c r="D4" s="46">
        <v>346.16514062499999</v>
      </c>
      <c r="E4" s="46">
        <v>65.965731250000005</v>
      </c>
      <c r="F4" s="46">
        <v>-392.7537375</v>
      </c>
      <c r="G4" s="46">
        <v>1793.8170375000002</v>
      </c>
      <c r="H4" s="46">
        <v>65.965731250000005</v>
      </c>
      <c r="I4" s="46">
        <v>65.965731250000005</v>
      </c>
      <c r="J4" s="46">
        <v>65.965731250000005</v>
      </c>
      <c r="K4" s="45">
        <v>610.63879999999995</v>
      </c>
      <c r="L4" s="47">
        <v>690.02188124999998</v>
      </c>
      <c r="M4" s="47">
        <v>733.49979843749998</v>
      </c>
      <c r="N4" s="47">
        <v>610.63879999999995</v>
      </c>
      <c r="O4" s="47">
        <v>0</v>
      </c>
      <c r="P4" s="47">
        <v>870.31204921874996</v>
      </c>
      <c r="Q4" s="47">
        <v>610.63879999999995</v>
      </c>
      <c r="R4" s="47">
        <v>610.63879999999995</v>
      </c>
      <c r="S4" s="47">
        <v>610.63879999999995</v>
      </c>
      <c r="T4" s="45">
        <v>0</v>
      </c>
      <c r="U4" s="46">
        <v>660.60493750000001</v>
      </c>
      <c r="V4" s="46">
        <v>0</v>
      </c>
      <c r="W4" s="46">
        <v>0</v>
      </c>
      <c r="X4" s="46">
        <v>687.12979843749997</v>
      </c>
      <c r="Y4" s="46">
        <v>1030.6948140625</v>
      </c>
      <c r="Z4" s="46">
        <v>0</v>
      </c>
      <c r="AA4" s="46">
        <v>0</v>
      </c>
      <c r="AB4" s="46">
        <v>0</v>
      </c>
      <c r="AC4" s="45">
        <v>0</v>
      </c>
      <c r="AD4" s="46">
        <v>0</v>
      </c>
      <c r="AE4" s="46">
        <v>0</v>
      </c>
      <c r="AF4" s="46">
        <v>0</v>
      </c>
      <c r="AG4" s="46">
        <v>1542.00335625</v>
      </c>
      <c r="AH4" s="46">
        <v>2313.0044562500002</v>
      </c>
      <c r="AI4" s="46">
        <v>0</v>
      </c>
      <c r="AJ4" s="46">
        <v>0</v>
      </c>
      <c r="AK4" s="46">
        <v>0</v>
      </c>
      <c r="AM4" s="48"/>
      <c r="AN4" s="43">
        <v>2024</v>
      </c>
      <c r="AO4" s="45">
        <v>57.6332298828125</v>
      </c>
      <c r="AP4" s="46">
        <v>65.125529492187496</v>
      </c>
      <c r="AQ4" s="46">
        <v>97.93959785156251</v>
      </c>
      <c r="AR4" s="46">
        <v>57.6332298828125</v>
      </c>
      <c r="AS4" s="46">
        <v>0</v>
      </c>
      <c r="AT4" s="46">
        <v>317.22693535156253</v>
      </c>
      <c r="AU4" s="46">
        <v>57.6332298828125</v>
      </c>
      <c r="AV4" s="46">
        <v>57.6332298828125</v>
      </c>
      <c r="AW4" s="46">
        <v>57.817666796875002</v>
      </c>
      <c r="AX4" s="45">
        <v>77.587938378906244</v>
      </c>
      <c r="AY4" s="49">
        <v>87.674367480468746</v>
      </c>
      <c r="AZ4" s="49">
        <v>87.442863574218748</v>
      </c>
      <c r="BA4" s="49">
        <v>77.587938378906244</v>
      </c>
      <c r="BB4" s="49">
        <v>0</v>
      </c>
      <c r="BC4" s="49">
        <v>110.05765263671876</v>
      </c>
      <c r="BD4" s="49">
        <v>77.587938378906244</v>
      </c>
      <c r="BE4" s="49">
        <v>77.587938378906244</v>
      </c>
      <c r="BF4" s="49">
        <v>77.587938378906244</v>
      </c>
      <c r="BG4" s="45">
        <v>0</v>
      </c>
      <c r="BH4" s="46">
        <v>23.610729492187499</v>
      </c>
      <c r="BI4" s="46">
        <v>0</v>
      </c>
      <c r="BJ4" s="46">
        <v>0</v>
      </c>
      <c r="BK4" s="46">
        <v>40.751785839843748</v>
      </c>
      <c r="BL4" s="46">
        <v>61.127665624999999</v>
      </c>
      <c r="BM4" s="46">
        <v>0</v>
      </c>
      <c r="BN4" s="46">
        <v>0</v>
      </c>
      <c r="BO4" s="46">
        <v>0</v>
      </c>
      <c r="BP4" s="45">
        <v>0</v>
      </c>
      <c r="BQ4" s="46">
        <v>0</v>
      </c>
      <c r="BR4" s="46">
        <v>0</v>
      </c>
      <c r="BS4" s="46">
        <v>0</v>
      </c>
      <c r="BT4" s="46">
        <v>74.045815234374999</v>
      </c>
      <c r="BU4" s="46">
        <v>111.068728515625</v>
      </c>
      <c r="BV4" s="46">
        <v>0</v>
      </c>
      <c r="BW4" s="46">
        <v>0</v>
      </c>
      <c r="BX4" s="46">
        <v>0</v>
      </c>
    </row>
    <row r="5" spans="1:77" x14ac:dyDescent="0.25">
      <c r="A5" s="43">
        <v>2025</v>
      </c>
      <c r="B5" s="45">
        <v>239.88059375</v>
      </c>
      <c r="C5" s="46">
        <v>239.2655046875</v>
      </c>
      <c r="D5" s="46">
        <v>771.94648906250006</v>
      </c>
      <c r="E5" s="46">
        <v>424.69287968750001</v>
      </c>
      <c r="F5" s="46">
        <v>-36.218171875000003</v>
      </c>
      <c r="G5" s="46">
        <v>3275.2459093750003</v>
      </c>
      <c r="H5" s="46">
        <v>136.315603125</v>
      </c>
      <c r="I5" s="46">
        <v>136.315603125</v>
      </c>
      <c r="J5" s="46">
        <v>143.18743281250002</v>
      </c>
      <c r="K5" s="45">
        <v>949.82874687499998</v>
      </c>
      <c r="L5" s="47">
        <v>1025.0820249999999</v>
      </c>
      <c r="M5" s="47">
        <v>1187.2750625000001</v>
      </c>
      <c r="N5" s="47">
        <v>1116.622103125</v>
      </c>
      <c r="O5" s="47">
        <v>320.30963437499997</v>
      </c>
      <c r="P5" s="47">
        <v>1643.0590234374999</v>
      </c>
      <c r="Q5" s="47">
        <v>902.42202968749996</v>
      </c>
      <c r="R5" s="47">
        <v>902.42202968749996</v>
      </c>
      <c r="S5" s="47">
        <v>908.05803125</v>
      </c>
      <c r="T5" s="45">
        <v>0</v>
      </c>
      <c r="U5" s="46">
        <v>992.21657812499996</v>
      </c>
      <c r="V5" s="46">
        <v>0</v>
      </c>
      <c r="W5" s="46">
        <v>0</v>
      </c>
      <c r="X5" s="46">
        <v>1014.8105828125</v>
      </c>
      <c r="Y5" s="46">
        <v>1522.2157796874999</v>
      </c>
      <c r="Z5" s="46">
        <v>0</v>
      </c>
      <c r="AA5" s="46">
        <v>0</v>
      </c>
      <c r="AB5" s="46">
        <v>0</v>
      </c>
      <c r="AC5" s="45">
        <v>153.09581249999999</v>
      </c>
      <c r="AD5" s="46">
        <v>306.19196875</v>
      </c>
      <c r="AE5" s="46">
        <v>153.09581249999999</v>
      </c>
      <c r="AF5" s="46">
        <v>153.09581249999999</v>
      </c>
      <c r="AG5" s="46">
        <v>2427.5038875</v>
      </c>
      <c r="AH5" s="46">
        <v>3564.7073812499998</v>
      </c>
      <c r="AI5" s="46">
        <v>153.09581249999999</v>
      </c>
      <c r="AJ5" s="46">
        <v>153.09581249999999</v>
      </c>
      <c r="AK5" s="46">
        <v>76.547737499999997</v>
      </c>
      <c r="AM5" s="48"/>
      <c r="AN5" s="43">
        <v>2025</v>
      </c>
      <c r="AO5" s="45">
        <v>107.57666093750001</v>
      </c>
      <c r="AP5" s="46">
        <v>105.35147617187501</v>
      </c>
      <c r="AQ5" s="46">
        <v>185.33273203125</v>
      </c>
      <c r="AR5" s="46">
        <v>138.49619042968752</v>
      </c>
      <c r="AS5" s="46">
        <v>87.6319810546875</v>
      </c>
      <c r="AT5" s="46">
        <v>566.59824179687507</v>
      </c>
      <c r="AU5" s="46">
        <v>92.190473828125008</v>
      </c>
      <c r="AV5" s="46">
        <v>92.190473828125008</v>
      </c>
      <c r="AW5" s="46">
        <v>93.887003515625011</v>
      </c>
      <c r="AX5" s="45">
        <v>117.686552734375</v>
      </c>
      <c r="AY5" s="49">
        <v>129.35900322265624</v>
      </c>
      <c r="AZ5" s="49">
        <v>136.3049669921875</v>
      </c>
      <c r="BA5" s="49">
        <v>135.312201953125</v>
      </c>
      <c r="BB5" s="49">
        <v>35.014479882812502</v>
      </c>
      <c r="BC5" s="49">
        <v>201.95835156250001</v>
      </c>
      <c r="BD5" s="49">
        <v>114.1404849609375</v>
      </c>
      <c r="BE5" s="49">
        <v>114.1404849609375</v>
      </c>
      <c r="BF5" s="49">
        <v>114.540153125</v>
      </c>
      <c r="BG5" s="45">
        <v>0</v>
      </c>
      <c r="BH5" s="46">
        <v>34.82070009765625</v>
      </c>
      <c r="BI5" s="46">
        <v>0</v>
      </c>
      <c r="BJ5" s="46">
        <v>0</v>
      </c>
      <c r="BK5" s="46">
        <v>60.153190429687498</v>
      </c>
      <c r="BL5" s="46">
        <v>90.229805468750001</v>
      </c>
      <c r="BM5" s="46">
        <v>0</v>
      </c>
      <c r="BN5" s="46">
        <v>0</v>
      </c>
      <c r="BO5" s="46">
        <v>0</v>
      </c>
      <c r="BP5" s="45">
        <v>7.7701226562499999</v>
      </c>
      <c r="BQ5" s="46">
        <v>15.540232421875</v>
      </c>
      <c r="BR5" s="46">
        <v>7.7701226562499999</v>
      </c>
      <c r="BS5" s="46">
        <v>7.7701226562499999</v>
      </c>
      <c r="BT5" s="46">
        <v>116.923134375</v>
      </c>
      <c r="BU5" s="46">
        <v>171.499676953125</v>
      </c>
      <c r="BV5" s="46">
        <v>7.7701226562499999</v>
      </c>
      <c r="BW5" s="46">
        <v>7.7701226562499999</v>
      </c>
      <c r="BX5" s="46">
        <v>3.8850261718749999</v>
      </c>
    </row>
    <row r="6" spans="1:77" x14ac:dyDescent="0.25">
      <c r="A6" s="43">
        <v>2026</v>
      </c>
      <c r="B6" s="45">
        <v>629.43243749999999</v>
      </c>
      <c r="C6" s="46">
        <v>432.34404218750001</v>
      </c>
      <c r="D6" s="46">
        <v>1420.2117828125001</v>
      </c>
      <c r="E6" s="46">
        <v>1193.3595625</v>
      </c>
      <c r="F6" s="46">
        <v>950.05655312500005</v>
      </c>
      <c r="G6" s="46">
        <v>5021.8607937500001</v>
      </c>
      <c r="H6" s="46">
        <v>293.30120937500004</v>
      </c>
      <c r="I6" s="46">
        <v>293.30120937500004</v>
      </c>
      <c r="J6" s="46">
        <v>307.58988593750001</v>
      </c>
      <c r="K6" s="45">
        <v>1383.0683820312499</v>
      </c>
      <c r="L6" s="47">
        <v>1391.8133421875</v>
      </c>
      <c r="M6" s="47">
        <v>1749.1943132812501</v>
      </c>
      <c r="N6" s="47">
        <v>1899.1182148437499</v>
      </c>
      <c r="O6" s="47">
        <v>1007.997828125</v>
      </c>
      <c r="P6" s="47">
        <v>2651.3010031250001</v>
      </c>
      <c r="Q6" s="47">
        <v>1226.84722109375</v>
      </c>
      <c r="R6" s="47">
        <v>1226.84722109375</v>
      </c>
      <c r="S6" s="47">
        <v>1243.63896328125</v>
      </c>
      <c r="T6" s="45">
        <v>0</v>
      </c>
      <c r="U6" s="46">
        <v>1329.6662984375</v>
      </c>
      <c r="V6" s="46">
        <v>0</v>
      </c>
      <c r="W6" s="46">
        <v>0</v>
      </c>
      <c r="X6" s="46">
        <v>1343.1092828124999</v>
      </c>
      <c r="Y6" s="46">
        <v>2014.6635984375</v>
      </c>
      <c r="Z6" s="46">
        <v>0</v>
      </c>
      <c r="AA6" s="46">
        <v>0</v>
      </c>
      <c r="AB6" s="46">
        <v>0</v>
      </c>
      <c r="AC6" s="45">
        <v>288.26990000000001</v>
      </c>
      <c r="AD6" s="46">
        <v>576.53963750000003</v>
      </c>
      <c r="AE6" s="46">
        <v>288.26990000000001</v>
      </c>
      <c r="AF6" s="46">
        <v>288.26990000000001</v>
      </c>
      <c r="AG6" s="46">
        <v>3293.0011562499999</v>
      </c>
      <c r="AH6" s="46">
        <v>4795.3667750000004</v>
      </c>
      <c r="AI6" s="46">
        <v>288.26990000000001</v>
      </c>
      <c r="AJ6" s="46">
        <v>288.26990000000001</v>
      </c>
      <c r="AK6" s="46">
        <v>144.13485625000001</v>
      </c>
      <c r="AM6" s="48"/>
      <c r="AN6" s="43">
        <v>2026</v>
      </c>
      <c r="AO6" s="45">
        <v>189.86787011718752</v>
      </c>
      <c r="AP6" s="46">
        <v>157.5014822265625</v>
      </c>
      <c r="AQ6" s="46">
        <v>306.30027480468749</v>
      </c>
      <c r="AR6" s="46">
        <v>283.76255917968751</v>
      </c>
      <c r="AS6" s="46">
        <v>274.05262812500001</v>
      </c>
      <c r="AT6" s="46">
        <v>859.79776992187499</v>
      </c>
      <c r="AU6" s="46">
        <v>139.72099082031249</v>
      </c>
      <c r="AV6" s="46">
        <v>139.72099082031249</v>
      </c>
      <c r="AW6" s="46">
        <v>143.17823593750001</v>
      </c>
      <c r="AX6" s="45">
        <v>164.6072501953125</v>
      </c>
      <c r="AY6" s="49">
        <v>173.39168730468751</v>
      </c>
      <c r="AZ6" s="49">
        <v>192.16087714843749</v>
      </c>
      <c r="BA6" s="49">
        <v>216.64470312500001</v>
      </c>
      <c r="BB6" s="49">
        <v>106.53343388671875</v>
      </c>
      <c r="BC6" s="49">
        <v>312.72588154296875</v>
      </c>
      <c r="BD6" s="49">
        <v>153.12229511718749</v>
      </c>
      <c r="BE6" s="49">
        <v>153.12229511718749</v>
      </c>
      <c r="BF6" s="49">
        <v>154.27350605468749</v>
      </c>
      <c r="BG6" s="45">
        <v>0</v>
      </c>
      <c r="BH6" s="46">
        <v>46.089799121093748</v>
      </c>
      <c r="BI6" s="46">
        <v>0</v>
      </c>
      <c r="BJ6" s="46">
        <v>0</v>
      </c>
      <c r="BK6" s="46">
        <v>79.624930371093754</v>
      </c>
      <c r="BL6" s="46">
        <v>119.43741035156251</v>
      </c>
      <c r="BM6" s="46">
        <v>0</v>
      </c>
      <c r="BN6" s="46">
        <v>0</v>
      </c>
      <c r="BO6" s="46">
        <v>0</v>
      </c>
      <c r="BP6" s="45">
        <v>15.590682031249999</v>
      </c>
      <c r="BQ6" s="46">
        <v>31.181328125</v>
      </c>
      <c r="BR6" s="46">
        <v>15.590682031249999</v>
      </c>
      <c r="BS6" s="46">
        <v>15.590682031249999</v>
      </c>
      <c r="BT6" s="46">
        <v>159.64141171874999</v>
      </c>
      <c r="BU6" s="46">
        <v>231.66679921874999</v>
      </c>
      <c r="BV6" s="46">
        <v>15.590682031249999</v>
      </c>
      <c r="BW6" s="46">
        <v>15.590682031249999</v>
      </c>
      <c r="BX6" s="46">
        <v>7.7953703125000002</v>
      </c>
    </row>
    <row r="7" spans="1:77" x14ac:dyDescent="0.25">
      <c r="A7" s="43">
        <v>2027</v>
      </c>
      <c r="B7" s="45">
        <v>1053.81415625</v>
      </c>
      <c r="C7" s="46">
        <v>648.64531093750008</v>
      </c>
      <c r="D7" s="46">
        <v>2292.1183625000003</v>
      </c>
      <c r="E7" s="46">
        <v>1987.0579703125002</v>
      </c>
      <c r="F7" s="46">
        <v>1928.8071078125001</v>
      </c>
      <c r="G7" s="46">
        <v>6755.9994375000006</v>
      </c>
      <c r="H7" s="46">
        <v>536.93129687500004</v>
      </c>
      <c r="I7" s="46">
        <v>536.93129687500004</v>
      </c>
      <c r="J7" s="46">
        <v>530.18452187499997</v>
      </c>
      <c r="K7" s="45">
        <v>1814.07903984375</v>
      </c>
      <c r="L7" s="47">
        <v>1751.75531875</v>
      </c>
      <c r="M7" s="47">
        <v>2401.9269320312501</v>
      </c>
      <c r="N7" s="47">
        <v>2676.9117414062498</v>
      </c>
      <c r="O7" s="47">
        <v>1698.7415859375001</v>
      </c>
      <c r="P7" s="47">
        <v>3660.6651375000001</v>
      </c>
      <c r="Q7" s="47">
        <v>1573.5830242187501</v>
      </c>
      <c r="R7" s="47">
        <v>1573.5830242187501</v>
      </c>
      <c r="S7" s="47">
        <v>1593.2920960937499</v>
      </c>
      <c r="T7" s="45">
        <v>0</v>
      </c>
      <c r="U7" s="46">
        <v>1642.951875</v>
      </c>
      <c r="V7" s="46">
        <v>0</v>
      </c>
      <c r="W7" s="46">
        <v>0</v>
      </c>
      <c r="X7" s="46">
        <v>1668.00635625</v>
      </c>
      <c r="Y7" s="46">
        <v>2502.009478125</v>
      </c>
      <c r="Z7" s="46">
        <v>0</v>
      </c>
      <c r="AA7" s="46">
        <v>0</v>
      </c>
      <c r="AB7" s="46">
        <v>0</v>
      </c>
      <c r="AC7" s="45">
        <v>415.48173125</v>
      </c>
      <c r="AD7" s="46">
        <v>830.96195</v>
      </c>
      <c r="AE7" s="46">
        <v>415.48173125</v>
      </c>
      <c r="AF7" s="46">
        <v>415.48173125</v>
      </c>
      <c r="AG7" s="46">
        <v>4135.591375</v>
      </c>
      <c r="AH7" s="46">
        <v>5995.6462812500004</v>
      </c>
      <c r="AI7" s="46">
        <v>415.48173125</v>
      </c>
      <c r="AJ7" s="46">
        <v>415.48173125</v>
      </c>
      <c r="AK7" s="46">
        <v>207.74039375000001</v>
      </c>
      <c r="AM7" s="48"/>
      <c r="AN7" s="43">
        <v>2027</v>
      </c>
      <c r="AO7" s="45">
        <v>277.32722324218753</v>
      </c>
      <c r="AP7" s="46">
        <v>213.0643537109375</v>
      </c>
      <c r="AQ7" s="46">
        <v>460.6659724609375</v>
      </c>
      <c r="AR7" s="46">
        <v>432.16670195312503</v>
      </c>
      <c r="AS7" s="46">
        <v>459.1754533203125</v>
      </c>
      <c r="AT7" s="46">
        <v>1151.0061185546876</v>
      </c>
      <c r="AU7" s="46">
        <v>200.19844589843751</v>
      </c>
      <c r="AV7" s="46">
        <v>200.19844589843751</v>
      </c>
      <c r="AW7" s="46">
        <v>201.20070429687502</v>
      </c>
      <c r="AX7" s="45">
        <v>210.59503359375</v>
      </c>
      <c r="AY7" s="49">
        <v>216.33867587890626</v>
      </c>
      <c r="AZ7" s="49">
        <v>253.42361191406249</v>
      </c>
      <c r="BA7" s="49">
        <v>295.47619951171873</v>
      </c>
      <c r="BB7" s="49">
        <v>176.50750927734376</v>
      </c>
      <c r="BC7" s="49">
        <v>421.70996201171874</v>
      </c>
      <c r="BD7" s="49">
        <v>193.22096601562501</v>
      </c>
      <c r="BE7" s="49">
        <v>193.22096601562501</v>
      </c>
      <c r="BF7" s="49">
        <v>194.4378697265625</v>
      </c>
      <c r="BG7" s="45">
        <v>0</v>
      </c>
      <c r="BH7" s="46">
        <v>57.180496484374999</v>
      </c>
      <c r="BI7" s="46">
        <v>0</v>
      </c>
      <c r="BJ7" s="46">
        <v>0</v>
      </c>
      <c r="BK7" s="46">
        <v>98.775823730468744</v>
      </c>
      <c r="BL7" s="46">
        <v>148.16372646484376</v>
      </c>
      <c r="BM7" s="46">
        <v>0</v>
      </c>
      <c r="BN7" s="46">
        <v>0</v>
      </c>
      <c r="BO7" s="46">
        <v>0</v>
      </c>
      <c r="BP7" s="45">
        <v>23.511998828125002</v>
      </c>
      <c r="BQ7" s="46">
        <v>47.024009374999999</v>
      </c>
      <c r="BR7" s="46">
        <v>23.511998828125002</v>
      </c>
      <c r="BS7" s="46">
        <v>23.511998828125002</v>
      </c>
      <c r="BT7" s="46">
        <v>201.56234531250001</v>
      </c>
      <c r="BU7" s="46">
        <v>290.58751796874998</v>
      </c>
      <c r="BV7" s="46">
        <v>23.511998828125002</v>
      </c>
      <c r="BW7" s="46">
        <v>23.511998828125002</v>
      </c>
      <c r="BX7" s="46">
        <v>11.755999609374999</v>
      </c>
    </row>
    <row r="8" spans="1:77" x14ac:dyDescent="0.25">
      <c r="A8" s="43">
        <v>2028</v>
      </c>
      <c r="B8" s="45">
        <v>1512.5990046875002</v>
      </c>
      <c r="C8" s="46">
        <v>894.80011093749999</v>
      </c>
      <c r="D8" s="46">
        <v>3296.3086281250003</v>
      </c>
      <c r="E8" s="46">
        <v>2803.9584593750001</v>
      </c>
      <c r="F8" s="46">
        <v>2902.3763640625002</v>
      </c>
      <c r="G8" s="46">
        <v>8512.5699226562501</v>
      </c>
      <c r="H8" s="46">
        <v>868.41562656250005</v>
      </c>
      <c r="I8" s="46">
        <v>868.41562656250005</v>
      </c>
      <c r="J8" s="46">
        <v>812.08608437500004</v>
      </c>
      <c r="K8" s="45">
        <v>2244.0273695312499</v>
      </c>
      <c r="L8" s="47">
        <v>2112.6329976562502</v>
      </c>
      <c r="M8" s="47">
        <v>3095.6724835937498</v>
      </c>
      <c r="N8" s="47">
        <v>3433.96363828125</v>
      </c>
      <c r="O8" s="47">
        <v>2374.8472671875002</v>
      </c>
      <c r="P8" s="47">
        <v>4665.9867914062497</v>
      </c>
      <c r="Q8" s="47">
        <v>1946.65963984375</v>
      </c>
      <c r="R8" s="47">
        <v>1946.65963984375</v>
      </c>
      <c r="S8" s="47">
        <v>1960.9834429687501</v>
      </c>
      <c r="T8" s="45">
        <v>0</v>
      </c>
      <c r="U8" s="46">
        <v>1959.3967625</v>
      </c>
      <c r="V8" s="46">
        <v>0</v>
      </c>
      <c r="W8" s="46">
        <v>0</v>
      </c>
      <c r="X8" s="46">
        <v>2005.8102093750001</v>
      </c>
      <c r="Y8" s="46">
        <v>3008.7152187500001</v>
      </c>
      <c r="Z8" s="46">
        <v>0</v>
      </c>
      <c r="AA8" s="46">
        <v>0</v>
      </c>
      <c r="AB8" s="46">
        <v>0</v>
      </c>
      <c r="AC8" s="45">
        <v>543.96275000000003</v>
      </c>
      <c r="AD8" s="46">
        <v>1087.92604375</v>
      </c>
      <c r="AE8" s="46">
        <v>543.96275000000003</v>
      </c>
      <c r="AF8" s="46">
        <v>543.96275000000003</v>
      </c>
      <c r="AG8" s="46">
        <v>4993.6419562499996</v>
      </c>
      <c r="AH8" s="46">
        <v>7218.4817562500002</v>
      </c>
      <c r="AI8" s="46">
        <v>543.96275000000003</v>
      </c>
      <c r="AJ8" s="46">
        <v>543.96275000000003</v>
      </c>
      <c r="AK8" s="46">
        <v>271.9817625</v>
      </c>
      <c r="AM8" s="48"/>
      <c r="AN8" s="43">
        <v>2028</v>
      </c>
      <c r="AO8" s="45">
        <v>370.12840078125004</v>
      </c>
      <c r="AP8" s="46">
        <v>273.74332460937501</v>
      </c>
      <c r="AQ8" s="46">
        <v>633.31502128906254</v>
      </c>
      <c r="AR8" s="46">
        <v>585.91992871093748</v>
      </c>
      <c r="AS8" s="46">
        <v>646.84530449218755</v>
      </c>
      <c r="AT8" s="46">
        <v>1448.79531875</v>
      </c>
      <c r="AU8" s="46">
        <v>274.63482812500001</v>
      </c>
      <c r="AV8" s="46">
        <v>274.63482812500001</v>
      </c>
      <c r="AW8" s="46">
        <v>268.75726796875</v>
      </c>
      <c r="AX8" s="45">
        <v>256.45459443359374</v>
      </c>
      <c r="AY8" s="49">
        <v>259.35199521484373</v>
      </c>
      <c r="AZ8" s="49">
        <v>317.18132822265625</v>
      </c>
      <c r="BA8" s="49">
        <v>373.88788164062498</v>
      </c>
      <c r="BB8" s="49">
        <v>246.68981894531251</v>
      </c>
      <c r="BC8" s="49">
        <v>532.26726992187503</v>
      </c>
      <c r="BD8" s="49">
        <v>235.27303642578124</v>
      </c>
      <c r="BE8" s="49">
        <v>235.27303642578124</v>
      </c>
      <c r="BF8" s="49">
        <v>235.84346123046876</v>
      </c>
      <c r="BG8" s="45">
        <v>0</v>
      </c>
      <c r="BH8" s="46">
        <v>68.618687207031243</v>
      </c>
      <c r="BI8" s="46">
        <v>0</v>
      </c>
      <c r="BJ8" s="46">
        <v>0</v>
      </c>
      <c r="BK8" s="46">
        <v>118.6183169921875</v>
      </c>
      <c r="BL8" s="46">
        <v>177.92745898437499</v>
      </c>
      <c r="BM8" s="46">
        <v>0</v>
      </c>
      <c r="BN8" s="46">
        <v>0</v>
      </c>
      <c r="BO8" s="46">
        <v>0</v>
      </c>
      <c r="BP8" s="45">
        <v>31.705036328125001</v>
      </c>
      <c r="BQ8" s="46">
        <v>63.410084374999997</v>
      </c>
      <c r="BR8" s="46">
        <v>31.705036328125001</v>
      </c>
      <c r="BS8" s="46">
        <v>31.705036328125001</v>
      </c>
      <c r="BT8" s="46">
        <v>244.1860125</v>
      </c>
      <c r="BU8" s="46">
        <v>350.42648945312499</v>
      </c>
      <c r="BV8" s="46">
        <v>31.705036328125001</v>
      </c>
      <c r="BW8" s="46">
        <v>31.705036328125001</v>
      </c>
      <c r="BX8" s="46">
        <v>15.852512109375001</v>
      </c>
    </row>
    <row r="9" spans="1:77" x14ac:dyDescent="0.25">
      <c r="A9" s="43">
        <v>2029</v>
      </c>
      <c r="B9" s="45">
        <v>1989.0468515625</v>
      </c>
      <c r="C9" s="46">
        <v>1163.7297046875001</v>
      </c>
      <c r="D9" s="46">
        <v>4325.1211484374999</v>
      </c>
      <c r="E9" s="46">
        <v>3603.2645390625003</v>
      </c>
      <c r="F9" s="46">
        <v>3826.3998500000002</v>
      </c>
      <c r="G9" s="46">
        <v>10148.35799375</v>
      </c>
      <c r="H9" s="46">
        <v>1276.3102796875</v>
      </c>
      <c r="I9" s="46">
        <v>1276.3102796875</v>
      </c>
      <c r="J9" s="46">
        <v>1145.0079671875001</v>
      </c>
      <c r="K9" s="45">
        <v>2639.6174226562498</v>
      </c>
      <c r="L9" s="47">
        <v>2442.25541875</v>
      </c>
      <c r="M9" s="47">
        <v>3754.2329023437501</v>
      </c>
      <c r="N9" s="47">
        <v>4120.3067789062497</v>
      </c>
      <c r="O9" s="47">
        <v>3001.9030195312498</v>
      </c>
      <c r="P9" s="47">
        <v>5594.6990953124996</v>
      </c>
      <c r="Q9" s="47">
        <v>2313.0797445312501</v>
      </c>
      <c r="R9" s="47">
        <v>2313.0797445312501</v>
      </c>
      <c r="S9" s="47">
        <v>2315.1689007812502</v>
      </c>
      <c r="T9" s="45">
        <v>0</v>
      </c>
      <c r="U9" s="46">
        <v>2208.3143578125</v>
      </c>
      <c r="V9" s="46">
        <v>0</v>
      </c>
      <c r="W9" s="46">
        <v>0</v>
      </c>
      <c r="X9" s="46">
        <v>2313.4986656249998</v>
      </c>
      <c r="Y9" s="46">
        <v>3470.2479093749998</v>
      </c>
      <c r="Z9" s="46">
        <v>0</v>
      </c>
      <c r="AA9" s="46">
        <v>0</v>
      </c>
      <c r="AB9" s="46">
        <v>0</v>
      </c>
      <c r="AC9" s="45">
        <v>672.08892500000002</v>
      </c>
      <c r="AD9" s="46">
        <v>1344.17845625</v>
      </c>
      <c r="AE9" s="46">
        <v>672.08892500000002</v>
      </c>
      <c r="AF9" s="46">
        <v>672.08892500000002</v>
      </c>
      <c r="AG9" s="46">
        <v>5780.2292187499997</v>
      </c>
      <c r="AH9" s="46">
        <v>8334.2987937500002</v>
      </c>
      <c r="AI9" s="46">
        <v>672.08892500000002</v>
      </c>
      <c r="AJ9" s="46">
        <v>672.08892500000002</v>
      </c>
      <c r="AK9" s="46">
        <v>336.04409375</v>
      </c>
      <c r="AM9" s="48"/>
      <c r="AN9" s="43">
        <v>2029</v>
      </c>
      <c r="AO9" s="45">
        <v>466.47543671875002</v>
      </c>
      <c r="AP9" s="46">
        <v>336.46314296874999</v>
      </c>
      <c r="AQ9" s="46">
        <v>817.1166177734375</v>
      </c>
      <c r="AR9" s="46">
        <v>737.38064140624999</v>
      </c>
      <c r="AS9" s="46">
        <v>825.53023769531251</v>
      </c>
      <c r="AT9" s="46">
        <v>1727.4297044921875</v>
      </c>
      <c r="AU9" s="46">
        <v>359.56903359375002</v>
      </c>
      <c r="AV9" s="46">
        <v>359.56903359375002</v>
      </c>
      <c r="AW9" s="46">
        <v>343.50550781250001</v>
      </c>
      <c r="AX9" s="45">
        <v>299.25777792968751</v>
      </c>
      <c r="AY9" s="49">
        <v>298.74659287109375</v>
      </c>
      <c r="AZ9" s="49">
        <v>379.41172675781252</v>
      </c>
      <c r="BA9" s="49">
        <v>448.13784638671876</v>
      </c>
      <c r="BB9" s="49">
        <v>314.33415751953123</v>
      </c>
      <c r="BC9" s="49">
        <v>636.8348100585938</v>
      </c>
      <c r="BD9" s="49">
        <v>275.84333671874998</v>
      </c>
      <c r="BE9" s="49">
        <v>275.84333671874998</v>
      </c>
      <c r="BF9" s="49">
        <v>275.30883964843753</v>
      </c>
      <c r="BG9" s="45">
        <v>0</v>
      </c>
      <c r="BH9" s="46">
        <v>78.720726074218746</v>
      </c>
      <c r="BI9" s="46">
        <v>0</v>
      </c>
      <c r="BJ9" s="46">
        <v>0</v>
      </c>
      <c r="BK9" s="46">
        <v>136.23498085937501</v>
      </c>
      <c r="BL9" s="46">
        <v>204.35248212890625</v>
      </c>
      <c r="BM9" s="46">
        <v>0</v>
      </c>
      <c r="BN9" s="46">
        <v>0</v>
      </c>
      <c r="BO9" s="46">
        <v>0</v>
      </c>
      <c r="BP9" s="45">
        <v>39.718591015625002</v>
      </c>
      <c r="BQ9" s="46">
        <v>79.437195312499995</v>
      </c>
      <c r="BR9" s="46">
        <v>39.718591015625002</v>
      </c>
      <c r="BS9" s="46">
        <v>39.718591015625002</v>
      </c>
      <c r="BT9" s="46">
        <v>283.22200195312502</v>
      </c>
      <c r="BU9" s="46">
        <v>404.97371132812498</v>
      </c>
      <c r="BV9" s="46">
        <v>39.718591015625002</v>
      </c>
      <c r="BW9" s="46">
        <v>39.718591015625002</v>
      </c>
      <c r="BX9" s="46">
        <v>19.85929609375</v>
      </c>
    </row>
    <row r="10" spans="1:77" x14ac:dyDescent="0.25">
      <c r="A10" s="43">
        <v>2030</v>
      </c>
      <c r="B10" s="45">
        <v>2502.9859781250002</v>
      </c>
      <c r="C10" s="46">
        <v>1476.9439843750001</v>
      </c>
      <c r="D10" s="46">
        <v>5344.3960875000002</v>
      </c>
      <c r="E10" s="46">
        <v>4414.0094500000005</v>
      </c>
      <c r="F10" s="46">
        <v>4754.3934109375004</v>
      </c>
      <c r="G10" s="46">
        <v>11816.71599375</v>
      </c>
      <c r="H10" s="46">
        <v>1773.6261562500001</v>
      </c>
      <c r="I10" s="46">
        <v>1773.6261562500001</v>
      </c>
      <c r="J10" s="46">
        <v>1521.4275750000002</v>
      </c>
      <c r="K10" s="45">
        <v>3035.8392374999999</v>
      </c>
      <c r="L10" s="47">
        <v>2776.51268671875</v>
      </c>
      <c r="M10" s="47">
        <v>4392.5981062499995</v>
      </c>
      <c r="N10" s="47">
        <v>4796.8776171874997</v>
      </c>
      <c r="O10" s="47">
        <v>3627.88509140625</v>
      </c>
      <c r="P10" s="47">
        <v>6533.3466515624996</v>
      </c>
      <c r="Q10" s="47">
        <v>2703.1945906249998</v>
      </c>
      <c r="R10" s="47">
        <v>2703.1945906249998</v>
      </c>
      <c r="S10" s="47">
        <v>2677.5846656250001</v>
      </c>
      <c r="T10" s="45">
        <v>0</v>
      </c>
      <c r="U10" s="46">
        <v>2453.2147828124998</v>
      </c>
      <c r="V10" s="46">
        <v>0</v>
      </c>
      <c r="W10" s="46">
        <v>0</v>
      </c>
      <c r="X10" s="46">
        <v>2639.5976703125002</v>
      </c>
      <c r="Y10" s="46">
        <v>3959.3965062500001</v>
      </c>
      <c r="Z10" s="46">
        <v>0</v>
      </c>
      <c r="AA10" s="46">
        <v>0</v>
      </c>
      <c r="AB10" s="46">
        <v>0</v>
      </c>
      <c r="AC10" s="45">
        <v>810.00618125000005</v>
      </c>
      <c r="AD10" s="46">
        <v>1620.0129312500001</v>
      </c>
      <c r="AE10" s="46">
        <v>810.00618125000005</v>
      </c>
      <c r="AF10" s="46">
        <v>810.00618125000005</v>
      </c>
      <c r="AG10" s="46">
        <v>6592.2957312500002</v>
      </c>
      <c r="AH10" s="46">
        <v>9483.4408937499993</v>
      </c>
      <c r="AI10" s="46">
        <v>810.00618125000005</v>
      </c>
      <c r="AJ10" s="46">
        <v>810.00618125000005</v>
      </c>
      <c r="AK10" s="46">
        <v>405.0032875</v>
      </c>
      <c r="AM10" s="48"/>
      <c r="AN10" s="43">
        <v>2030</v>
      </c>
      <c r="AO10" s="45">
        <v>566.14110195312503</v>
      </c>
      <c r="AP10" s="46">
        <v>404.0618751953125</v>
      </c>
      <c r="AQ10" s="46">
        <v>994.71620859375003</v>
      </c>
      <c r="AR10" s="46">
        <v>890.85981484375009</v>
      </c>
      <c r="AS10" s="46">
        <v>1006.699846484375</v>
      </c>
      <c r="AT10" s="46">
        <v>2012.5434943359376</v>
      </c>
      <c r="AU10" s="46">
        <v>456.52443125000002</v>
      </c>
      <c r="AV10" s="46">
        <v>456.52443125000002</v>
      </c>
      <c r="AW10" s="46">
        <v>423.01023632812502</v>
      </c>
      <c r="AX10" s="45">
        <v>341.75440195312501</v>
      </c>
      <c r="AY10" s="49">
        <v>338.31985517578124</v>
      </c>
      <c r="AZ10" s="49">
        <v>439.05293984374998</v>
      </c>
      <c r="BA10" s="49">
        <v>522.02681386718746</v>
      </c>
      <c r="BB10" s="49">
        <v>382.86290439453126</v>
      </c>
      <c r="BC10" s="49">
        <v>743.63666152343751</v>
      </c>
      <c r="BD10" s="49">
        <v>318.02891796875002</v>
      </c>
      <c r="BE10" s="49">
        <v>318.02891796875002</v>
      </c>
      <c r="BF10" s="49">
        <v>315.10657773437498</v>
      </c>
      <c r="BG10" s="45">
        <v>0</v>
      </c>
      <c r="BH10" s="46">
        <v>89.216970703125</v>
      </c>
      <c r="BI10" s="46">
        <v>0</v>
      </c>
      <c r="BJ10" s="46">
        <v>0</v>
      </c>
      <c r="BK10" s="46">
        <v>154.62241552734375</v>
      </c>
      <c r="BL10" s="46">
        <v>231.9336451171875</v>
      </c>
      <c r="BM10" s="46">
        <v>0</v>
      </c>
      <c r="BN10" s="46">
        <v>0</v>
      </c>
      <c r="BO10" s="46">
        <v>0</v>
      </c>
      <c r="BP10" s="45">
        <v>48.012660546874997</v>
      </c>
      <c r="BQ10" s="46">
        <v>96.025332031250002</v>
      </c>
      <c r="BR10" s="46">
        <v>48.012660546874997</v>
      </c>
      <c r="BS10" s="46">
        <v>48.012660546874997</v>
      </c>
      <c r="BT10" s="46">
        <v>323.1495984375</v>
      </c>
      <c r="BU10" s="46">
        <v>460.71807949218748</v>
      </c>
      <c r="BV10" s="46">
        <v>48.012660546874997</v>
      </c>
      <c r="BW10" s="46">
        <v>48.012660546874997</v>
      </c>
      <c r="BX10" s="46">
        <v>24.006323828125002</v>
      </c>
    </row>
    <row r="11" spans="1:77" x14ac:dyDescent="0.25">
      <c r="A11" s="43">
        <v>2031</v>
      </c>
      <c r="B11" s="45">
        <v>3037.6000765625004</v>
      </c>
      <c r="C11" s="46">
        <v>1833.0332125</v>
      </c>
      <c r="D11" s="46">
        <v>6350.410175</v>
      </c>
      <c r="E11" s="46">
        <v>5209.6603421875006</v>
      </c>
      <c r="F11" s="46">
        <v>5670.4052859375006</v>
      </c>
      <c r="G11" s="46">
        <v>13467.379193750001</v>
      </c>
      <c r="H11" s="46">
        <v>2321.6567578125</v>
      </c>
      <c r="I11" s="46">
        <v>2321.6567578125</v>
      </c>
      <c r="J11" s="46">
        <v>1909.4666656250001</v>
      </c>
      <c r="K11" s="45">
        <v>3421.5736484375002</v>
      </c>
      <c r="L11" s="47">
        <v>3106.385790625</v>
      </c>
      <c r="M11" s="47">
        <v>5006.5979828125</v>
      </c>
      <c r="N11" s="47">
        <v>5449.4087953124999</v>
      </c>
      <c r="O11" s="47">
        <v>4249.4198679687497</v>
      </c>
      <c r="P11" s="47">
        <v>7465.2562781249999</v>
      </c>
      <c r="Q11" s="47">
        <v>3095.8775031250002</v>
      </c>
      <c r="R11" s="47">
        <v>3095.8775031250002</v>
      </c>
      <c r="S11" s="47">
        <v>3027.6515140625002</v>
      </c>
      <c r="T11" s="45">
        <v>0</v>
      </c>
      <c r="U11" s="46">
        <v>2674.5695999999998</v>
      </c>
      <c r="V11" s="46">
        <v>0</v>
      </c>
      <c r="W11" s="46">
        <v>0</v>
      </c>
      <c r="X11" s="46">
        <v>2968.38565625</v>
      </c>
      <c r="Y11" s="46">
        <v>4452.5783375000001</v>
      </c>
      <c r="Z11" s="46">
        <v>0</v>
      </c>
      <c r="AA11" s="46">
        <v>0</v>
      </c>
      <c r="AB11" s="46">
        <v>0</v>
      </c>
      <c r="AC11" s="45">
        <v>953.85919375000003</v>
      </c>
      <c r="AD11" s="46">
        <v>1907.7172312499999</v>
      </c>
      <c r="AE11" s="46">
        <v>953.85919375000003</v>
      </c>
      <c r="AF11" s="46">
        <v>953.85919375000003</v>
      </c>
      <c r="AG11" s="46">
        <v>7392.6167875000001</v>
      </c>
      <c r="AH11" s="46">
        <v>10611.99586875</v>
      </c>
      <c r="AI11" s="46">
        <v>953.85919375000003</v>
      </c>
      <c r="AJ11" s="46">
        <v>953.85919375000003</v>
      </c>
      <c r="AK11" s="46">
        <v>476.92970000000003</v>
      </c>
      <c r="AM11" s="48"/>
      <c r="AN11" s="43">
        <v>2031</v>
      </c>
      <c r="AO11" s="45">
        <v>667.11501210937502</v>
      </c>
      <c r="AP11" s="46">
        <v>475.65449746093753</v>
      </c>
      <c r="AQ11" s="46">
        <v>1169.5731490234375</v>
      </c>
      <c r="AR11" s="46">
        <v>1042.5116878906251</v>
      </c>
      <c r="AS11" s="46">
        <v>1186.5339365234377</v>
      </c>
      <c r="AT11" s="46">
        <v>2295.5977216796878</v>
      </c>
      <c r="AU11" s="46">
        <v>559.22207187499998</v>
      </c>
      <c r="AV11" s="46">
        <v>559.22207187499998</v>
      </c>
      <c r="AW11" s="46">
        <v>502.25207460937503</v>
      </c>
      <c r="AX11" s="45">
        <v>382.67378398437501</v>
      </c>
      <c r="AY11" s="49">
        <v>376.7017990234375</v>
      </c>
      <c r="AZ11" s="49">
        <v>495.9866357421875</v>
      </c>
      <c r="BA11" s="49">
        <v>593.00117861328124</v>
      </c>
      <c r="BB11" s="49">
        <v>450.9613408203125</v>
      </c>
      <c r="BC11" s="49">
        <v>849.76846220703123</v>
      </c>
      <c r="BD11" s="49">
        <v>359.58155507812501</v>
      </c>
      <c r="BE11" s="49">
        <v>359.58155507812501</v>
      </c>
      <c r="BF11" s="49">
        <v>353.13858789062499</v>
      </c>
      <c r="BG11" s="45">
        <v>0</v>
      </c>
      <c r="BH11" s="46">
        <v>99.465227050781252</v>
      </c>
      <c r="BI11" s="46">
        <v>0</v>
      </c>
      <c r="BJ11" s="46">
        <v>0</v>
      </c>
      <c r="BK11" s="46">
        <v>172.69160966796875</v>
      </c>
      <c r="BL11" s="46">
        <v>259.03740878906251</v>
      </c>
      <c r="BM11" s="46">
        <v>0</v>
      </c>
      <c r="BN11" s="46">
        <v>0</v>
      </c>
      <c r="BO11" s="46">
        <v>0</v>
      </c>
      <c r="BP11" s="45">
        <v>56.143557812499999</v>
      </c>
      <c r="BQ11" s="46">
        <v>112.28708046875001</v>
      </c>
      <c r="BR11" s="46">
        <v>56.143557812499999</v>
      </c>
      <c r="BS11" s="46">
        <v>56.143557812499999</v>
      </c>
      <c r="BT11" s="46">
        <v>362.00041093750002</v>
      </c>
      <c r="BU11" s="46">
        <v>514.92886132812498</v>
      </c>
      <c r="BV11" s="46">
        <v>56.143557812499999</v>
      </c>
      <c r="BW11" s="46">
        <v>56.143557812499999</v>
      </c>
      <c r="BX11" s="46">
        <v>28.071772656250001</v>
      </c>
    </row>
    <row r="12" spans="1:77" x14ac:dyDescent="0.25">
      <c r="A12" s="43">
        <v>2032</v>
      </c>
      <c r="B12" s="45">
        <v>3606.77260546875</v>
      </c>
      <c r="C12" s="46">
        <v>2266.0794148437503</v>
      </c>
      <c r="D12" s="46">
        <v>7363.6432796875006</v>
      </c>
      <c r="E12" s="46">
        <v>6018.0240882812504</v>
      </c>
      <c r="F12" s="46">
        <v>6614.8157812500003</v>
      </c>
      <c r="G12" s="46">
        <v>15195.177033593751</v>
      </c>
      <c r="H12" s="46">
        <v>2904.5808648437501</v>
      </c>
      <c r="I12" s="46">
        <v>2904.5808648437501</v>
      </c>
      <c r="J12" s="46">
        <v>2333.6848859375</v>
      </c>
      <c r="K12" s="45">
        <v>3805.1948328125</v>
      </c>
      <c r="L12" s="47">
        <v>3445.5297546874999</v>
      </c>
      <c r="M12" s="47">
        <v>5606.5754921874995</v>
      </c>
      <c r="N12" s="47">
        <v>6099.5811539062497</v>
      </c>
      <c r="O12" s="47">
        <v>4887.7591328125</v>
      </c>
      <c r="P12" s="47">
        <v>8433.1003593749992</v>
      </c>
      <c r="Q12" s="47">
        <v>3486.2154578125001</v>
      </c>
      <c r="R12" s="47">
        <v>3486.2154578125001</v>
      </c>
      <c r="S12" s="47">
        <v>3376.0432421874998</v>
      </c>
      <c r="T12" s="45">
        <v>0</v>
      </c>
      <c r="U12" s="46">
        <v>2906.3760734375001</v>
      </c>
      <c r="V12" s="46">
        <v>0</v>
      </c>
      <c r="W12" s="46">
        <v>0</v>
      </c>
      <c r="X12" s="46">
        <v>3326.6507437499999</v>
      </c>
      <c r="Y12" s="46">
        <v>4989.9761562499998</v>
      </c>
      <c r="Z12" s="46">
        <v>0</v>
      </c>
      <c r="AA12" s="46">
        <v>0</v>
      </c>
      <c r="AB12" s="46">
        <v>0</v>
      </c>
      <c r="AC12" s="45">
        <v>1097.13095</v>
      </c>
      <c r="AD12" s="46">
        <v>2194.2621062500002</v>
      </c>
      <c r="AE12" s="46">
        <v>1097.13095</v>
      </c>
      <c r="AF12" s="46">
        <v>1097.13095</v>
      </c>
      <c r="AG12" s="46">
        <v>8225.0278249999992</v>
      </c>
      <c r="AH12" s="46">
        <v>11788.976537500001</v>
      </c>
      <c r="AI12" s="46">
        <v>1097.13095</v>
      </c>
      <c r="AJ12" s="46">
        <v>1097.13095</v>
      </c>
      <c r="AK12" s="46">
        <v>548.56538750000004</v>
      </c>
      <c r="AM12" s="48"/>
      <c r="AN12" s="43">
        <v>2032</v>
      </c>
      <c r="AO12" s="45">
        <v>770.35437597656255</v>
      </c>
      <c r="AP12" s="46">
        <v>554.8616607421875</v>
      </c>
      <c r="AQ12" s="46">
        <v>1343.6982207031251</v>
      </c>
      <c r="AR12" s="46">
        <v>1198.1362423828125</v>
      </c>
      <c r="AS12" s="46">
        <v>1373.2356666015626</v>
      </c>
      <c r="AT12" s="46">
        <v>2591.8885167968751</v>
      </c>
      <c r="AU12" s="46">
        <v>664.21690175781248</v>
      </c>
      <c r="AV12" s="46">
        <v>664.21690175781248</v>
      </c>
      <c r="AW12" s="46">
        <v>583.73648652343752</v>
      </c>
      <c r="AX12" s="45">
        <v>423.10829492187497</v>
      </c>
      <c r="AY12" s="49">
        <v>415.45435664062501</v>
      </c>
      <c r="AZ12" s="49">
        <v>551.54887187500003</v>
      </c>
      <c r="BA12" s="49">
        <v>663.27854179687495</v>
      </c>
      <c r="BB12" s="49">
        <v>520.85684208984378</v>
      </c>
      <c r="BC12" s="49">
        <v>959.88725195312497</v>
      </c>
      <c r="BD12" s="49">
        <v>400.6205443359375</v>
      </c>
      <c r="BE12" s="49">
        <v>400.6205443359375</v>
      </c>
      <c r="BF12" s="49">
        <v>390.69884042968749</v>
      </c>
      <c r="BG12" s="45">
        <v>0</v>
      </c>
      <c r="BH12" s="46">
        <v>110.38365751953125</v>
      </c>
      <c r="BI12" s="46">
        <v>0</v>
      </c>
      <c r="BJ12" s="46">
        <v>0</v>
      </c>
      <c r="BK12" s="46">
        <v>192.09689775390626</v>
      </c>
      <c r="BL12" s="46">
        <v>288.14534970703124</v>
      </c>
      <c r="BM12" s="46">
        <v>0</v>
      </c>
      <c r="BN12" s="46">
        <v>0</v>
      </c>
      <c r="BO12" s="46">
        <v>0</v>
      </c>
      <c r="BP12" s="45">
        <v>64.528597265624995</v>
      </c>
      <c r="BQ12" s="46">
        <v>129.0571234375</v>
      </c>
      <c r="BR12" s="46">
        <v>64.528597265624995</v>
      </c>
      <c r="BS12" s="46">
        <v>64.528597265624995</v>
      </c>
      <c r="BT12" s="46">
        <v>402.40821640625001</v>
      </c>
      <c r="BU12" s="46">
        <v>571.34803124999996</v>
      </c>
      <c r="BV12" s="46">
        <v>64.528597265624995</v>
      </c>
      <c r="BW12" s="46">
        <v>64.528597265624995</v>
      </c>
      <c r="BX12" s="46">
        <v>32.264316015624999</v>
      </c>
    </row>
    <row r="13" spans="1:77" x14ac:dyDescent="0.25">
      <c r="A13" s="43">
        <v>2033</v>
      </c>
      <c r="B13" s="45">
        <v>4192.2437093750004</v>
      </c>
      <c r="C13" s="46">
        <v>2763.7597710937503</v>
      </c>
      <c r="D13" s="46">
        <v>8368.3260453125004</v>
      </c>
      <c r="E13" s="46">
        <v>6745.8740390625007</v>
      </c>
      <c r="F13" s="46">
        <v>7452.2802281250006</v>
      </c>
      <c r="G13" s="46">
        <v>16706.954635937502</v>
      </c>
      <c r="H13" s="46">
        <v>3505.0384437500002</v>
      </c>
      <c r="I13" s="46">
        <v>3505.0384437500002</v>
      </c>
      <c r="J13" s="46">
        <v>2792.1185046875003</v>
      </c>
      <c r="K13" s="45">
        <v>4130.0088773437501</v>
      </c>
      <c r="L13" s="47">
        <v>3733.0072906250002</v>
      </c>
      <c r="M13" s="47">
        <v>6139.42383671875</v>
      </c>
      <c r="N13" s="47">
        <v>6646.5034140625003</v>
      </c>
      <c r="O13" s="47">
        <v>5458.4989390624996</v>
      </c>
      <c r="P13" s="47">
        <v>9290.4794242187509</v>
      </c>
      <c r="Q13" s="47">
        <v>3817.2991757812501</v>
      </c>
      <c r="R13" s="47">
        <v>3817.2991757812501</v>
      </c>
      <c r="S13" s="47">
        <v>3670.82278203125</v>
      </c>
      <c r="T13" s="45">
        <v>0</v>
      </c>
      <c r="U13" s="46">
        <v>3068.6347765625001</v>
      </c>
      <c r="V13" s="46">
        <v>0</v>
      </c>
      <c r="W13" s="46">
        <v>0</v>
      </c>
      <c r="X13" s="46">
        <v>3638.4859765625001</v>
      </c>
      <c r="Y13" s="46">
        <v>5457.7290937500002</v>
      </c>
      <c r="Z13" s="46">
        <v>0</v>
      </c>
      <c r="AA13" s="46">
        <v>0</v>
      </c>
      <c r="AB13" s="46">
        <v>0</v>
      </c>
      <c r="AC13" s="45">
        <v>1222.77196875</v>
      </c>
      <c r="AD13" s="46">
        <v>2445.5439000000001</v>
      </c>
      <c r="AE13" s="46">
        <v>1222.77196875</v>
      </c>
      <c r="AF13" s="46">
        <v>1222.77196875</v>
      </c>
      <c r="AG13" s="46">
        <v>8935.5099375000009</v>
      </c>
      <c r="AH13" s="46">
        <v>12791.879199999999</v>
      </c>
      <c r="AI13" s="46">
        <v>1222.77196875</v>
      </c>
      <c r="AJ13" s="46">
        <v>1222.77196875</v>
      </c>
      <c r="AK13" s="46">
        <v>611.38588749999997</v>
      </c>
      <c r="AM13" s="48"/>
      <c r="AN13" s="43">
        <v>2033</v>
      </c>
      <c r="AO13" s="45">
        <v>872.23219062500004</v>
      </c>
      <c r="AP13" s="46">
        <v>636.35895390625001</v>
      </c>
      <c r="AQ13" s="46">
        <v>1522.9168140625002</v>
      </c>
      <c r="AR13" s="46">
        <v>1342.2669642578126</v>
      </c>
      <c r="AS13" s="46">
        <v>1542.0111197265626</v>
      </c>
      <c r="AT13" s="46">
        <v>2855.2280921875004</v>
      </c>
      <c r="AU13" s="46">
        <v>766.84567226562501</v>
      </c>
      <c r="AV13" s="46">
        <v>766.84567226562501</v>
      </c>
      <c r="AW13" s="46">
        <v>665.26724531249999</v>
      </c>
      <c r="AX13" s="45">
        <v>457.53790195312502</v>
      </c>
      <c r="AY13" s="49">
        <v>447.89049316406249</v>
      </c>
      <c r="AZ13" s="49">
        <v>602.47026718749999</v>
      </c>
      <c r="BA13" s="49">
        <v>724.75107607421876</v>
      </c>
      <c r="BB13" s="49">
        <v>585.436992578125</v>
      </c>
      <c r="BC13" s="49">
        <v>1059.5289934570312</v>
      </c>
      <c r="BD13" s="49">
        <v>435.3726962890625</v>
      </c>
      <c r="BE13" s="49">
        <v>435.3726962890625</v>
      </c>
      <c r="BF13" s="49">
        <v>422.47274550781248</v>
      </c>
      <c r="BG13" s="45">
        <v>0</v>
      </c>
      <c r="BH13" s="46">
        <v>119.21065810546875</v>
      </c>
      <c r="BI13" s="46">
        <v>0</v>
      </c>
      <c r="BJ13" s="46">
        <v>0</v>
      </c>
      <c r="BK13" s="46">
        <v>208.03687373046876</v>
      </c>
      <c r="BL13" s="46">
        <v>312.05531962890626</v>
      </c>
      <c r="BM13" s="46">
        <v>0</v>
      </c>
      <c r="BN13" s="46">
        <v>0</v>
      </c>
      <c r="BO13" s="46">
        <v>0</v>
      </c>
      <c r="BP13" s="45">
        <v>72.030889843750003</v>
      </c>
      <c r="BQ13" s="46">
        <v>144.06173203124999</v>
      </c>
      <c r="BR13" s="46">
        <v>72.030889843750003</v>
      </c>
      <c r="BS13" s="46">
        <v>72.030889843750003</v>
      </c>
      <c r="BT13" s="46">
        <v>437.01275332031253</v>
      </c>
      <c r="BU13" s="46">
        <v>619.50368300781247</v>
      </c>
      <c r="BV13" s="46">
        <v>72.030889843750003</v>
      </c>
      <c r="BW13" s="46">
        <v>72.030889843750003</v>
      </c>
      <c r="BX13" s="46">
        <v>36.015427343749998</v>
      </c>
    </row>
    <row r="14" spans="1:77" x14ac:dyDescent="0.25">
      <c r="A14" s="43">
        <v>2034</v>
      </c>
      <c r="B14" s="45">
        <v>4762.5840156250006</v>
      </c>
      <c r="C14" s="46">
        <v>3285.5982265625003</v>
      </c>
      <c r="D14" s="46">
        <v>9326.5110656249999</v>
      </c>
      <c r="E14" s="46">
        <v>7444.5044742187501</v>
      </c>
      <c r="F14" s="46">
        <v>8290.8851156250003</v>
      </c>
      <c r="G14" s="46">
        <v>18263.930579687501</v>
      </c>
      <c r="H14" s="46">
        <v>4090.0923687500003</v>
      </c>
      <c r="I14" s="46">
        <v>4090.0923687500003</v>
      </c>
      <c r="J14" s="46">
        <v>3237.2729187500004</v>
      </c>
      <c r="K14" s="45">
        <v>4436.0623562500004</v>
      </c>
      <c r="L14" s="47">
        <v>4010.63396171875</v>
      </c>
      <c r="M14" s="47">
        <v>6642.8396124999999</v>
      </c>
      <c r="N14" s="47">
        <v>7179.4809851562504</v>
      </c>
      <c r="O14" s="47">
        <v>6039.7461031250004</v>
      </c>
      <c r="P14" s="47">
        <v>10175.8100734375</v>
      </c>
      <c r="Q14" s="47">
        <v>4129.1123281250002</v>
      </c>
      <c r="R14" s="47">
        <v>4129.1123281250002</v>
      </c>
      <c r="S14" s="47">
        <v>3946.7973750000001</v>
      </c>
      <c r="T14" s="45">
        <v>0</v>
      </c>
      <c r="U14" s="46">
        <v>3251.2304640624998</v>
      </c>
      <c r="V14" s="46">
        <v>0</v>
      </c>
      <c r="W14" s="46">
        <v>0</v>
      </c>
      <c r="X14" s="46">
        <v>3979.610878125</v>
      </c>
      <c r="Y14" s="46">
        <v>5969.4160968750002</v>
      </c>
      <c r="Z14" s="46">
        <v>0</v>
      </c>
      <c r="AA14" s="46">
        <v>0</v>
      </c>
      <c r="AB14" s="46">
        <v>0</v>
      </c>
      <c r="AC14" s="45">
        <v>1342.4184</v>
      </c>
      <c r="AD14" s="46">
        <v>2684.8360499999999</v>
      </c>
      <c r="AE14" s="46">
        <v>1342.4184</v>
      </c>
      <c r="AF14" s="46">
        <v>1342.4184</v>
      </c>
      <c r="AG14" s="46">
        <v>9675.0120437500009</v>
      </c>
      <c r="AH14" s="46">
        <v>13841.308853125</v>
      </c>
      <c r="AI14" s="46">
        <v>1342.4184</v>
      </c>
      <c r="AJ14" s="46">
        <v>1342.4184</v>
      </c>
      <c r="AK14" s="46">
        <v>671.20937500000002</v>
      </c>
      <c r="AM14" s="48"/>
      <c r="AN14" s="43">
        <v>2034</v>
      </c>
      <c r="AO14" s="45">
        <v>972.2026462890625</v>
      </c>
      <c r="AP14" s="46">
        <v>723.30974960937499</v>
      </c>
      <c r="AQ14" s="46">
        <v>1691.3410982421876</v>
      </c>
      <c r="AR14" s="46">
        <v>1488.1531724609376</v>
      </c>
      <c r="AS14" s="46">
        <v>1717.9048300781251</v>
      </c>
      <c r="AT14" s="46">
        <v>3132.2590929687503</v>
      </c>
      <c r="AU14" s="46">
        <v>868.51755996093755</v>
      </c>
      <c r="AV14" s="46">
        <v>868.51755996093755</v>
      </c>
      <c r="AW14" s="46">
        <v>745.28690722656256</v>
      </c>
      <c r="AX14" s="45">
        <v>489.45014433593752</v>
      </c>
      <c r="AY14" s="49">
        <v>478.84120625000003</v>
      </c>
      <c r="AZ14" s="49">
        <v>648.90931054687496</v>
      </c>
      <c r="BA14" s="49">
        <v>784.75120292968745</v>
      </c>
      <c r="BB14" s="49">
        <v>652.03407343749996</v>
      </c>
      <c r="BC14" s="49">
        <v>1163.4427994140624</v>
      </c>
      <c r="BD14" s="49">
        <v>467.78905371093748</v>
      </c>
      <c r="BE14" s="49">
        <v>467.78905371093748</v>
      </c>
      <c r="BF14" s="49">
        <v>451.85134042968753</v>
      </c>
      <c r="BG14" s="45">
        <v>0</v>
      </c>
      <c r="BH14" s="46">
        <v>128.71363955078124</v>
      </c>
      <c r="BI14" s="46">
        <v>0</v>
      </c>
      <c r="BJ14" s="46">
        <v>0</v>
      </c>
      <c r="BK14" s="46">
        <v>225.32048271484376</v>
      </c>
      <c r="BL14" s="46">
        <v>337.98073173828124</v>
      </c>
      <c r="BM14" s="46">
        <v>0</v>
      </c>
      <c r="BN14" s="46">
        <v>0</v>
      </c>
      <c r="BO14" s="46">
        <v>0</v>
      </c>
      <c r="BP14" s="45">
        <v>79.684500781249994</v>
      </c>
      <c r="BQ14" s="46">
        <v>159.36898828125001</v>
      </c>
      <c r="BR14" s="46">
        <v>79.684500781249994</v>
      </c>
      <c r="BS14" s="46">
        <v>79.684500781249994</v>
      </c>
      <c r="BT14" s="46">
        <v>473.12196308593752</v>
      </c>
      <c r="BU14" s="46">
        <v>669.84066777343753</v>
      </c>
      <c r="BV14" s="46">
        <v>79.684500781249994</v>
      </c>
      <c r="BW14" s="46">
        <v>79.684500781249994</v>
      </c>
      <c r="BX14" s="46">
        <v>39.842232031249999</v>
      </c>
    </row>
    <row r="15" spans="1:77" x14ac:dyDescent="0.25">
      <c r="A15" s="43">
        <v>2035</v>
      </c>
      <c r="B15" s="45">
        <v>5306.0603437500004</v>
      </c>
      <c r="C15" s="46">
        <v>3812.9622820312502</v>
      </c>
      <c r="D15" s="46">
        <v>10248.739129687501</v>
      </c>
      <c r="E15" s="46">
        <v>8108.9750843750007</v>
      </c>
      <c r="F15" s="46">
        <v>9111.7673062499998</v>
      </c>
      <c r="G15" s="46">
        <v>19801.443875000001</v>
      </c>
      <c r="H15" s="46">
        <v>4646.4458875</v>
      </c>
      <c r="I15" s="46">
        <v>4646.4458875</v>
      </c>
      <c r="J15" s="46">
        <v>3658.7125265625</v>
      </c>
      <c r="K15" s="45">
        <v>4704.8221125</v>
      </c>
      <c r="L15" s="47">
        <v>4255.4569851562501</v>
      </c>
      <c r="M15" s="47">
        <v>7107.7442906249998</v>
      </c>
      <c r="N15" s="47">
        <v>7675.2179734375004</v>
      </c>
      <c r="O15" s="47">
        <v>6614.4385976562498</v>
      </c>
      <c r="P15" s="47">
        <v>11053.792363281251</v>
      </c>
      <c r="Q15" s="47">
        <v>4402.5540921874999</v>
      </c>
      <c r="R15" s="47">
        <v>4402.5540921874999</v>
      </c>
      <c r="S15" s="47">
        <v>4185.8783624999996</v>
      </c>
      <c r="T15" s="45">
        <v>0</v>
      </c>
      <c r="U15" s="46">
        <v>3429.0781750000001</v>
      </c>
      <c r="V15" s="46">
        <v>0</v>
      </c>
      <c r="W15" s="46">
        <v>0</v>
      </c>
      <c r="X15" s="46">
        <v>4324.5376609374998</v>
      </c>
      <c r="Y15" s="46">
        <v>6486.8065859375001</v>
      </c>
      <c r="Z15" s="46">
        <v>0</v>
      </c>
      <c r="AA15" s="46">
        <v>0</v>
      </c>
      <c r="AB15" s="46">
        <v>0</v>
      </c>
      <c r="AC15" s="45">
        <v>1450.1847687500001</v>
      </c>
      <c r="AD15" s="46">
        <v>2900.36933125</v>
      </c>
      <c r="AE15" s="46">
        <v>1450.1847687500001</v>
      </c>
      <c r="AF15" s="46">
        <v>1450.1847687500001</v>
      </c>
      <c r="AG15" s="46">
        <v>10392.71380625</v>
      </c>
      <c r="AH15" s="46">
        <v>14863.978134375</v>
      </c>
      <c r="AI15" s="46">
        <v>1450.1847687500001</v>
      </c>
      <c r="AJ15" s="46">
        <v>1450.1847687500001</v>
      </c>
      <c r="AK15" s="46">
        <v>725.09274374999995</v>
      </c>
      <c r="AM15" s="48"/>
      <c r="AN15" s="43">
        <v>2035</v>
      </c>
      <c r="AO15" s="45">
        <v>1069.8046412109375</v>
      </c>
      <c r="AP15" s="46">
        <v>813.35707578125005</v>
      </c>
      <c r="AQ15" s="46">
        <v>1855.9905228515627</v>
      </c>
      <c r="AR15" s="46">
        <v>1631.4304529296876</v>
      </c>
      <c r="AS15" s="46">
        <v>1892.45301015625</v>
      </c>
      <c r="AT15" s="46">
        <v>3407.2368861328127</v>
      </c>
      <c r="AU15" s="46">
        <v>967.7181177734376</v>
      </c>
      <c r="AV15" s="46">
        <v>967.7181177734376</v>
      </c>
      <c r="AW15" s="46">
        <v>823.32007851562503</v>
      </c>
      <c r="AX15" s="45">
        <v>516.86334648437503</v>
      </c>
      <c r="AY15" s="49">
        <v>505.5562193359375</v>
      </c>
      <c r="AZ15" s="49">
        <v>690.6484134765625</v>
      </c>
      <c r="BA15" s="49">
        <v>840.62782343749996</v>
      </c>
      <c r="BB15" s="49">
        <v>718.30432480468755</v>
      </c>
      <c r="BC15" s="49">
        <v>1266.7873469726562</v>
      </c>
      <c r="BD15" s="49">
        <v>495.64802246093751</v>
      </c>
      <c r="BE15" s="49">
        <v>495.64802246093751</v>
      </c>
      <c r="BF15" s="49">
        <v>476.80611367187498</v>
      </c>
      <c r="BG15" s="45">
        <v>0</v>
      </c>
      <c r="BH15" s="46">
        <v>137.98893066406251</v>
      </c>
      <c r="BI15" s="46">
        <v>0</v>
      </c>
      <c r="BJ15" s="46">
        <v>0</v>
      </c>
      <c r="BK15" s="46">
        <v>242.36812890625001</v>
      </c>
      <c r="BL15" s="46">
        <v>363.55219174804688</v>
      </c>
      <c r="BM15" s="46">
        <v>0</v>
      </c>
      <c r="BN15" s="46">
        <v>0</v>
      </c>
      <c r="BO15" s="46">
        <v>0</v>
      </c>
      <c r="BP15" s="45">
        <v>86.934632421874994</v>
      </c>
      <c r="BQ15" s="46">
        <v>173.86925234374999</v>
      </c>
      <c r="BR15" s="46">
        <v>86.934632421874994</v>
      </c>
      <c r="BS15" s="46">
        <v>86.934632421874994</v>
      </c>
      <c r="BT15" s="46">
        <v>508.17008378906252</v>
      </c>
      <c r="BU15" s="46">
        <v>718.78782207031247</v>
      </c>
      <c r="BV15" s="46">
        <v>86.934632421874994</v>
      </c>
      <c r="BW15" s="46">
        <v>86.934632421874994</v>
      </c>
      <c r="BX15" s="46">
        <v>43.467321484374999</v>
      </c>
    </row>
    <row r="16" spans="1:77" x14ac:dyDescent="0.25">
      <c r="A16" s="43">
        <v>2036</v>
      </c>
      <c r="B16" s="45">
        <v>5891.9561132812505</v>
      </c>
      <c r="C16" s="46">
        <v>4429.4768664062503</v>
      </c>
      <c r="D16" s="46">
        <v>11181.770471875001</v>
      </c>
      <c r="E16" s="46">
        <v>8799.2910226562508</v>
      </c>
      <c r="F16" s="46">
        <v>9978.9099304687497</v>
      </c>
      <c r="G16" s="46">
        <v>21447.361138281252</v>
      </c>
      <c r="H16" s="46">
        <v>5245.9335507812502</v>
      </c>
      <c r="I16" s="46">
        <v>5245.9335507812502</v>
      </c>
      <c r="J16" s="46">
        <v>4120.658528125</v>
      </c>
      <c r="K16" s="45">
        <v>4982.2130999999999</v>
      </c>
      <c r="L16" s="47">
        <v>4520.8947578124998</v>
      </c>
      <c r="M16" s="47">
        <v>7571.6130437499996</v>
      </c>
      <c r="N16" s="47">
        <v>8184.8284187500003</v>
      </c>
      <c r="O16" s="47">
        <v>7222.5907429687504</v>
      </c>
      <c r="P16" s="47">
        <v>11989.744228906249</v>
      </c>
      <c r="Q16" s="47">
        <v>4684.7274312500003</v>
      </c>
      <c r="R16" s="47">
        <v>4684.7274312500003</v>
      </c>
      <c r="S16" s="47">
        <v>4432.7486875000004</v>
      </c>
      <c r="T16" s="45">
        <v>0</v>
      </c>
      <c r="U16" s="46">
        <v>3634.1643046875001</v>
      </c>
      <c r="V16" s="46">
        <v>0</v>
      </c>
      <c r="W16" s="46">
        <v>0</v>
      </c>
      <c r="X16" s="46">
        <v>4710.3065500000002</v>
      </c>
      <c r="Y16" s="46">
        <v>7065.4598296875001</v>
      </c>
      <c r="Z16" s="46">
        <v>0</v>
      </c>
      <c r="AA16" s="46">
        <v>0</v>
      </c>
      <c r="AB16" s="46">
        <v>0</v>
      </c>
      <c r="AC16" s="45">
        <v>1538.99493125</v>
      </c>
      <c r="AD16" s="46">
        <v>3077.98965</v>
      </c>
      <c r="AE16" s="46">
        <v>1538.99493125</v>
      </c>
      <c r="AF16" s="46">
        <v>1538.99493125</v>
      </c>
      <c r="AG16" s="46">
        <v>11148.822893750001</v>
      </c>
      <c r="AH16" s="46">
        <v>15953.737465624999</v>
      </c>
      <c r="AI16" s="46">
        <v>1538.99493125</v>
      </c>
      <c r="AJ16" s="46">
        <v>1538.99493125</v>
      </c>
      <c r="AK16" s="46">
        <v>769.49735625000005</v>
      </c>
      <c r="AM16" s="48"/>
      <c r="AN16" s="43">
        <v>2036</v>
      </c>
      <c r="AO16" s="45">
        <v>1172.1873292968751</v>
      </c>
      <c r="AP16" s="46">
        <v>914.51523535156252</v>
      </c>
      <c r="AQ16" s="46">
        <v>2021.8928970703125</v>
      </c>
      <c r="AR16" s="46">
        <v>1782.482637890625</v>
      </c>
      <c r="AS16" s="46">
        <v>2078.5447099609378</v>
      </c>
      <c r="AT16" s="46">
        <v>3702.7764031250003</v>
      </c>
      <c r="AU16" s="46">
        <v>1071.716931640625</v>
      </c>
      <c r="AV16" s="46">
        <v>1071.716931640625</v>
      </c>
      <c r="AW16" s="46">
        <v>905.43044121093749</v>
      </c>
      <c r="AX16" s="45">
        <v>545.12158730468752</v>
      </c>
      <c r="AY16" s="49">
        <v>534.04104218750001</v>
      </c>
      <c r="AZ16" s="49">
        <v>732.69563691406245</v>
      </c>
      <c r="BA16" s="49">
        <v>897.14522617187504</v>
      </c>
      <c r="BB16" s="49">
        <v>787.83793017578125</v>
      </c>
      <c r="BC16" s="49">
        <v>1376.5090074218749</v>
      </c>
      <c r="BD16" s="49">
        <v>524.32082382812496</v>
      </c>
      <c r="BE16" s="49">
        <v>524.32082382812496</v>
      </c>
      <c r="BF16" s="49">
        <v>502.48656308593752</v>
      </c>
      <c r="BG16" s="45">
        <v>0</v>
      </c>
      <c r="BH16" s="46">
        <v>148.26687939453126</v>
      </c>
      <c r="BI16" s="46">
        <v>0</v>
      </c>
      <c r="BJ16" s="46">
        <v>0</v>
      </c>
      <c r="BK16" s="46">
        <v>261.34770283203125</v>
      </c>
      <c r="BL16" s="46">
        <v>392.02155444335938</v>
      </c>
      <c r="BM16" s="46">
        <v>0</v>
      </c>
      <c r="BN16" s="46">
        <v>0</v>
      </c>
      <c r="BO16" s="46">
        <v>0</v>
      </c>
      <c r="BP16" s="45">
        <v>94.367054687500001</v>
      </c>
      <c r="BQ16" s="46">
        <v>188.734108203125</v>
      </c>
      <c r="BR16" s="46">
        <v>94.367054687500001</v>
      </c>
      <c r="BS16" s="46">
        <v>94.367054687500001</v>
      </c>
      <c r="BT16" s="46">
        <v>545.54618417968754</v>
      </c>
      <c r="BU16" s="46">
        <v>771.13573691406248</v>
      </c>
      <c r="BV16" s="46">
        <v>94.367054687500001</v>
      </c>
      <c r="BW16" s="46">
        <v>94.367054687500001</v>
      </c>
      <c r="BX16" s="46">
        <v>47.183515234375001</v>
      </c>
    </row>
    <row r="17" spans="1:76" x14ac:dyDescent="0.25">
      <c r="A17" s="43">
        <v>2037</v>
      </c>
      <c r="B17" s="45">
        <v>6466.7943257812503</v>
      </c>
      <c r="C17" s="46">
        <v>5071.3278835937499</v>
      </c>
      <c r="D17" s="46">
        <v>12094.057625000001</v>
      </c>
      <c r="E17" s="46">
        <v>9390.4975851562504</v>
      </c>
      <c r="F17" s="46">
        <v>10709.7358859375</v>
      </c>
      <c r="G17" s="46">
        <v>22813.82518671875</v>
      </c>
      <c r="H17" s="46">
        <v>5835.3364726562504</v>
      </c>
      <c r="I17" s="46">
        <v>5835.3364726562504</v>
      </c>
      <c r="J17" s="46">
        <v>4598.6017750000001</v>
      </c>
      <c r="K17" s="45">
        <v>5223.4991132812502</v>
      </c>
      <c r="L17" s="47">
        <v>4759.0516343749996</v>
      </c>
      <c r="M17" s="47">
        <v>7989.8781710937501</v>
      </c>
      <c r="N17" s="47">
        <v>8591.7360210937495</v>
      </c>
      <c r="O17" s="47">
        <v>7741.3821289062498</v>
      </c>
      <c r="P17" s="47">
        <v>12779.93000234375</v>
      </c>
      <c r="Q17" s="47">
        <v>4931.3898820312497</v>
      </c>
      <c r="R17" s="47">
        <v>4931.3898820312497</v>
      </c>
      <c r="S17" s="47">
        <v>4651.7312023437498</v>
      </c>
      <c r="T17" s="45">
        <v>0</v>
      </c>
      <c r="U17" s="46">
        <v>3771.8008046875002</v>
      </c>
      <c r="V17" s="46">
        <v>0</v>
      </c>
      <c r="W17" s="46">
        <v>0</v>
      </c>
      <c r="X17" s="46">
        <v>5027.9886593749998</v>
      </c>
      <c r="Y17" s="46">
        <v>7541.9828500000003</v>
      </c>
      <c r="Z17" s="46">
        <v>0</v>
      </c>
      <c r="AA17" s="46">
        <v>0</v>
      </c>
      <c r="AB17" s="46">
        <v>0</v>
      </c>
      <c r="AC17" s="45">
        <v>1595.33116875</v>
      </c>
      <c r="AD17" s="46">
        <v>3190.6629124999999</v>
      </c>
      <c r="AE17" s="46">
        <v>1595.33116875</v>
      </c>
      <c r="AF17" s="46">
        <v>1595.33116875</v>
      </c>
      <c r="AG17" s="46">
        <v>11742.477440625</v>
      </c>
      <c r="AH17" s="46">
        <v>16816.050681249999</v>
      </c>
      <c r="AI17" s="46">
        <v>1595.33116875</v>
      </c>
      <c r="AJ17" s="46">
        <v>1595.33116875</v>
      </c>
      <c r="AK17" s="46">
        <v>797.66568125000003</v>
      </c>
      <c r="AM17" s="48"/>
      <c r="AN17" s="43">
        <v>2037</v>
      </c>
      <c r="AO17" s="45">
        <v>1266.0228384765626</v>
      </c>
      <c r="AP17" s="46">
        <v>1012.1904720703126</v>
      </c>
      <c r="AQ17" s="46">
        <v>2179.8346097656249</v>
      </c>
      <c r="AR17" s="46">
        <v>1912.6335238281251</v>
      </c>
      <c r="AS17" s="46">
        <v>2237.4695095703128</v>
      </c>
      <c r="AT17" s="46">
        <v>3950.9632846679688</v>
      </c>
      <c r="AU17" s="46">
        <v>1167.1957513671875</v>
      </c>
      <c r="AV17" s="46">
        <v>1167.1957513671875</v>
      </c>
      <c r="AW17" s="46">
        <v>982.66463320312505</v>
      </c>
      <c r="AX17" s="45">
        <v>569.11118554687505</v>
      </c>
      <c r="AY17" s="49">
        <v>558.63369394531253</v>
      </c>
      <c r="AZ17" s="49">
        <v>770.36312890625004</v>
      </c>
      <c r="BA17" s="49">
        <v>943.96500312499995</v>
      </c>
      <c r="BB17" s="49">
        <v>849.17327177734376</v>
      </c>
      <c r="BC17" s="49">
        <v>1471.0778502929688</v>
      </c>
      <c r="BD17" s="49">
        <v>548.72070605468753</v>
      </c>
      <c r="BE17" s="49">
        <v>548.72070605468753</v>
      </c>
      <c r="BF17" s="49">
        <v>524.51226992187503</v>
      </c>
      <c r="BG17" s="45">
        <v>0</v>
      </c>
      <c r="BH17" s="46">
        <v>155.8752751953125</v>
      </c>
      <c r="BI17" s="46">
        <v>0</v>
      </c>
      <c r="BJ17" s="46">
        <v>0</v>
      </c>
      <c r="BK17" s="46">
        <v>275.79302275390626</v>
      </c>
      <c r="BL17" s="46">
        <v>413.68952260742185</v>
      </c>
      <c r="BM17" s="46">
        <v>0</v>
      </c>
      <c r="BN17" s="46">
        <v>0</v>
      </c>
      <c r="BO17" s="46">
        <v>0</v>
      </c>
      <c r="BP17" s="45">
        <v>100.3484234375</v>
      </c>
      <c r="BQ17" s="46">
        <v>200.6968515625</v>
      </c>
      <c r="BR17" s="46">
        <v>100.3484234375</v>
      </c>
      <c r="BS17" s="46">
        <v>100.3484234375</v>
      </c>
      <c r="BT17" s="46">
        <v>575.28667363281249</v>
      </c>
      <c r="BU17" s="46">
        <v>812.75581093749997</v>
      </c>
      <c r="BV17" s="46">
        <v>100.3484234375</v>
      </c>
      <c r="BW17" s="46">
        <v>100.3484234375</v>
      </c>
      <c r="BX17" s="46">
        <v>50.174211328124997</v>
      </c>
    </row>
    <row r="18" spans="1:76" x14ac:dyDescent="0.25">
      <c r="A18" s="43">
        <v>2038</v>
      </c>
      <c r="B18" s="45">
        <v>7030.5457523437508</v>
      </c>
      <c r="C18" s="46">
        <v>5731.8939820312498</v>
      </c>
      <c r="D18" s="46">
        <v>12982.990521875001</v>
      </c>
      <c r="E18" s="46">
        <v>9978.8971812500004</v>
      </c>
      <c r="F18" s="46">
        <v>11480.214889062501</v>
      </c>
      <c r="G18" s="46">
        <v>24284.720696875</v>
      </c>
      <c r="H18" s="46">
        <v>6412.9016398437507</v>
      </c>
      <c r="I18" s="46">
        <v>6412.9016398437507</v>
      </c>
      <c r="J18" s="46">
        <v>5070.8830875000003</v>
      </c>
      <c r="K18" s="45">
        <v>5484.9889242187501</v>
      </c>
      <c r="L18" s="47">
        <v>5028.3596875000003</v>
      </c>
      <c r="M18" s="47">
        <v>8413.3155976562502</v>
      </c>
      <c r="N18" s="47">
        <v>9015.1755132812505</v>
      </c>
      <c r="O18" s="47">
        <v>8280.8878695312505</v>
      </c>
      <c r="P18" s="47">
        <v>13616.28584921875</v>
      </c>
      <c r="Q18" s="47">
        <v>5198.2456539062496</v>
      </c>
      <c r="R18" s="47">
        <v>5198.2456539062496</v>
      </c>
      <c r="S18" s="47">
        <v>4890.4761398437504</v>
      </c>
      <c r="T18" s="45">
        <v>0</v>
      </c>
      <c r="U18" s="46">
        <v>3944.1802265625001</v>
      </c>
      <c r="V18" s="46">
        <v>0</v>
      </c>
      <c r="W18" s="46">
        <v>0</v>
      </c>
      <c r="X18" s="46">
        <v>5384.0905578125003</v>
      </c>
      <c r="Y18" s="46">
        <v>8076.13581015625</v>
      </c>
      <c r="Z18" s="46">
        <v>0</v>
      </c>
      <c r="AA18" s="46">
        <v>0</v>
      </c>
      <c r="AB18" s="46">
        <v>0</v>
      </c>
      <c r="AC18" s="45">
        <v>1647.5065</v>
      </c>
      <c r="AD18" s="46">
        <v>3295.0128500000001</v>
      </c>
      <c r="AE18" s="46">
        <v>1647.5065</v>
      </c>
      <c r="AF18" s="46">
        <v>1647.5065</v>
      </c>
      <c r="AG18" s="46">
        <v>12387.421478124999</v>
      </c>
      <c r="AH18" s="46">
        <v>17757.378949999998</v>
      </c>
      <c r="AI18" s="46">
        <v>1647.5065</v>
      </c>
      <c r="AJ18" s="46">
        <v>1647.5065</v>
      </c>
      <c r="AK18" s="46">
        <v>823.75305624999999</v>
      </c>
      <c r="AM18" s="48"/>
      <c r="AN18" s="43">
        <v>2038</v>
      </c>
      <c r="AO18" s="45">
        <v>1366.2794718750001</v>
      </c>
      <c r="AP18" s="46">
        <v>1117.6888847656251</v>
      </c>
      <c r="AQ18" s="46">
        <v>2354.2012462890625</v>
      </c>
      <c r="AR18" s="46">
        <v>2052.0155746093751</v>
      </c>
      <c r="AS18" s="46">
        <v>2407.9677246093752</v>
      </c>
      <c r="AT18" s="46">
        <v>4219.7663790039069</v>
      </c>
      <c r="AU18" s="46">
        <v>1268.0973703125001</v>
      </c>
      <c r="AV18" s="46">
        <v>1268.0973703125001</v>
      </c>
      <c r="AW18" s="46">
        <v>1066.2482994140626</v>
      </c>
      <c r="AX18" s="45">
        <v>596.95539062499995</v>
      </c>
      <c r="AY18" s="49">
        <v>587.30740605468748</v>
      </c>
      <c r="AZ18" s="49">
        <v>813.65171464843752</v>
      </c>
      <c r="BA18" s="49">
        <v>993.87756259765627</v>
      </c>
      <c r="BB18" s="49">
        <v>913.15590625000004</v>
      </c>
      <c r="BC18" s="49">
        <v>1571.4123890625001</v>
      </c>
      <c r="BD18" s="49">
        <v>576.75675195312499</v>
      </c>
      <c r="BE18" s="49">
        <v>576.75675195312499</v>
      </c>
      <c r="BF18" s="49">
        <v>550.149241796875</v>
      </c>
      <c r="BG18" s="45">
        <v>0</v>
      </c>
      <c r="BH18" s="46">
        <v>164.50399570312501</v>
      </c>
      <c r="BI18" s="46">
        <v>0</v>
      </c>
      <c r="BJ18" s="46">
        <v>0</v>
      </c>
      <c r="BK18" s="46">
        <v>292.18573359375</v>
      </c>
      <c r="BL18" s="46">
        <v>438.27861074218748</v>
      </c>
      <c r="BM18" s="46">
        <v>0</v>
      </c>
      <c r="BN18" s="46">
        <v>0</v>
      </c>
      <c r="BO18" s="46">
        <v>0</v>
      </c>
      <c r="BP18" s="45">
        <v>106.55087578125</v>
      </c>
      <c r="BQ18" s="46">
        <v>213.1017640625</v>
      </c>
      <c r="BR18" s="46">
        <v>106.55087578125</v>
      </c>
      <c r="BS18" s="46">
        <v>106.55087578125</v>
      </c>
      <c r="BT18" s="46">
        <v>607.43499921875002</v>
      </c>
      <c r="BU18" s="46">
        <v>857.87705156250001</v>
      </c>
      <c r="BV18" s="46">
        <v>106.55087578125</v>
      </c>
      <c r="BW18" s="46">
        <v>106.55087578125</v>
      </c>
      <c r="BX18" s="46">
        <v>53.275426171874997</v>
      </c>
    </row>
    <row r="19" spans="1:76" x14ac:dyDescent="0.25">
      <c r="A19" s="43">
        <v>2039</v>
      </c>
      <c r="B19" s="45">
        <v>7557.6239718750003</v>
      </c>
      <c r="C19" s="46">
        <v>6374.3339140625003</v>
      </c>
      <c r="D19" s="46">
        <v>13834.42092734375</v>
      </c>
      <c r="E19" s="46">
        <v>10529.807390625001</v>
      </c>
      <c r="F19" s="46">
        <v>12230.679894531251</v>
      </c>
      <c r="G19" s="46">
        <v>25730.340697265627</v>
      </c>
      <c r="H19" s="46">
        <v>6952.8726750000005</v>
      </c>
      <c r="I19" s="46">
        <v>6952.8726750000005</v>
      </c>
      <c r="J19" s="46">
        <v>5518.2783023437505</v>
      </c>
      <c r="K19" s="45">
        <v>5720.0343984375004</v>
      </c>
      <c r="L19" s="47">
        <v>5272.5872499999996</v>
      </c>
      <c r="M19" s="47">
        <v>8805.5155140624993</v>
      </c>
      <c r="N19" s="47">
        <v>9412.2741343750004</v>
      </c>
      <c r="O19" s="47">
        <v>8803.1896640625</v>
      </c>
      <c r="P19" s="47">
        <v>14433.53201015625</v>
      </c>
      <c r="Q19" s="47">
        <v>5437.9819421875</v>
      </c>
      <c r="R19" s="47">
        <v>5437.9819421875</v>
      </c>
      <c r="S19" s="47">
        <v>5103.4352578124999</v>
      </c>
      <c r="T19" s="45">
        <v>0</v>
      </c>
      <c r="U19" s="46">
        <v>4117.6915812500001</v>
      </c>
      <c r="V19" s="46">
        <v>0</v>
      </c>
      <c r="W19" s="46">
        <v>0</v>
      </c>
      <c r="X19" s="46">
        <v>5742.984565625</v>
      </c>
      <c r="Y19" s="46">
        <v>8614.4767601562507</v>
      </c>
      <c r="Z19" s="46">
        <v>0</v>
      </c>
      <c r="AA19" s="46">
        <v>0</v>
      </c>
      <c r="AB19" s="46">
        <v>0</v>
      </c>
      <c r="AC19" s="45">
        <v>1695.3769875</v>
      </c>
      <c r="AD19" s="46">
        <v>3390.7534062499999</v>
      </c>
      <c r="AE19" s="46">
        <v>1695.3769875</v>
      </c>
      <c r="AF19" s="46">
        <v>1695.3769875</v>
      </c>
      <c r="AG19" s="46">
        <v>13019.573946875</v>
      </c>
      <c r="AH19" s="46">
        <v>18681.672990625</v>
      </c>
      <c r="AI19" s="46">
        <v>1695.3769875</v>
      </c>
      <c r="AJ19" s="46">
        <v>1695.3769875</v>
      </c>
      <c r="AK19" s="46">
        <v>847.68820625000001</v>
      </c>
      <c r="AM19" s="48"/>
      <c r="AN19" s="43">
        <v>2039</v>
      </c>
      <c r="AO19" s="45">
        <v>1469.880615234375</v>
      </c>
      <c r="AP19" s="46">
        <v>1225.7199867187501</v>
      </c>
      <c r="AQ19" s="46">
        <v>2546.7573919921874</v>
      </c>
      <c r="AR19" s="46">
        <v>2192.6103324218752</v>
      </c>
      <c r="AS19" s="46">
        <v>2577.1213484375003</v>
      </c>
      <c r="AT19" s="46">
        <v>4486.5237601562503</v>
      </c>
      <c r="AU19" s="46">
        <v>1371.3687886718751</v>
      </c>
      <c r="AV19" s="46">
        <v>1371.3687886718751</v>
      </c>
      <c r="AW19" s="46">
        <v>1154.449602734375</v>
      </c>
      <c r="AX19" s="45">
        <v>623.64740683593755</v>
      </c>
      <c r="AY19" s="49">
        <v>614.06639277343754</v>
      </c>
      <c r="AZ19" s="49">
        <v>858.69790898437498</v>
      </c>
      <c r="BA19" s="49">
        <v>1043.1536714843751</v>
      </c>
      <c r="BB19" s="49">
        <v>976.25556103515623</v>
      </c>
      <c r="BC19" s="49">
        <v>1670.6244141601562</v>
      </c>
      <c r="BD19" s="49">
        <v>603.41594394531251</v>
      </c>
      <c r="BE19" s="49">
        <v>603.41594394531251</v>
      </c>
      <c r="BF19" s="49">
        <v>574.59046621093751</v>
      </c>
      <c r="BG19" s="45">
        <v>0</v>
      </c>
      <c r="BH19" s="46">
        <v>172.95547041015624</v>
      </c>
      <c r="BI19" s="46">
        <v>0</v>
      </c>
      <c r="BJ19" s="46">
        <v>0</v>
      </c>
      <c r="BK19" s="46">
        <v>308.36340703125001</v>
      </c>
      <c r="BL19" s="46">
        <v>462.54510717773439</v>
      </c>
      <c r="BM19" s="46">
        <v>0</v>
      </c>
      <c r="BN19" s="46">
        <v>0</v>
      </c>
      <c r="BO19" s="46">
        <v>0</v>
      </c>
      <c r="BP19" s="45">
        <v>112.2889453125</v>
      </c>
      <c r="BQ19" s="46">
        <v>224.57786640625</v>
      </c>
      <c r="BR19" s="46">
        <v>112.2889453125</v>
      </c>
      <c r="BS19" s="46">
        <v>112.2889453125</v>
      </c>
      <c r="BT19" s="46">
        <v>638.59581953124996</v>
      </c>
      <c r="BU19" s="46">
        <v>901.74925058593749</v>
      </c>
      <c r="BV19" s="46">
        <v>112.2889453125</v>
      </c>
      <c r="BW19" s="46">
        <v>112.2889453125</v>
      </c>
      <c r="BX19" s="46">
        <v>56.144460546875003</v>
      </c>
    </row>
    <row r="20" spans="1:76" x14ac:dyDescent="0.25">
      <c r="A20" s="43">
        <v>2040</v>
      </c>
      <c r="B20" s="45">
        <v>8164.8217757812508</v>
      </c>
      <c r="C20" s="46">
        <v>7076.0391328125006</v>
      </c>
      <c r="D20" s="46">
        <v>14914.473704687502</v>
      </c>
      <c r="E20" s="46">
        <v>11158.106614062501</v>
      </c>
      <c r="F20" s="46">
        <v>13042.31018359375</v>
      </c>
      <c r="G20" s="46">
        <v>27317.741612109377</v>
      </c>
      <c r="H20" s="46">
        <v>7561.1039414062507</v>
      </c>
      <c r="I20" s="46">
        <v>7561.1039414062507</v>
      </c>
      <c r="J20" s="46">
        <v>6043.2198984375</v>
      </c>
      <c r="K20" s="45">
        <v>5980.9628093749998</v>
      </c>
      <c r="L20" s="47">
        <v>5524.79280703125</v>
      </c>
      <c r="M20" s="47">
        <v>9290.8172328125002</v>
      </c>
      <c r="N20" s="47">
        <v>9856.1660499999998</v>
      </c>
      <c r="O20" s="47">
        <v>9366.4861132812493</v>
      </c>
      <c r="P20" s="47">
        <v>15323.4835515625</v>
      </c>
      <c r="Q20" s="47">
        <v>5697.5241937500004</v>
      </c>
      <c r="R20" s="47">
        <v>5697.5241937500004</v>
      </c>
      <c r="S20" s="47">
        <v>5335.5881796875001</v>
      </c>
      <c r="T20" s="45">
        <v>0</v>
      </c>
      <c r="U20" s="46">
        <v>4329.9217515624996</v>
      </c>
      <c r="V20" s="46">
        <v>0</v>
      </c>
      <c r="W20" s="46">
        <v>0</v>
      </c>
      <c r="X20" s="46">
        <v>6151.9192546875001</v>
      </c>
      <c r="Y20" s="46">
        <v>9227.87890625</v>
      </c>
      <c r="Z20" s="46">
        <v>0</v>
      </c>
      <c r="AA20" s="46">
        <v>0</v>
      </c>
      <c r="AB20" s="46">
        <v>0</v>
      </c>
      <c r="AC20" s="45">
        <v>1737.0845374999999</v>
      </c>
      <c r="AD20" s="46">
        <v>3474.1692499999999</v>
      </c>
      <c r="AE20" s="46">
        <v>1737.0845374999999</v>
      </c>
      <c r="AF20" s="46">
        <v>1737.0845374999999</v>
      </c>
      <c r="AG20" s="46">
        <v>13718.9389625</v>
      </c>
      <c r="AH20" s="46">
        <v>19709.866415625002</v>
      </c>
      <c r="AI20" s="46">
        <v>1737.0845374999999</v>
      </c>
      <c r="AJ20" s="46">
        <v>1737.0845374999999</v>
      </c>
      <c r="AK20" s="46">
        <v>868.54217500000004</v>
      </c>
      <c r="AM20" s="48"/>
      <c r="AN20" s="43">
        <v>2040</v>
      </c>
      <c r="AO20" s="45">
        <v>1572.8123628906251</v>
      </c>
      <c r="AP20" s="46">
        <v>1340.122544140625</v>
      </c>
      <c r="AQ20" s="46">
        <v>2724.6855226562502</v>
      </c>
      <c r="AR20" s="46">
        <v>2339.152368359375</v>
      </c>
      <c r="AS20" s="46">
        <v>2761.5152958984377</v>
      </c>
      <c r="AT20" s="46">
        <v>4779.5123238281249</v>
      </c>
      <c r="AU20" s="46">
        <v>1474.9685464843751</v>
      </c>
      <c r="AV20" s="46">
        <v>1474.9685464843751</v>
      </c>
      <c r="AW20" s="46">
        <v>1242.4822521484375</v>
      </c>
      <c r="AX20" s="45">
        <v>648.98861367187499</v>
      </c>
      <c r="AY20" s="49">
        <v>640.47791503906251</v>
      </c>
      <c r="AZ20" s="49">
        <v>899.45606347656246</v>
      </c>
      <c r="BA20" s="49">
        <v>1094.3507916992187</v>
      </c>
      <c r="BB20" s="49">
        <v>1043.6839137695313</v>
      </c>
      <c r="BC20" s="49">
        <v>1777.9695809570312</v>
      </c>
      <c r="BD20" s="49">
        <v>628.91791171875002</v>
      </c>
      <c r="BE20" s="49">
        <v>628.91791171875002</v>
      </c>
      <c r="BF20" s="49">
        <v>597.60091328124997</v>
      </c>
      <c r="BG20" s="45">
        <v>0</v>
      </c>
      <c r="BH20" s="46">
        <v>182.74220751953126</v>
      </c>
      <c r="BI20" s="46">
        <v>0</v>
      </c>
      <c r="BJ20" s="46">
        <v>0</v>
      </c>
      <c r="BK20" s="46">
        <v>327.03387148437503</v>
      </c>
      <c r="BL20" s="46">
        <v>490.550802734375</v>
      </c>
      <c r="BM20" s="46">
        <v>0</v>
      </c>
      <c r="BN20" s="46">
        <v>0</v>
      </c>
      <c r="BO20" s="46">
        <v>0</v>
      </c>
      <c r="BP20" s="45">
        <v>118.35434140625</v>
      </c>
      <c r="BQ20" s="46">
        <v>236.70871308593749</v>
      </c>
      <c r="BR20" s="46">
        <v>118.35434140625</v>
      </c>
      <c r="BS20" s="46">
        <v>118.35434140625</v>
      </c>
      <c r="BT20" s="46">
        <v>672.98747773437503</v>
      </c>
      <c r="BU20" s="46">
        <v>950.30402802734375</v>
      </c>
      <c r="BV20" s="46">
        <v>118.35434140625</v>
      </c>
      <c r="BW20" s="46">
        <v>118.35434140625</v>
      </c>
      <c r="BX20" s="46">
        <v>59.177176562500001</v>
      </c>
    </row>
    <row r="21" spans="1:76" x14ac:dyDescent="0.25">
      <c r="A21" s="43">
        <v>2041</v>
      </c>
      <c r="B21" s="45">
        <v>8592.4096874999996</v>
      </c>
      <c r="C21" s="46">
        <v>7662.9242015625005</v>
      </c>
      <c r="D21" s="46">
        <v>15594.250805468751</v>
      </c>
      <c r="E21" s="46">
        <v>11579.77640546875</v>
      </c>
      <c r="F21" s="46">
        <v>13686.928525000001</v>
      </c>
      <c r="G21" s="46">
        <v>28562.833038671877</v>
      </c>
      <c r="H21" s="46">
        <v>8006.8627500000002</v>
      </c>
      <c r="I21" s="46">
        <v>8006.8627500000002</v>
      </c>
      <c r="J21" s="46">
        <v>6431.8242117187501</v>
      </c>
      <c r="K21" s="45">
        <v>6132.05326171875</v>
      </c>
      <c r="L21" s="47">
        <v>5688.3893484375003</v>
      </c>
      <c r="M21" s="47">
        <v>9570.9090992187503</v>
      </c>
      <c r="N21" s="47">
        <v>10162.56846328125</v>
      </c>
      <c r="O21" s="47">
        <v>9827.2233429687494</v>
      </c>
      <c r="P21" s="47">
        <v>16041.671966015625</v>
      </c>
      <c r="Q21" s="47">
        <v>5854.7093648437503</v>
      </c>
      <c r="R21" s="47">
        <v>5854.7093648437503</v>
      </c>
      <c r="S21" s="47">
        <v>5470.3005929687497</v>
      </c>
      <c r="T21" s="45">
        <v>0</v>
      </c>
      <c r="U21" s="46">
        <v>4465.1042281250002</v>
      </c>
      <c r="V21" s="46">
        <v>0</v>
      </c>
      <c r="W21" s="46">
        <v>0</v>
      </c>
      <c r="X21" s="46">
        <v>6471.3753671875002</v>
      </c>
      <c r="Y21" s="46">
        <v>9707.0631960937499</v>
      </c>
      <c r="Z21" s="46">
        <v>0</v>
      </c>
      <c r="AA21" s="46">
        <v>0</v>
      </c>
      <c r="AB21" s="46">
        <v>0</v>
      </c>
      <c r="AC21" s="45">
        <v>1756.9375875000001</v>
      </c>
      <c r="AD21" s="46">
        <v>3513.8753624999999</v>
      </c>
      <c r="AE21" s="46">
        <v>1756.9375875000001</v>
      </c>
      <c r="AF21" s="46">
        <v>1756.9375875000001</v>
      </c>
      <c r="AG21" s="46">
        <v>14234.28435625</v>
      </c>
      <c r="AH21" s="46">
        <v>20472.957896874999</v>
      </c>
      <c r="AI21" s="46">
        <v>1756.9375875000001</v>
      </c>
      <c r="AJ21" s="46">
        <v>1756.9375875000001</v>
      </c>
      <c r="AK21" s="46">
        <v>878.46889375000001</v>
      </c>
      <c r="AM21" s="48"/>
      <c r="AN21" s="43">
        <v>2041</v>
      </c>
      <c r="AO21" s="45">
        <v>1656.3240712890627</v>
      </c>
      <c r="AP21" s="46">
        <v>1438.3908101562502</v>
      </c>
      <c r="AQ21" s="46">
        <v>2874.1488189453125</v>
      </c>
      <c r="AR21" s="46">
        <v>2454.9518568359376</v>
      </c>
      <c r="AS21" s="46">
        <v>2910.6132261718753</v>
      </c>
      <c r="AT21" s="46">
        <v>5012.607200976563</v>
      </c>
      <c r="AU21" s="46">
        <v>1560.0143169921876</v>
      </c>
      <c r="AV21" s="46">
        <v>1560.0143169921876</v>
      </c>
      <c r="AW21" s="46">
        <v>1316.6537687500002</v>
      </c>
      <c r="AX21" s="45">
        <v>665.54554472656253</v>
      </c>
      <c r="AY21" s="49">
        <v>657.98661621093754</v>
      </c>
      <c r="AZ21" s="49">
        <v>929.29356738281251</v>
      </c>
      <c r="BA21" s="49">
        <v>1133.9516920898438</v>
      </c>
      <c r="BB21" s="49">
        <v>1101.2699470703126</v>
      </c>
      <c r="BC21" s="49">
        <v>1866.9736479492187</v>
      </c>
      <c r="BD21" s="49">
        <v>645.81357167968747</v>
      </c>
      <c r="BE21" s="49">
        <v>645.81357167968747</v>
      </c>
      <c r="BF21" s="49">
        <v>612.67255019531251</v>
      </c>
      <c r="BG21" s="45">
        <v>0</v>
      </c>
      <c r="BH21" s="46">
        <v>189.35128212890626</v>
      </c>
      <c r="BI21" s="46">
        <v>0</v>
      </c>
      <c r="BJ21" s="46">
        <v>0</v>
      </c>
      <c r="BK21" s="46">
        <v>340.09424462890627</v>
      </c>
      <c r="BL21" s="46">
        <v>510.14137246093748</v>
      </c>
      <c r="BM21" s="46">
        <v>0</v>
      </c>
      <c r="BN21" s="46">
        <v>0</v>
      </c>
      <c r="BO21" s="46">
        <v>0</v>
      </c>
      <c r="BP21" s="45">
        <v>122.60873984375</v>
      </c>
      <c r="BQ21" s="46">
        <v>245.2175029296875</v>
      </c>
      <c r="BR21" s="46">
        <v>122.60873984375</v>
      </c>
      <c r="BS21" s="46">
        <v>122.60873984375</v>
      </c>
      <c r="BT21" s="46">
        <v>698.22991855468752</v>
      </c>
      <c r="BU21" s="46">
        <v>986.04050537109379</v>
      </c>
      <c r="BV21" s="46">
        <v>122.60873984375</v>
      </c>
      <c r="BW21" s="46">
        <v>122.60873984375</v>
      </c>
      <c r="BX21" s="46">
        <v>61.304378515624997</v>
      </c>
    </row>
    <row r="22" spans="1:76" x14ac:dyDescent="0.25">
      <c r="A22" s="43">
        <v>2042</v>
      </c>
      <c r="B22" s="45">
        <v>8997.4383984374999</v>
      </c>
      <c r="C22" s="46">
        <v>8201.8766117187497</v>
      </c>
      <c r="D22" s="46">
        <v>16337.326710937501</v>
      </c>
      <c r="E22" s="46">
        <v>12046.9340359375</v>
      </c>
      <c r="F22" s="46">
        <v>14401.46468203125</v>
      </c>
      <c r="G22" s="46">
        <v>29957.162830468751</v>
      </c>
      <c r="H22" s="46">
        <v>8422.5282296875012</v>
      </c>
      <c r="I22" s="46">
        <v>8422.5282296875012</v>
      </c>
      <c r="J22" s="46">
        <v>6793.2023703125005</v>
      </c>
      <c r="K22" s="45">
        <v>6298.4354757812498</v>
      </c>
      <c r="L22" s="47">
        <v>5857.64002109375</v>
      </c>
      <c r="M22" s="47">
        <v>9899.4026585937499</v>
      </c>
      <c r="N22" s="47">
        <v>10508.168799218751</v>
      </c>
      <c r="O22" s="47">
        <v>10335.898123437501</v>
      </c>
      <c r="P22" s="47">
        <v>16839.261343359376</v>
      </c>
      <c r="Q22" s="47">
        <v>6024.1741789062498</v>
      </c>
      <c r="R22" s="47">
        <v>6024.1741789062498</v>
      </c>
      <c r="S22" s="47">
        <v>5615.4287867187504</v>
      </c>
      <c r="T22" s="45">
        <v>0</v>
      </c>
      <c r="U22" s="46">
        <v>4637.6866</v>
      </c>
      <c r="V22" s="46">
        <v>0</v>
      </c>
      <c r="W22" s="46">
        <v>0</v>
      </c>
      <c r="X22" s="46">
        <v>6842.3318312499996</v>
      </c>
      <c r="Y22" s="46">
        <v>10263.49763046875</v>
      </c>
      <c r="Z22" s="46">
        <v>0</v>
      </c>
      <c r="AA22" s="46">
        <v>0</v>
      </c>
      <c r="AB22" s="46">
        <v>0</v>
      </c>
      <c r="AC22" s="45">
        <v>1784.9400125</v>
      </c>
      <c r="AD22" s="46">
        <v>3569.8804125000001</v>
      </c>
      <c r="AE22" s="46">
        <v>1784.9400125</v>
      </c>
      <c r="AF22" s="46">
        <v>1784.9400125</v>
      </c>
      <c r="AG22" s="46">
        <v>14826.621628125</v>
      </c>
      <c r="AH22" s="46">
        <v>21347.462406250001</v>
      </c>
      <c r="AI22" s="46">
        <v>1784.9400125</v>
      </c>
      <c r="AJ22" s="46">
        <v>1784.9400125</v>
      </c>
      <c r="AK22" s="46">
        <v>892.46991249999996</v>
      </c>
      <c r="AM22" s="48"/>
      <c r="AN22" s="43">
        <v>2042</v>
      </c>
      <c r="AO22" s="45">
        <v>1739.3345384765626</v>
      </c>
      <c r="AP22" s="46">
        <v>1537.0187720703125</v>
      </c>
      <c r="AQ22" s="46">
        <v>3022.2449498046876</v>
      </c>
      <c r="AR22" s="46">
        <v>2579.5473875000002</v>
      </c>
      <c r="AS22" s="46">
        <v>3075.6324031250001</v>
      </c>
      <c r="AT22" s="46">
        <v>5273.06957578125</v>
      </c>
      <c r="AU22" s="46">
        <v>1644.4386236328126</v>
      </c>
      <c r="AV22" s="46">
        <v>1644.4386236328126</v>
      </c>
      <c r="AW22" s="46">
        <v>1389.9444640625002</v>
      </c>
      <c r="AX22" s="45">
        <v>682.04940839843755</v>
      </c>
      <c r="AY22" s="49">
        <v>675.46744746093748</v>
      </c>
      <c r="AZ22" s="49">
        <v>958.84273144531255</v>
      </c>
      <c r="BA22" s="49">
        <v>1176.0725397460938</v>
      </c>
      <c r="BB22" s="49">
        <v>1163.72666875</v>
      </c>
      <c r="BC22" s="49">
        <v>1964.8063617675782</v>
      </c>
      <c r="BD22" s="49">
        <v>662.62379863281251</v>
      </c>
      <c r="BE22" s="49">
        <v>662.62379863281251</v>
      </c>
      <c r="BF22" s="49">
        <v>627.43064082031253</v>
      </c>
      <c r="BG22" s="45">
        <v>0</v>
      </c>
      <c r="BH22" s="46">
        <v>196.96736220703124</v>
      </c>
      <c r="BI22" s="46">
        <v>0</v>
      </c>
      <c r="BJ22" s="46">
        <v>0</v>
      </c>
      <c r="BK22" s="46">
        <v>355.91253017578123</v>
      </c>
      <c r="BL22" s="46">
        <v>533.86879633789067</v>
      </c>
      <c r="BM22" s="46">
        <v>0</v>
      </c>
      <c r="BN22" s="46">
        <v>0</v>
      </c>
      <c r="BO22" s="46">
        <v>0</v>
      </c>
      <c r="BP22" s="45">
        <v>127.28706406249999</v>
      </c>
      <c r="BQ22" s="46">
        <v>254.57414003906251</v>
      </c>
      <c r="BR22" s="46">
        <v>127.28706406249999</v>
      </c>
      <c r="BS22" s="46">
        <v>127.28706406249999</v>
      </c>
      <c r="BT22" s="46">
        <v>726.81542695312498</v>
      </c>
      <c r="BU22" s="46">
        <v>1026.5796025390625</v>
      </c>
      <c r="BV22" s="46">
        <v>127.28706406249999</v>
      </c>
      <c r="BW22" s="46">
        <v>127.28706406249999</v>
      </c>
      <c r="BX22" s="46">
        <v>63.643514453125</v>
      </c>
    </row>
    <row r="23" spans="1:76" x14ac:dyDescent="0.25">
      <c r="A23" s="43">
        <v>2043</v>
      </c>
      <c r="B23" s="45">
        <v>9388.9735554687504</v>
      </c>
      <c r="C23" s="46">
        <v>8685.2127984375002</v>
      </c>
      <c r="D23" s="46">
        <v>17166.511271875002</v>
      </c>
      <c r="E23" s="46">
        <v>12523.123196093751</v>
      </c>
      <c r="F23" s="46">
        <v>15107.5089390625</v>
      </c>
      <c r="G23" s="46">
        <v>31334.600783789065</v>
      </c>
      <c r="H23" s="46">
        <v>8817.7730679687502</v>
      </c>
      <c r="I23" s="46">
        <v>8817.7730679687502</v>
      </c>
      <c r="J23" s="46">
        <v>7142.23198125</v>
      </c>
      <c r="K23" s="45">
        <v>6461.6026468749997</v>
      </c>
      <c r="L23" s="47">
        <v>6009.7022125000003</v>
      </c>
      <c r="M23" s="47">
        <v>10265.982709374999</v>
      </c>
      <c r="N23" s="47">
        <v>10851.184886718749</v>
      </c>
      <c r="O23" s="47">
        <v>10843.086297656249</v>
      </c>
      <c r="P23" s="47">
        <v>17631.885131640625</v>
      </c>
      <c r="Q23" s="47">
        <v>6187.6378062499998</v>
      </c>
      <c r="R23" s="47">
        <v>6187.6378062499998</v>
      </c>
      <c r="S23" s="47">
        <v>5756.4296390625004</v>
      </c>
      <c r="T23" s="45">
        <v>0</v>
      </c>
      <c r="U23" s="46">
        <v>4810.493203125</v>
      </c>
      <c r="V23" s="46">
        <v>0</v>
      </c>
      <c r="W23" s="46">
        <v>0</v>
      </c>
      <c r="X23" s="46">
        <v>7217.6087296875003</v>
      </c>
      <c r="Y23" s="46">
        <v>10826.413071875</v>
      </c>
      <c r="Z23" s="46">
        <v>0</v>
      </c>
      <c r="AA23" s="46">
        <v>0</v>
      </c>
      <c r="AB23" s="46">
        <v>0</v>
      </c>
      <c r="AC23" s="45">
        <v>1816.57820625</v>
      </c>
      <c r="AD23" s="46">
        <v>3633.1569749999999</v>
      </c>
      <c r="AE23" s="46">
        <v>1816.57820625</v>
      </c>
      <c r="AF23" s="46">
        <v>1816.57820625</v>
      </c>
      <c r="AG23" s="46">
        <v>15412.21583125</v>
      </c>
      <c r="AH23" s="46">
        <v>22210.034651562499</v>
      </c>
      <c r="AI23" s="46">
        <v>1816.57820625</v>
      </c>
      <c r="AJ23" s="46">
        <v>1816.57820625</v>
      </c>
      <c r="AK23" s="46">
        <v>908.28891250000004</v>
      </c>
      <c r="AM23" s="48"/>
      <c r="AN23" s="43">
        <v>2043</v>
      </c>
      <c r="AO23" s="45">
        <v>1817.9298617187501</v>
      </c>
      <c r="AP23" s="46">
        <v>1630.0021896484375</v>
      </c>
      <c r="AQ23" s="46">
        <v>3166.0270509765628</v>
      </c>
      <c r="AR23" s="46">
        <v>2701.3986593750001</v>
      </c>
      <c r="AS23" s="46">
        <v>3239.2845644531253</v>
      </c>
      <c r="AT23" s="46">
        <v>5531.4476203613285</v>
      </c>
      <c r="AU23" s="46">
        <v>1724.3415835937501</v>
      </c>
      <c r="AV23" s="46">
        <v>1724.3415835937501</v>
      </c>
      <c r="AW23" s="46">
        <v>1459.4572681640625</v>
      </c>
      <c r="AX23" s="45">
        <v>696.22375078125003</v>
      </c>
      <c r="AY23" s="49">
        <v>690.28413808593746</v>
      </c>
      <c r="AZ23" s="49">
        <v>986.10431289062501</v>
      </c>
      <c r="BA23" s="49">
        <v>1216.7551449218749</v>
      </c>
      <c r="BB23" s="49">
        <v>1226.1646844726563</v>
      </c>
      <c r="BC23" s="49">
        <v>2062.3754470214844</v>
      </c>
      <c r="BD23" s="49">
        <v>677.07934296874998</v>
      </c>
      <c r="BE23" s="49">
        <v>677.07934296874998</v>
      </c>
      <c r="BF23" s="49">
        <v>639.92543593749997</v>
      </c>
      <c r="BG23" s="45">
        <v>0</v>
      </c>
      <c r="BH23" s="46">
        <v>204.48969921874999</v>
      </c>
      <c r="BI23" s="46">
        <v>0</v>
      </c>
      <c r="BJ23" s="46">
        <v>0</v>
      </c>
      <c r="BK23" s="46">
        <v>371.53309487304688</v>
      </c>
      <c r="BL23" s="46">
        <v>557.29965974121092</v>
      </c>
      <c r="BM23" s="46">
        <v>0</v>
      </c>
      <c r="BN23" s="46">
        <v>0</v>
      </c>
      <c r="BO23" s="46">
        <v>0</v>
      </c>
      <c r="BP23" s="45">
        <v>131.66327187499999</v>
      </c>
      <c r="BQ23" s="46">
        <v>263.326526171875</v>
      </c>
      <c r="BR23" s="46">
        <v>131.66327187499999</v>
      </c>
      <c r="BS23" s="46">
        <v>131.66327187499999</v>
      </c>
      <c r="BT23" s="46">
        <v>754.62291464843747</v>
      </c>
      <c r="BU23" s="46">
        <v>1066.1027419921875</v>
      </c>
      <c r="BV23" s="46">
        <v>131.66327187499999</v>
      </c>
      <c r="BW23" s="46">
        <v>131.66327187499999</v>
      </c>
      <c r="BX23" s="46">
        <v>65.831632812500004</v>
      </c>
    </row>
    <row r="24" spans="1:76" x14ac:dyDescent="0.25">
      <c r="A24" s="43">
        <v>2044</v>
      </c>
      <c r="B24" s="45">
        <v>9878.3588687499996</v>
      </c>
      <c r="C24" s="46">
        <v>9244.6086375000014</v>
      </c>
      <c r="D24" s="46">
        <v>18175.424897656252</v>
      </c>
      <c r="E24" s="46">
        <v>13089.30082734375</v>
      </c>
      <c r="F24" s="46">
        <v>15902.79281640625</v>
      </c>
      <c r="G24" s="46">
        <v>32902.561760351564</v>
      </c>
      <c r="H24" s="46">
        <v>9305.9883312500006</v>
      </c>
      <c r="I24" s="46">
        <v>9305.9883312500006</v>
      </c>
      <c r="J24" s="46">
        <v>7579.5036195312505</v>
      </c>
      <c r="K24" s="45">
        <v>6674.7998671875002</v>
      </c>
      <c r="L24" s="47">
        <v>6204.4499195312501</v>
      </c>
      <c r="M24" s="47">
        <v>10725.058918750001</v>
      </c>
      <c r="N24" s="47">
        <v>11262.33620625</v>
      </c>
      <c r="O24" s="47">
        <v>11413.145107031251</v>
      </c>
      <c r="P24" s="47">
        <v>18527.6930234375</v>
      </c>
      <c r="Q24" s="47">
        <v>6398.6308203125</v>
      </c>
      <c r="R24" s="47">
        <v>6398.6308203125</v>
      </c>
      <c r="S24" s="47">
        <v>5942.5939343749997</v>
      </c>
      <c r="T24" s="45">
        <v>0</v>
      </c>
      <c r="U24" s="46">
        <v>5028.4469656250003</v>
      </c>
      <c r="V24" s="46">
        <v>0</v>
      </c>
      <c r="W24" s="46">
        <v>0</v>
      </c>
      <c r="X24" s="46">
        <v>7654.2968828125004</v>
      </c>
      <c r="Y24" s="46">
        <v>11481.44539609375</v>
      </c>
      <c r="Z24" s="46">
        <v>0</v>
      </c>
      <c r="AA24" s="46">
        <v>0</v>
      </c>
      <c r="AB24" s="46">
        <v>0</v>
      </c>
      <c r="AC24" s="45">
        <v>1846.9174499999999</v>
      </c>
      <c r="AD24" s="46">
        <v>3693.8356812500001</v>
      </c>
      <c r="AE24" s="46">
        <v>1846.9174499999999</v>
      </c>
      <c r="AF24" s="46">
        <v>1846.9174499999999</v>
      </c>
      <c r="AG24" s="46">
        <v>16084.766799999999</v>
      </c>
      <c r="AH24" s="46">
        <v>23203.691381249999</v>
      </c>
      <c r="AI24" s="46">
        <v>1846.9174499999999</v>
      </c>
      <c r="AJ24" s="46">
        <v>1846.9174499999999</v>
      </c>
      <c r="AK24" s="46">
        <v>923.45872499999996</v>
      </c>
      <c r="AM24" s="48"/>
      <c r="AN24" s="43">
        <v>2044</v>
      </c>
      <c r="AO24" s="45">
        <v>1904.1211011718751</v>
      </c>
      <c r="AP24" s="46">
        <v>1731.65645546875</v>
      </c>
      <c r="AQ24" s="46">
        <v>3313.0180486328127</v>
      </c>
      <c r="AR24" s="46">
        <v>2837.0087830078128</v>
      </c>
      <c r="AS24" s="46">
        <v>3423.11193046875</v>
      </c>
      <c r="AT24" s="46">
        <v>5823.8083641601561</v>
      </c>
      <c r="AU24" s="46">
        <v>1811.86629296875</v>
      </c>
      <c r="AV24" s="46">
        <v>1811.86629296875</v>
      </c>
      <c r="AW24" s="46">
        <v>1534.8582847656251</v>
      </c>
      <c r="AX24" s="45">
        <v>713.60230605468746</v>
      </c>
      <c r="AY24" s="49">
        <v>708.89233105468747</v>
      </c>
      <c r="AZ24" s="49">
        <v>1015.9498240234375</v>
      </c>
      <c r="BA24" s="49">
        <v>1262.4289301757813</v>
      </c>
      <c r="BB24" s="49">
        <v>1294.6725038085938</v>
      </c>
      <c r="BC24" s="49">
        <v>2170.8017249023437</v>
      </c>
      <c r="BD24" s="49">
        <v>694.73386542968751</v>
      </c>
      <c r="BE24" s="49">
        <v>694.73386542968751</v>
      </c>
      <c r="BF24" s="49">
        <v>655.31591660156255</v>
      </c>
      <c r="BG24" s="45">
        <v>0</v>
      </c>
      <c r="BH24" s="46">
        <v>213.67788505859374</v>
      </c>
      <c r="BI24" s="46">
        <v>0</v>
      </c>
      <c r="BJ24" s="46">
        <v>0</v>
      </c>
      <c r="BK24" s="46">
        <v>390.18334072265623</v>
      </c>
      <c r="BL24" s="46">
        <v>585.27501440429683</v>
      </c>
      <c r="BM24" s="46">
        <v>0</v>
      </c>
      <c r="BN24" s="46">
        <v>0</v>
      </c>
      <c r="BO24" s="46">
        <v>0</v>
      </c>
      <c r="BP24" s="45">
        <v>136.65792773437499</v>
      </c>
      <c r="BQ24" s="46">
        <v>273.31582636718753</v>
      </c>
      <c r="BR24" s="46">
        <v>136.65792773437499</v>
      </c>
      <c r="BS24" s="46">
        <v>136.65792773437499</v>
      </c>
      <c r="BT24" s="46">
        <v>786.57051328124999</v>
      </c>
      <c r="BU24" s="46">
        <v>1111.5268088867188</v>
      </c>
      <c r="BV24" s="46">
        <v>136.65792773437499</v>
      </c>
      <c r="BW24" s="46">
        <v>136.65792773437499</v>
      </c>
      <c r="BX24" s="46">
        <v>68.328951953124999</v>
      </c>
    </row>
    <row r="25" spans="1:76" x14ac:dyDescent="0.25">
      <c r="A25" s="43">
        <v>2045</v>
      </c>
      <c r="B25" s="45">
        <v>10274.70913203125</v>
      </c>
      <c r="C25" s="46">
        <v>9705.8071148437502</v>
      </c>
      <c r="D25" s="46">
        <v>19009.331891406251</v>
      </c>
      <c r="E25" s="46">
        <v>13499.223917968751</v>
      </c>
      <c r="F25" s="46">
        <v>16495.184858593751</v>
      </c>
      <c r="G25" s="46">
        <v>34055.505328906249</v>
      </c>
      <c r="H25" s="46">
        <v>9707.0393007812509</v>
      </c>
      <c r="I25" s="46">
        <v>9707.0393007812509</v>
      </c>
      <c r="J25" s="46">
        <v>7955.51823828125</v>
      </c>
      <c r="K25" s="45">
        <v>6817.0393421874996</v>
      </c>
      <c r="L25" s="47">
        <v>6330.2402945312497</v>
      </c>
      <c r="M25" s="47">
        <v>11079.444184374999</v>
      </c>
      <c r="N25" s="47">
        <v>11546.7651765625</v>
      </c>
      <c r="O25" s="47">
        <v>11857.857831249999</v>
      </c>
      <c r="P25" s="47">
        <v>19213.915721289064</v>
      </c>
      <c r="Q25" s="47">
        <v>6541.3282515624996</v>
      </c>
      <c r="R25" s="47">
        <v>6541.3282515624996</v>
      </c>
      <c r="S25" s="47">
        <v>6069.5595703125</v>
      </c>
      <c r="T25" s="45">
        <v>0</v>
      </c>
      <c r="U25" s="46">
        <v>5160.9393843750004</v>
      </c>
      <c r="V25" s="46">
        <v>0</v>
      </c>
      <c r="W25" s="46">
        <v>0</v>
      </c>
      <c r="X25" s="46">
        <v>7978.4611453124999</v>
      </c>
      <c r="Y25" s="46">
        <v>11967.691641406251</v>
      </c>
      <c r="Z25" s="46">
        <v>0</v>
      </c>
      <c r="AA25" s="46">
        <v>0</v>
      </c>
      <c r="AB25" s="46">
        <v>0</v>
      </c>
      <c r="AC25" s="45">
        <v>1826.76415</v>
      </c>
      <c r="AD25" s="46">
        <v>3653.5281249999998</v>
      </c>
      <c r="AE25" s="46">
        <v>1826.76415</v>
      </c>
      <c r="AF25" s="46">
        <v>1826.76415</v>
      </c>
      <c r="AG25" s="46">
        <v>16530.051715624999</v>
      </c>
      <c r="AH25" s="46">
        <v>23881.695821875001</v>
      </c>
      <c r="AI25" s="46">
        <v>1826.76415</v>
      </c>
      <c r="AJ25" s="46">
        <v>1826.76415</v>
      </c>
      <c r="AK25" s="46">
        <v>913.38178749999997</v>
      </c>
      <c r="AM25" s="48"/>
      <c r="AN25" s="43">
        <v>2045</v>
      </c>
      <c r="AO25" s="45">
        <v>1975.2958181640627</v>
      </c>
      <c r="AP25" s="46">
        <v>1813.7902537109376</v>
      </c>
      <c r="AQ25" s="46">
        <v>3447.0689443359379</v>
      </c>
      <c r="AR25" s="46">
        <v>2940.4692400390627</v>
      </c>
      <c r="AS25" s="46">
        <v>3562.3538878906252</v>
      </c>
      <c r="AT25" s="46">
        <v>6041.731883056641</v>
      </c>
      <c r="AU25" s="46">
        <v>1884.3883337890627</v>
      </c>
      <c r="AV25" s="46">
        <v>1884.3883337890627</v>
      </c>
      <c r="AW25" s="46">
        <v>1599.9603324218751</v>
      </c>
      <c r="AX25" s="45">
        <v>724.66913164062498</v>
      </c>
      <c r="AY25" s="49">
        <v>720.19866367187501</v>
      </c>
      <c r="AZ25" s="49">
        <v>1039.9796914062499</v>
      </c>
      <c r="BA25" s="49">
        <v>1296.9645543945312</v>
      </c>
      <c r="BB25" s="49">
        <v>1350.7795592773437</v>
      </c>
      <c r="BC25" s="49">
        <v>2256.4862347656249</v>
      </c>
      <c r="BD25" s="49">
        <v>706.07571601562495</v>
      </c>
      <c r="BE25" s="49">
        <v>706.07571601562495</v>
      </c>
      <c r="BF25" s="49">
        <v>665.30664804687501</v>
      </c>
      <c r="BG25" s="45">
        <v>0</v>
      </c>
      <c r="BH25" s="46">
        <v>219.23210273437499</v>
      </c>
      <c r="BI25" s="46">
        <v>0</v>
      </c>
      <c r="BJ25" s="46">
        <v>0</v>
      </c>
      <c r="BK25" s="46">
        <v>402.20932270507814</v>
      </c>
      <c r="BL25" s="46">
        <v>603.31398693847655</v>
      </c>
      <c r="BM25" s="46">
        <v>0</v>
      </c>
      <c r="BN25" s="46">
        <v>0</v>
      </c>
      <c r="BO25" s="46">
        <v>0</v>
      </c>
      <c r="BP25" s="45">
        <v>136.89676757812501</v>
      </c>
      <c r="BQ25" s="46">
        <v>273.79351152343747</v>
      </c>
      <c r="BR25" s="46">
        <v>136.89676757812501</v>
      </c>
      <c r="BS25" s="46">
        <v>136.89676757812501</v>
      </c>
      <c r="BT25" s="46">
        <v>806.670802734375</v>
      </c>
      <c r="BU25" s="46">
        <v>1141.5578232421874</v>
      </c>
      <c r="BV25" s="46">
        <v>136.89676757812501</v>
      </c>
      <c r="BW25" s="46">
        <v>136.89676757812501</v>
      </c>
      <c r="BX25" s="46">
        <v>68.448394921875007</v>
      </c>
    </row>
    <row r="26" spans="1:76" x14ac:dyDescent="0.25">
      <c r="A26" s="43">
        <v>2046</v>
      </c>
      <c r="B26" s="45">
        <v>10676.632817187501</v>
      </c>
      <c r="C26" s="46">
        <v>10207.41297890625</v>
      </c>
      <c r="D26" s="46">
        <v>19717.817203125</v>
      </c>
      <c r="E26" s="46">
        <v>13921.380667187501</v>
      </c>
      <c r="F26" s="46">
        <v>17173.425497656252</v>
      </c>
      <c r="G26" s="46">
        <v>35223.867396679692</v>
      </c>
      <c r="H26" s="46">
        <v>10119.632814062501</v>
      </c>
      <c r="I26" s="46">
        <v>10119.632814062501</v>
      </c>
      <c r="J26" s="46">
        <v>8330.1996500000005</v>
      </c>
      <c r="K26" s="45">
        <v>6961.973096875</v>
      </c>
      <c r="L26" s="47">
        <v>6474.0173562500004</v>
      </c>
      <c r="M26" s="47">
        <v>11389.085731249999</v>
      </c>
      <c r="N26" s="47">
        <v>11868.269364843751</v>
      </c>
      <c r="O26" s="47">
        <v>12361.0332984375</v>
      </c>
      <c r="P26" s="47">
        <v>19925.819596093748</v>
      </c>
      <c r="Q26" s="47">
        <v>6689.0773859375004</v>
      </c>
      <c r="R26" s="47">
        <v>6689.0773859375004</v>
      </c>
      <c r="S26" s="47">
        <v>6196.6760921875002</v>
      </c>
      <c r="T26" s="45">
        <v>0</v>
      </c>
      <c r="U26" s="46">
        <v>5338.6185859375</v>
      </c>
      <c r="V26" s="46">
        <v>0</v>
      </c>
      <c r="W26" s="46">
        <v>0</v>
      </c>
      <c r="X26" s="46">
        <v>8364.1048874999997</v>
      </c>
      <c r="Y26" s="46">
        <v>12546.157273046874</v>
      </c>
      <c r="Z26" s="46">
        <v>0</v>
      </c>
      <c r="AA26" s="46">
        <v>0</v>
      </c>
      <c r="AB26" s="46">
        <v>0</v>
      </c>
      <c r="AC26" s="45">
        <v>1818.2075875</v>
      </c>
      <c r="AD26" s="46">
        <v>3636.4146062499999</v>
      </c>
      <c r="AE26" s="46">
        <v>1818.2075875</v>
      </c>
      <c r="AF26" s="46">
        <v>1818.2075875</v>
      </c>
      <c r="AG26" s="46">
        <v>17070.965274999999</v>
      </c>
      <c r="AH26" s="46">
        <v>24697.3443515625</v>
      </c>
      <c r="AI26" s="46">
        <v>1818.2075875</v>
      </c>
      <c r="AJ26" s="46">
        <v>1818.2075875</v>
      </c>
      <c r="AK26" s="46">
        <v>909.10369375000005</v>
      </c>
      <c r="AM26" s="48"/>
      <c r="AN26" s="43">
        <v>2046</v>
      </c>
      <c r="AO26" s="45">
        <v>2061.7213755859375</v>
      </c>
      <c r="AP26" s="46">
        <v>1906.6834722656251</v>
      </c>
      <c r="AQ26" s="46">
        <v>3611.2436623046879</v>
      </c>
      <c r="AR26" s="46">
        <v>3062.9972736328127</v>
      </c>
      <c r="AS26" s="46">
        <v>3721.9272306640628</v>
      </c>
      <c r="AT26" s="46">
        <v>6270.0696210205078</v>
      </c>
      <c r="AU26" s="46">
        <v>1971.2960404296875</v>
      </c>
      <c r="AV26" s="46">
        <v>1971.2960404296875</v>
      </c>
      <c r="AW26" s="46">
        <v>1678.4815818359375</v>
      </c>
      <c r="AX26" s="45">
        <v>739.86663671874999</v>
      </c>
      <c r="AY26" s="49">
        <v>734.99228281249998</v>
      </c>
      <c r="AZ26" s="49">
        <v>1071.8143695312499</v>
      </c>
      <c r="BA26" s="49">
        <v>1337.5666681640625</v>
      </c>
      <c r="BB26" s="49">
        <v>1412.8841581054687</v>
      </c>
      <c r="BC26" s="49">
        <v>2344.1670298339845</v>
      </c>
      <c r="BD26" s="49">
        <v>721.34019609375002</v>
      </c>
      <c r="BE26" s="49">
        <v>721.34019609375002</v>
      </c>
      <c r="BF26" s="49">
        <v>679.00765742187502</v>
      </c>
      <c r="BG26" s="45">
        <v>0</v>
      </c>
      <c r="BH26" s="46">
        <v>226.46045009765626</v>
      </c>
      <c r="BI26" s="46">
        <v>0</v>
      </c>
      <c r="BJ26" s="46">
        <v>0</v>
      </c>
      <c r="BK26" s="46">
        <v>417.26412714843752</v>
      </c>
      <c r="BL26" s="46">
        <v>625.89620239257818</v>
      </c>
      <c r="BM26" s="46">
        <v>0</v>
      </c>
      <c r="BN26" s="46">
        <v>0</v>
      </c>
      <c r="BO26" s="46">
        <v>0</v>
      </c>
      <c r="BP26" s="45">
        <v>137.83168437500001</v>
      </c>
      <c r="BQ26" s="46">
        <v>275.66337988281248</v>
      </c>
      <c r="BR26" s="46">
        <v>137.83168437500001</v>
      </c>
      <c r="BS26" s="46">
        <v>137.83168437500001</v>
      </c>
      <c r="BT26" s="46">
        <v>831.10716708984376</v>
      </c>
      <c r="BU26" s="46">
        <v>1177.7448937988281</v>
      </c>
      <c r="BV26" s="46">
        <v>137.83168437500001</v>
      </c>
      <c r="BW26" s="46">
        <v>137.83168437500001</v>
      </c>
      <c r="BX26" s="46">
        <v>68.915851171875005</v>
      </c>
    </row>
    <row r="27" spans="1:76" x14ac:dyDescent="0.25">
      <c r="A27" s="43">
        <v>2047</v>
      </c>
      <c r="B27" s="45">
        <v>11070.945010156251</v>
      </c>
      <c r="C27" s="46">
        <v>10691.3930953125</v>
      </c>
      <c r="D27" s="46">
        <v>20403.92584765625</v>
      </c>
      <c r="E27" s="46">
        <v>14328.932292187501</v>
      </c>
      <c r="F27" s="46">
        <v>17840.64122265625</v>
      </c>
      <c r="G27" s="46">
        <v>35683.062384179691</v>
      </c>
      <c r="H27" s="46">
        <v>10524.60120703125</v>
      </c>
      <c r="I27" s="46">
        <v>10524.60120703125</v>
      </c>
      <c r="J27" s="46">
        <v>8700.1551320312501</v>
      </c>
      <c r="K27" s="45">
        <v>7105.2509671874996</v>
      </c>
      <c r="L27" s="47">
        <v>6617.0058960937504</v>
      </c>
      <c r="M27" s="47">
        <v>11692.719360937501</v>
      </c>
      <c r="N27" s="47">
        <v>12184.8041265625</v>
      </c>
      <c r="O27" s="47">
        <v>12861.794131250001</v>
      </c>
      <c r="P27" s="47">
        <v>20339.571737499999</v>
      </c>
      <c r="Q27" s="47">
        <v>6835.2355187499998</v>
      </c>
      <c r="R27" s="47">
        <v>6835.2355187499998</v>
      </c>
      <c r="S27" s="47">
        <v>6323.0896484374998</v>
      </c>
      <c r="T27" s="45">
        <v>0</v>
      </c>
      <c r="U27" s="46">
        <v>5517.9689875000004</v>
      </c>
      <c r="V27" s="46">
        <v>0</v>
      </c>
      <c r="W27" s="46">
        <v>0</v>
      </c>
      <c r="X27" s="46">
        <v>8753.2621101562509</v>
      </c>
      <c r="Y27" s="46">
        <v>13129.893162890625</v>
      </c>
      <c r="Z27" s="46">
        <v>0</v>
      </c>
      <c r="AA27" s="46">
        <v>0</v>
      </c>
      <c r="AB27" s="46">
        <v>0</v>
      </c>
      <c r="AC27" s="45">
        <v>1815.16838125</v>
      </c>
      <c r="AD27" s="46">
        <v>3630.3375124999998</v>
      </c>
      <c r="AE27" s="46">
        <v>1815.16838125</v>
      </c>
      <c r="AF27" s="46">
        <v>1815.16838125</v>
      </c>
      <c r="AG27" s="46">
        <v>17607.531212499998</v>
      </c>
      <c r="AH27" s="46">
        <v>25503.7125734375</v>
      </c>
      <c r="AI27" s="46">
        <v>1815.16838125</v>
      </c>
      <c r="AJ27" s="46">
        <v>1815.16838125</v>
      </c>
      <c r="AK27" s="46">
        <v>907.58410000000003</v>
      </c>
      <c r="AM27" s="48"/>
      <c r="AN27" s="43">
        <v>2047</v>
      </c>
      <c r="AO27" s="45">
        <v>2147.4772722656253</v>
      </c>
      <c r="AP27" s="46">
        <v>1997.3144947265625</v>
      </c>
      <c r="AQ27" s="46">
        <v>3773.7664625000002</v>
      </c>
      <c r="AR27" s="46">
        <v>3184.0116501953125</v>
      </c>
      <c r="AS27" s="46">
        <v>3879.9427515625002</v>
      </c>
      <c r="AT27" s="46">
        <v>6398.2681904785159</v>
      </c>
      <c r="AU27" s="46">
        <v>2057.541230859375</v>
      </c>
      <c r="AV27" s="46">
        <v>2057.541230859375</v>
      </c>
      <c r="AW27" s="46">
        <v>1756.7518445312501</v>
      </c>
      <c r="AX27" s="45">
        <v>755.00658378906246</v>
      </c>
      <c r="AY27" s="49">
        <v>749.72725800781245</v>
      </c>
      <c r="AZ27" s="49">
        <v>1103.5398927734375</v>
      </c>
      <c r="BA27" s="49">
        <v>1377.7551677734375</v>
      </c>
      <c r="BB27" s="49">
        <v>1474.762767578125</v>
      </c>
      <c r="BC27" s="49">
        <v>2395.2816478515624</v>
      </c>
      <c r="BD27" s="49">
        <v>736.54735019531245</v>
      </c>
      <c r="BE27" s="49">
        <v>736.54735019531245</v>
      </c>
      <c r="BF27" s="49">
        <v>692.75429082031246</v>
      </c>
      <c r="BG27" s="45">
        <v>0</v>
      </c>
      <c r="BH27" s="46">
        <v>233.58742568359375</v>
      </c>
      <c r="BI27" s="46">
        <v>0</v>
      </c>
      <c r="BJ27" s="46">
        <v>0</v>
      </c>
      <c r="BK27" s="46">
        <v>432.14130532226562</v>
      </c>
      <c r="BL27" s="46">
        <v>648.2119584472656</v>
      </c>
      <c r="BM27" s="46">
        <v>0</v>
      </c>
      <c r="BN27" s="46">
        <v>0</v>
      </c>
      <c r="BO27" s="46">
        <v>0</v>
      </c>
      <c r="BP27" s="45">
        <v>138.58054453125001</v>
      </c>
      <c r="BQ27" s="46">
        <v>277.16104824218752</v>
      </c>
      <c r="BR27" s="46">
        <v>138.58054453125001</v>
      </c>
      <c r="BS27" s="46">
        <v>138.58054453125001</v>
      </c>
      <c r="BT27" s="46">
        <v>855.0201127929688</v>
      </c>
      <c r="BU27" s="46">
        <v>1213.2399113769532</v>
      </c>
      <c r="BV27" s="46">
        <v>138.58054453125001</v>
      </c>
      <c r="BW27" s="46">
        <v>138.58054453125001</v>
      </c>
      <c r="BX27" s="46">
        <v>69.290283984374994</v>
      </c>
    </row>
    <row r="28" spans="1:76" x14ac:dyDescent="0.25">
      <c r="A28" s="43">
        <v>2048</v>
      </c>
      <c r="B28" s="45">
        <v>11547.03713828125</v>
      </c>
      <c r="C28" s="46">
        <v>11230.8849625</v>
      </c>
      <c r="D28" s="46">
        <v>21261.265397656251</v>
      </c>
      <c r="E28" s="46">
        <v>14828.575153906251</v>
      </c>
      <c r="F28" s="46">
        <v>18618.9616828125</v>
      </c>
      <c r="G28" s="46">
        <v>35796.482765332032</v>
      </c>
      <c r="H28" s="46">
        <v>11005.98931328125</v>
      </c>
      <c r="I28" s="46">
        <v>11005.98931328125</v>
      </c>
      <c r="J28" s="46">
        <v>9139.5117726562512</v>
      </c>
      <c r="K28" s="45">
        <v>7295.7349249999997</v>
      </c>
      <c r="L28" s="47">
        <v>6800.2369875000004</v>
      </c>
      <c r="M28" s="47">
        <v>12075.481671875001</v>
      </c>
      <c r="N28" s="47">
        <v>12571.639713281251</v>
      </c>
      <c r="O28" s="47">
        <v>13433.80324921875</v>
      </c>
      <c r="P28" s="47">
        <v>20631.940533203124</v>
      </c>
      <c r="Q28" s="47">
        <v>7026.1231125000004</v>
      </c>
      <c r="R28" s="47">
        <v>7026.1231125000004</v>
      </c>
      <c r="S28" s="47">
        <v>6491.0880374999997</v>
      </c>
      <c r="T28" s="45">
        <v>0</v>
      </c>
      <c r="U28" s="46">
        <v>5747.7055203125001</v>
      </c>
      <c r="V28" s="46">
        <v>0</v>
      </c>
      <c r="W28" s="46">
        <v>0</v>
      </c>
      <c r="X28" s="46">
        <v>9215.7871718749993</v>
      </c>
      <c r="Y28" s="46">
        <v>13823.680709765626</v>
      </c>
      <c r="Z28" s="46">
        <v>0</v>
      </c>
      <c r="AA28" s="46">
        <v>0</v>
      </c>
      <c r="AB28" s="46">
        <v>0</v>
      </c>
      <c r="AC28" s="45">
        <v>1812.1147625000001</v>
      </c>
      <c r="AD28" s="46">
        <v>3624.2289500000002</v>
      </c>
      <c r="AE28" s="46">
        <v>1812.1147625000001</v>
      </c>
      <c r="AF28" s="46">
        <v>1812.1147625000001</v>
      </c>
      <c r="AG28" s="46">
        <v>18248.396828125002</v>
      </c>
      <c r="AH28" s="46">
        <v>26466.537958593752</v>
      </c>
      <c r="AI28" s="46">
        <v>1812.1147625000001</v>
      </c>
      <c r="AJ28" s="46">
        <v>1812.1147625000001</v>
      </c>
      <c r="AK28" s="46">
        <v>906.05756874999997</v>
      </c>
      <c r="AM28" s="48"/>
      <c r="AN28" s="43">
        <v>2048</v>
      </c>
      <c r="AO28" s="45">
        <v>2240.9077039062499</v>
      </c>
      <c r="AP28" s="46">
        <v>2096.1762873046878</v>
      </c>
      <c r="AQ28" s="46">
        <v>3936.4068568359376</v>
      </c>
      <c r="AR28" s="46">
        <v>3320.9170404296879</v>
      </c>
      <c r="AS28" s="46">
        <v>4062.4254804687503</v>
      </c>
      <c r="AT28" s="46">
        <v>6486.5456575439457</v>
      </c>
      <c r="AU28" s="46">
        <v>2151.4521531250002</v>
      </c>
      <c r="AV28" s="46">
        <v>2151.4521531250002</v>
      </c>
      <c r="AW28" s="46">
        <v>1840.5441294921875</v>
      </c>
      <c r="AX28" s="45">
        <v>773.19995781249997</v>
      </c>
      <c r="AY28" s="49">
        <v>768.06424433593747</v>
      </c>
      <c r="AZ28" s="49">
        <v>1136.7732007812499</v>
      </c>
      <c r="BA28" s="49">
        <v>1423.3716020507813</v>
      </c>
      <c r="BB28" s="49">
        <v>1543.7933185546874</v>
      </c>
      <c r="BC28" s="49">
        <v>2429.8125020751954</v>
      </c>
      <c r="BD28" s="49">
        <v>754.80412265625</v>
      </c>
      <c r="BE28" s="49">
        <v>754.80412265625</v>
      </c>
      <c r="BF28" s="49">
        <v>709.17073203125005</v>
      </c>
      <c r="BG28" s="45">
        <v>0</v>
      </c>
      <c r="BH28" s="46">
        <v>242.62769169921876</v>
      </c>
      <c r="BI28" s="46">
        <v>0</v>
      </c>
      <c r="BJ28" s="46">
        <v>0</v>
      </c>
      <c r="BK28" s="46">
        <v>450.54975014648437</v>
      </c>
      <c r="BL28" s="46">
        <v>675.82462647705074</v>
      </c>
      <c r="BM28" s="46">
        <v>0</v>
      </c>
      <c r="BN28" s="46">
        <v>0</v>
      </c>
      <c r="BO28" s="46">
        <v>0</v>
      </c>
      <c r="BP28" s="45">
        <v>139.96193710937499</v>
      </c>
      <c r="BQ28" s="46">
        <v>279.92389785156251</v>
      </c>
      <c r="BR28" s="46">
        <v>139.96193710937499</v>
      </c>
      <c r="BS28" s="46">
        <v>139.96193710937499</v>
      </c>
      <c r="BT28" s="46">
        <v>883.86925888671874</v>
      </c>
      <c r="BU28" s="46">
        <v>1255.8229106933593</v>
      </c>
      <c r="BV28" s="46">
        <v>139.96193710937499</v>
      </c>
      <c r="BW28" s="46">
        <v>139.96193710937499</v>
      </c>
      <c r="BX28" s="46">
        <v>69.980983203125007</v>
      </c>
    </row>
    <row r="29" spans="1:76" x14ac:dyDescent="0.25">
      <c r="A29" s="43">
        <v>2049</v>
      </c>
      <c r="B29" s="45">
        <v>11842.379971875</v>
      </c>
      <c r="C29" s="46">
        <v>11632.47816875</v>
      </c>
      <c r="D29" s="46">
        <v>21749.545659375002</v>
      </c>
      <c r="E29" s="46">
        <v>15083.174585937501</v>
      </c>
      <c r="F29" s="46">
        <v>19169.34313125</v>
      </c>
      <c r="G29" s="46">
        <v>35472.473891210939</v>
      </c>
      <c r="H29" s="46">
        <v>11345.076796875001</v>
      </c>
      <c r="I29" s="46">
        <v>11345.076796875001</v>
      </c>
      <c r="J29" s="46">
        <v>9459.730184375001</v>
      </c>
      <c r="K29" s="45">
        <v>7365.9904531250004</v>
      </c>
      <c r="L29" s="47">
        <v>6886.1395890624999</v>
      </c>
      <c r="M29" s="47">
        <v>12235.4069578125</v>
      </c>
      <c r="N29" s="47">
        <v>12790.69298671875</v>
      </c>
      <c r="O29" s="47">
        <v>13855.570307812501</v>
      </c>
      <c r="P29" s="47">
        <v>20690.919624999999</v>
      </c>
      <c r="Q29" s="47">
        <v>7115.0857953124996</v>
      </c>
      <c r="R29" s="47">
        <v>7115.0857953124996</v>
      </c>
      <c r="S29" s="47">
        <v>6565.8159765624996</v>
      </c>
      <c r="T29" s="45">
        <v>0</v>
      </c>
      <c r="U29" s="46">
        <v>5881.7816593750003</v>
      </c>
      <c r="V29" s="46">
        <v>0</v>
      </c>
      <c r="W29" s="46">
        <v>0</v>
      </c>
      <c r="X29" s="46">
        <v>9542.2153617187505</v>
      </c>
      <c r="Y29" s="46">
        <v>14313.323162890625</v>
      </c>
      <c r="Z29" s="46">
        <v>0</v>
      </c>
      <c r="AA29" s="46">
        <v>0</v>
      </c>
      <c r="AB29" s="46">
        <v>0</v>
      </c>
      <c r="AC29" s="45">
        <v>1791.1952375000001</v>
      </c>
      <c r="AD29" s="46">
        <v>3582.3899187500001</v>
      </c>
      <c r="AE29" s="46">
        <v>1791.1952375000001</v>
      </c>
      <c r="AF29" s="46">
        <v>1791.1952375000001</v>
      </c>
      <c r="AG29" s="46">
        <v>18651.944234375002</v>
      </c>
      <c r="AH29" s="46">
        <v>27082.318803124999</v>
      </c>
      <c r="AI29" s="46">
        <v>1791.1952375000001</v>
      </c>
      <c r="AJ29" s="46">
        <v>1791.1952375000001</v>
      </c>
      <c r="AK29" s="46">
        <v>895.59743125</v>
      </c>
      <c r="AM29" s="48"/>
      <c r="AN29" s="43">
        <v>2049</v>
      </c>
      <c r="AO29" s="45">
        <v>2305.999238671875</v>
      </c>
      <c r="AP29" s="46">
        <v>2167.4749535156252</v>
      </c>
      <c r="AQ29" s="46">
        <v>4043.6873441406251</v>
      </c>
      <c r="AR29" s="46">
        <v>3411.6012712890629</v>
      </c>
      <c r="AS29" s="46">
        <v>4191.675434570313</v>
      </c>
      <c r="AT29" s="46">
        <v>6492.1513811523437</v>
      </c>
      <c r="AU29" s="46">
        <v>2219.739942578125</v>
      </c>
      <c r="AV29" s="46">
        <v>2219.739942578125</v>
      </c>
      <c r="AW29" s="46">
        <v>1903.3612257812501</v>
      </c>
      <c r="AX29" s="45">
        <v>780.94968027343748</v>
      </c>
      <c r="AY29" s="49">
        <v>776.66736953124996</v>
      </c>
      <c r="AZ29" s="49">
        <v>1154.2224279296875</v>
      </c>
      <c r="BA29" s="49">
        <v>1454.2398053710938</v>
      </c>
      <c r="BB29" s="49">
        <v>1597.9491051757811</v>
      </c>
      <c r="BC29" s="49">
        <v>2439.292260107422</v>
      </c>
      <c r="BD29" s="49">
        <v>764.12052597656248</v>
      </c>
      <c r="BE29" s="49">
        <v>764.12052597656248</v>
      </c>
      <c r="BF29" s="49">
        <v>717.60147988281255</v>
      </c>
      <c r="BG29" s="45">
        <v>0</v>
      </c>
      <c r="BH29" s="46">
        <v>247.56662246093751</v>
      </c>
      <c r="BI29" s="46">
        <v>0</v>
      </c>
      <c r="BJ29" s="46">
        <v>0</v>
      </c>
      <c r="BK29" s="46">
        <v>461.34518652343752</v>
      </c>
      <c r="BL29" s="46">
        <v>692.01777061767575</v>
      </c>
      <c r="BM29" s="46">
        <v>0</v>
      </c>
      <c r="BN29" s="46">
        <v>0</v>
      </c>
      <c r="BO29" s="46">
        <v>0</v>
      </c>
      <c r="BP29" s="45">
        <v>139.6971806640625</v>
      </c>
      <c r="BQ29" s="46">
        <v>279.39430058593751</v>
      </c>
      <c r="BR29" s="46">
        <v>139.6971806640625</v>
      </c>
      <c r="BS29" s="46">
        <v>139.6971806640625</v>
      </c>
      <c r="BT29" s="46">
        <v>901.41270585937502</v>
      </c>
      <c r="BU29" s="46">
        <v>1282.2704850585937</v>
      </c>
      <c r="BV29" s="46">
        <v>139.6971806640625</v>
      </c>
      <c r="BW29" s="46">
        <v>139.6971806640625</v>
      </c>
      <c r="BX29" s="46">
        <v>69.848574609375007</v>
      </c>
    </row>
    <row r="30" spans="1:76" x14ac:dyDescent="0.25">
      <c r="A30" s="43">
        <v>2050</v>
      </c>
      <c r="B30" s="45">
        <v>12159.876721093751</v>
      </c>
      <c r="C30" s="46">
        <v>12093.160487109375</v>
      </c>
      <c r="D30" s="46">
        <v>22170.430919531253</v>
      </c>
      <c r="E30" s="46">
        <v>15348.910285937502</v>
      </c>
      <c r="F30" s="46">
        <v>19819.654985937501</v>
      </c>
      <c r="G30" s="46">
        <v>35359.271881445311</v>
      </c>
      <c r="H30" s="46">
        <v>11782.66713671875</v>
      </c>
      <c r="I30" s="46">
        <v>11782.66713671875</v>
      </c>
      <c r="J30" s="46">
        <v>9872.1552851562501</v>
      </c>
      <c r="K30" s="45">
        <v>7456.2036796875</v>
      </c>
      <c r="L30" s="47">
        <v>7004.1254062500002</v>
      </c>
      <c r="M30" s="47">
        <v>12428.570115625</v>
      </c>
      <c r="N30" s="47">
        <v>13052.518149218749</v>
      </c>
      <c r="O30" s="47">
        <v>14346.737046875</v>
      </c>
      <c r="P30" s="47">
        <v>20863.481573632813</v>
      </c>
      <c r="Q30" s="47">
        <v>7243.9591531249998</v>
      </c>
      <c r="R30" s="47">
        <v>7243.9591531249998</v>
      </c>
      <c r="S30" s="47">
        <v>6674.8557765625001</v>
      </c>
      <c r="T30" s="45">
        <v>0</v>
      </c>
      <c r="U30" s="46">
        <v>6066.2885156250004</v>
      </c>
      <c r="V30" s="46">
        <v>0</v>
      </c>
      <c r="W30" s="46">
        <v>0</v>
      </c>
      <c r="X30" s="46">
        <v>9942.0560921875003</v>
      </c>
      <c r="Y30" s="46">
        <v>14913.084155078124</v>
      </c>
      <c r="Z30" s="46">
        <v>0</v>
      </c>
      <c r="AA30" s="46">
        <v>0</v>
      </c>
      <c r="AB30" s="46">
        <v>0</v>
      </c>
      <c r="AC30" s="45">
        <v>1780.4831937500001</v>
      </c>
      <c r="AD30" s="46">
        <v>3560.96695</v>
      </c>
      <c r="AE30" s="46">
        <v>1780.4831937500001</v>
      </c>
      <c r="AF30" s="46">
        <v>1780.4831937500001</v>
      </c>
      <c r="AG30" s="46">
        <v>19164.775693750002</v>
      </c>
      <c r="AH30" s="46">
        <v>27856.921970312502</v>
      </c>
      <c r="AI30" s="46">
        <v>1780.4831937500001</v>
      </c>
      <c r="AJ30" s="46">
        <v>1780.4831937500001</v>
      </c>
      <c r="AK30" s="46">
        <v>890.24150625000004</v>
      </c>
      <c r="AM30" s="48"/>
      <c r="AN30" s="43">
        <v>2050</v>
      </c>
      <c r="AO30" s="45">
        <v>2387.5081044921876</v>
      </c>
      <c r="AP30" s="46">
        <v>2252.5493289062501</v>
      </c>
      <c r="AQ30" s="46">
        <v>4201.9647265624999</v>
      </c>
      <c r="AR30" s="46">
        <v>3520.3927177734377</v>
      </c>
      <c r="AS30" s="46">
        <v>4345.8040428710938</v>
      </c>
      <c r="AT30" s="46">
        <v>6538.5941251220702</v>
      </c>
      <c r="AU30" s="46">
        <v>2311.3133318359378</v>
      </c>
      <c r="AV30" s="46">
        <v>2311.3133318359378</v>
      </c>
      <c r="AW30" s="46">
        <v>1987.8548458984376</v>
      </c>
      <c r="AX30" s="45">
        <v>792.60932968750001</v>
      </c>
      <c r="AY30" s="49">
        <v>789.60304609374998</v>
      </c>
      <c r="AZ30" s="49">
        <v>1181.87396171875</v>
      </c>
      <c r="BA30" s="49">
        <v>1490.8685692382812</v>
      </c>
      <c r="BB30" s="49">
        <v>1659.3504822265625</v>
      </c>
      <c r="BC30" s="49">
        <v>2461.5093956787109</v>
      </c>
      <c r="BD30" s="49">
        <v>779.52894140625006</v>
      </c>
      <c r="BE30" s="49">
        <v>779.52894140625006</v>
      </c>
      <c r="BF30" s="49">
        <v>731.67154257812501</v>
      </c>
      <c r="BG30" s="45">
        <v>0</v>
      </c>
      <c r="BH30" s="46">
        <v>254.42800375976563</v>
      </c>
      <c r="BI30" s="46">
        <v>0</v>
      </c>
      <c r="BJ30" s="46">
        <v>0</v>
      </c>
      <c r="BK30" s="46">
        <v>475.6647267578125</v>
      </c>
      <c r="BL30" s="46">
        <v>713.4970940429688</v>
      </c>
      <c r="BM30" s="46">
        <v>0</v>
      </c>
      <c r="BN30" s="46">
        <v>0</v>
      </c>
      <c r="BO30" s="46">
        <v>0</v>
      </c>
      <c r="BP30" s="45">
        <v>140.109598828125</v>
      </c>
      <c r="BQ30" s="46">
        <v>280.21916230468747</v>
      </c>
      <c r="BR30" s="46">
        <v>140.109598828125</v>
      </c>
      <c r="BS30" s="46">
        <v>140.109598828125</v>
      </c>
      <c r="BT30" s="46">
        <v>923.93359033203126</v>
      </c>
      <c r="BU30" s="46">
        <v>1315.8456018798829</v>
      </c>
      <c r="BV30" s="46">
        <v>140.109598828125</v>
      </c>
      <c r="BW30" s="46">
        <v>140.109598828125</v>
      </c>
      <c r="BX30" s="46">
        <v>70.054823437500005</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849AD-A141-4A6F-AA76-85D4927EFD10}">
  <sheetPr>
    <tabColor rgb="FF0070C0"/>
  </sheetPr>
  <dimension ref="A1:BG32"/>
  <sheetViews>
    <sheetView topLeftCell="AM1" workbookViewId="0">
      <selection activeCell="AU34" sqref="AU34"/>
    </sheetView>
  </sheetViews>
  <sheetFormatPr defaultRowHeight="15" x14ac:dyDescent="0.25"/>
  <cols>
    <col min="1" max="1" width="8.28515625" customWidth="1"/>
    <col min="3" max="3" width="11.28515625" style="187" bestFit="1" customWidth="1"/>
    <col min="4" max="8" width="9.140625" style="187"/>
  </cols>
  <sheetData>
    <row r="1" spans="1:59" x14ac:dyDescent="0.25">
      <c r="A1" t="s">
        <v>79</v>
      </c>
      <c r="B1" t="s">
        <v>242</v>
      </c>
      <c r="C1" s="187" t="s">
        <v>520</v>
      </c>
      <c r="D1" s="187" t="s">
        <v>521</v>
      </c>
      <c r="E1" s="187" t="s">
        <v>522</v>
      </c>
      <c r="F1" s="187" t="s">
        <v>523</v>
      </c>
      <c r="G1" s="187" t="s">
        <v>524</v>
      </c>
      <c r="H1" s="187" t="s">
        <v>525</v>
      </c>
      <c r="I1" s="187" t="s">
        <v>526</v>
      </c>
      <c r="J1" s="187"/>
      <c r="K1" t="s">
        <v>242</v>
      </c>
      <c r="L1" t="s">
        <v>520</v>
      </c>
      <c r="M1" t="s">
        <v>94</v>
      </c>
      <c r="N1" t="s">
        <v>98</v>
      </c>
      <c r="O1" t="s">
        <v>99</v>
      </c>
      <c r="P1" t="s">
        <v>100</v>
      </c>
      <c r="Q1" t="s">
        <v>101</v>
      </c>
      <c r="R1" t="s">
        <v>102</v>
      </c>
      <c r="S1" t="s">
        <v>103</v>
      </c>
      <c r="T1" t="s">
        <v>104</v>
      </c>
      <c r="U1" t="s">
        <v>105</v>
      </c>
      <c r="V1" t="s">
        <v>106</v>
      </c>
      <c r="W1" t="s">
        <v>521</v>
      </c>
      <c r="X1" t="s">
        <v>242</v>
      </c>
      <c r="Y1" t="s">
        <v>94</v>
      </c>
      <c r="Z1" t="s">
        <v>98</v>
      </c>
      <c r="AA1" t="s">
        <v>99</v>
      </c>
      <c r="AB1" t="s">
        <v>100</v>
      </c>
      <c r="AC1" t="s">
        <v>101</v>
      </c>
      <c r="AD1" t="s">
        <v>102</v>
      </c>
      <c r="AE1" t="s">
        <v>103</v>
      </c>
      <c r="AF1" t="s">
        <v>104</v>
      </c>
      <c r="AG1" t="s">
        <v>105</v>
      </c>
      <c r="AH1" t="s">
        <v>106</v>
      </c>
      <c r="AJ1" t="s">
        <v>242</v>
      </c>
      <c r="AK1" t="s">
        <v>523</v>
      </c>
      <c r="AL1" t="s">
        <v>94</v>
      </c>
      <c r="AM1" t="s">
        <v>98</v>
      </c>
      <c r="AN1" t="s">
        <v>99</v>
      </c>
      <c r="AO1" t="s">
        <v>100</v>
      </c>
      <c r="AP1" t="s">
        <v>101</v>
      </c>
      <c r="AQ1" t="s">
        <v>102</v>
      </c>
      <c r="AR1" t="s">
        <v>103</v>
      </c>
      <c r="AS1" t="s">
        <v>104</v>
      </c>
      <c r="AT1" t="s">
        <v>105</v>
      </c>
      <c r="AU1" t="s">
        <v>106</v>
      </c>
      <c r="AV1" t="s">
        <v>524</v>
      </c>
      <c r="AW1" t="s">
        <v>242</v>
      </c>
      <c r="AX1" t="s">
        <v>94</v>
      </c>
      <c r="AY1" t="s">
        <v>98</v>
      </c>
      <c r="AZ1" t="s">
        <v>99</v>
      </c>
      <c r="BA1" t="s">
        <v>100</v>
      </c>
      <c r="BB1" t="s">
        <v>101</v>
      </c>
      <c r="BC1" t="s">
        <v>102</v>
      </c>
      <c r="BD1" t="s">
        <v>103</v>
      </c>
      <c r="BE1" t="s">
        <v>104</v>
      </c>
      <c r="BF1" t="s">
        <v>105</v>
      </c>
      <c r="BG1" t="s">
        <v>106</v>
      </c>
    </row>
    <row r="2" spans="1:59" x14ac:dyDescent="0.25">
      <c r="A2">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2">
        <v>2022</v>
      </c>
      <c r="C2" s="187">
        <f t="array" ref="C2:C30">INDEX($N$2:$V$30,$B2-2022,$A$2)</f>
        <v>633305.02679604117</v>
      </c>
      <c r="D2" s="187">
        <f t="array" ref="D2:D30">INDEX($Z$2:$AH$30,$B2-2022,$A$2)</f>
        <v>60215.080223247081</v>
      </c>
      <c r="E2" s="187">
        <f>C2+D2</f>
        <v>693520.10701928823</v>
      </c>
      <c r="F2" s="187">
        <f t="array" ref="F2:F30">INDEX($AM$2:$AU$30,$B2-2022,$A$2)</f>
        <v>87132.058315087561</v>
      </c>
      <c r="G2" s="187">
        <f t="array" ref="G2:G30">INDEX($AY$2:$BG$30,$B2-2022,$A$2)</f>
        <v>7418.9937229640291</v>
      </c>
      <c r="H2" s="187">
        <f>F2+G2</f>
        <v>94551.052038051595</v>
      </c>
      <c r="I2" s="9">
        <f>M2+Y2+AL2+AX2</f>
        <v>788071.15905733989</v>
      </c>
      <c r="K2">
        <v>2022</v>
      </c>
      <c r="M2" s="9">
        <f>'[2]OR-Res-Existing Cust'!SO4+SUM('[2]OR-Res-Cust Growth'!SQ$3:SQ3)</f>
        <v>633305.02679604117</v>
      </c>
      <c r="N2" s="9">
        <f>'[2]OR-Res-Existing Cust'!SP4+SUM('[2]OR-Res-Cust Growth'!SR$3:SR3)</f>
        <v>633305.02679604117</v>
      </c>
      <c r="O2" s="9">
        <f>'[2]OR-Res-Existing Cust'!SQ4+SUM('[2]OR-Res-Cust Growth'!SS$3:SS3)</f>
        <v>633305.02679604117</v>
      </c>
      <c r="P2" s="9">
        <f>'[2]OR-Res-Existing Cust'!SR4+SUM('[2]OR-Res-Cust Growth'!ST$3:ST3)</f>
        <v>633305.02679604117</v>
      </c>
      <c r="Q2" s="9">
        <f>'[2]OR-Res-Existing Cust'!SS4+SUM('[2]OR-Res-Cust Growth'!SU$3:SU3)</f>
        <v>633305.02679604117</v>
      </c>
      <c r="R2" s="9">
        <f>'[2]OR-Res-Existing Cust'!ST4+SUM('[2]OR-Res-Cust Growth'!SV$3:SV3)</f>
        <v>633305.02679604117</v>
      </c>
      <c r="S2" s="9">
        <f>'[2]OR-Res-Existing Cust'!SU4+SUM('[2]OR-Res-Cust Growth'!SW$3:SW3)</f>
        <v>633305.02679604117</v>
      </c>
      <c r="T2" s="9">
        <f>'[2]OR-Res-Existing Cust'!SV4+SUM('[2]OR-Res-Cust Growth'!SX$3:SX3)</f>
        <v>633305.02679604117</v>
      </c>
      <c r="U2" s="9">
        <f>'[2]OR-Res-Existing Cust'!SW4+SUM('[2]OR-Res-Cust Growth'!SY$3:SY3)</f>
        <v>633305.02679604117</v>
      </c>
      <c r="V2" s="9">
        <f>'[2]OR-Res-Existing Cust'!SX4+SUM('[2]OR-Res-Cust Growth'!SZ$3:SZ3)</f>
        <v>633305.02679604117</v>
      </c>
      <c r="W2" s="9"/>
      <c r="X2">
        <v>2022</v>
      </c>
      <c r="Y2" s="9">
        <f>'[2]OR-Com-Existing Cust'!SO4+SUM('[2]OR-Com-Cust Growth'!SQ$3:SQ3)</f>
        <v>60215.080223247081</v>
      </c>
      <c r="Z2" s="9">
        <f>'[2]OR-Com-Existing Cust'!SP4+SUM('[2]OR-Com-Cust Growth'!SR$3:SR3)</f>
        <v>60215.080223247081</v>
      </c>
      <c r="AA2" s="9">
        <f>'[2]OR-Com-Existing Cust'!SQ4+SUM('[2]OR-Com-Cust Growth'!SS$3:SS3)</f>
        <v>60215.080223247081</v>
      </c>
      <c r="AB2" s="9">
        <f>'[2]OR-Com-Existing Cust'!SR4+SUM('[2]OR-Com-Cust Growth'!ST$3:ST3)</f>
        <v>60215.080223247081</v>
      </c>
      <c r="AC2" s="9">
        <f>'[2]OR-Com-Existing Cust'!SS4+SUM('[2]OR-Com-Cust Growth'!SU$3:SU3)</f>
        <v>60215.080223247081</v>
      </c>
      <c r="AD2" s="9">
        <f>'[2]OR-Com-Existing Cust'!ST4+SUM('[2]OR-Com-Cust Growth'!SV$3:SV3)</f>
        <v>60215.080223247081</v>
      </c>
      <c r="AE2" s="9">
        <f>'[2]OR-Com-Existing Cust'!SU4+SUM('[2]OR-Com-Cust Growth'!SW$3:SW3)</f>
        <v>60215.080223247081</v>
      </c>
      <c r="AF2" s="9">
        <f>'[2]OR-Com-Existing Cust'!SV4+SUM('[2]OR-Com-Cust Growth'!SX$3:SX3)</f>
        <v>60215.080223247081</v>
      </c>
      <c r="AG2" s="9">
        <f>'[2]OR-Com-Existing Cust'!SW4+SUM('[2]OR-Com-Cust Growth'!SY$3:SY3)</f>
        <v>60215.080223247081</v>
      </c>
      <c r="AH2" s="9">
        <f>'[2]OR-Com-Existing Cust'!SX4+SUM('[2]OR-Com-Cust Growth'!SZ$3:SZ3)</f>
        <v>60215.080223247081</v>
      </c>
      <c r="AI2" s="9"/>
      <c r="AJ2">
        <v>2022</v>
      </c>
      <c r="AL2" s="9">
        <f>'[2]WA-Res-Existing Cust'!SO4+SUM('[2]WA-Res-Cust Growth'!SQ$3:SQ3)</f>
        <v>87132.058315087561</v>
      </c>
      <c r="AM2" s="9">
        <f>'[2]WA-Res-Existing Cust'!SP4+SUM('[2]WA-Res-Cust Growth'!SR$3:SR3)</f>
        <v>87132.058315087561</v>
      </c>
      <c r="AN2" s="9">
        <f>'[2]WA-Res-Existing Cust'!SQ4+SUM('[2]WA-Res-Cust Growth'!SS$3:SS3)</f>
        <v>87132.058315087561</v>
      </c>
      <c r="AO2" s="9">
        <f>'[2]WA-Res-Existing Cust'!SR4+SUM('[2]WA-Res-Cust Growth'!ST$3:ST3)</f>
        <v>87132.058315087561</v>
      </c>
      <c r="AP2" s="9">
        <f>'[2]WA-Res-Existing Cust'!SS4+SUM('[2]WA-Res-Cust Growth'!SU$3:SU3)</f>
        <v>87132.058315087561</v>
      </c>
      <c r="AQ2" s="9">
        <f>'[2]WA-Res-Existing Cust'!ST4+SUM('[2]WA-Res-Cust Growth'!SV$3:SV3)</f>
        <v>87132.058315087561</v>
      </c>
      <c r="AR2" s="9">
        <f>'[2]WA-Res-Existing Cust'!SU4+SUM('[2]WA-Res-Cust Growth'!SW$3:SW3)</f>
        <v>87132.058315087561</v>
      </c>
      <c r="AS2" s="9">
        <f>'[2]WA-Res-Existing Cust'!SV4+SUM('[2]WA-Res-Cust Growth'!SX$3:SX3)</f>
        <v>87132.058315087561</v>
      </c>
      <c r="AT2" s="9">
        <f>'[2]WA-Res-Existing Cust'!SW4+SUM('[2]WA-Res-Cust Growth'!SY$3:SY3)</f>
        <v>87132.058315087561</v>
      </c>
      <c r="AU2" s="9">
        <f>'[2]WA-Res-Existing Cust'!SX4+SUM('[2]WA-Res-Cust Growth'!SZ$3:SZ3)</f>
        <v>87132.058315087561</v>
      </c>
      <c r="AV2" s="9"/>
      <c r="AW2">
        <v>2022</v>
      </c>
      <c r="AX2" s="9">
        <f>'[2]WA-Com-Existing Cust'!SO4+SUM('[2]WA-Com-Cust Growth'!SQ$3:SQ3)</f>
        <v>7418.9937229640291</v>
      </c>
      <c r="AY2" s="9">
        <f>'[2]WA-Com-Existing Cust'!SP4+SUM('[2]WA-Com-Cust Growth'!SR$3:SR3)</f>
        <v>7418.9937229640291</v>
      </c>
      <c r="AZ2" s="9">
        <f>'[2]WA-Com-Existing Cust'!SQ4+SUM('[2]WA-Com-Cust Growth'!SS$3:SS3)</f>
        <v>7418.9937229640291</v>
      </c>
      <c r="BA2" s="9">
        <f>'[2]WA-Com-Existing Cust'!SR4+SUM('[2]WA-Com-Cust Growth'!ST$3:ST3)</f>
        <v>7418.9937229640291</v>
      </c>
      <c r="BB2" s="9">
        <f>'[2]WA-Com-Existing Cust'!SS4+SUM('[2]WA-Com-Cust Growth'!SU$3:SU3)</f>
        <v>7418.9937229640291</v>
      </c>
      <c r="BC2" s="9">
        <f>'[2]WA-Com-Existing Cust'!ST4+SUM('[2]WA-Com-Cust Growth'!SV$3:SV3)</f>
        <v>7418.9937229640291</v>
      </c>
      <c r="BD2" s="9">
        <f>'[2]WA-Com-Existing Cust'!SU4+SUM('[2]WA-Com-Cust Growth'!SW$3:SW3)</f>
        <v>7418.9937229640291</v>
      </c>
      <c r="BE2" s="9">
        <f>'[2]WA-Com-Existing Cust'!SV4+SUM('[2]WA-Com-Cust Growth'!SX$3:SX3)</f>
        <v>7418.9937229640291</v>
      </c>
      <c r="BF2" s="9">
        <f>'[2]WA-Com-Existing Cust'!SW4+SUM('[2]WA-Com-Cust Growth'!SY$3:SY3)</f>
        <v>7418.9937229640291</v>
      </c>
      <c r="BG2" s="9">
        <f>'[2]WA-Com-Existing Cust'!SX4+SUM('[2]WA-Com-Cust Growth'!SZ$3:SZ3)</f>
        <v>7418.9937229640291</v>
      </c>
    </row>
    <row r="3" spans="1:59" x14ac:dyDescent="0.25">
      <c r="B3">
        <v>2023</v>
      </c>
      <c r="C3" s="187">
        <v>642297.33764103928</v>
      </c>
      <c r="D3" s="187">
        <v>60793.017467300058</v>
      </c>
      <c r="E3" s="187">
        <f t="shared" ref="E3:E30" si="0">C3+D3</f>
        <v>703090.35510833934</v>
      </c>
      <c r="F3" s="187">
        <v>88521.392002054781</v>
      </c>
      <c r="G3" s="187">
        <v>7589.2064585253338</v>
      </c>
      <c r="H3" s="187">
        <f t="shared" ref="H3:H30" si="1">F3+G3</f>
        <v>96110.59846058012</v>
      </c>
      <c r="I3" s="9">
        <f t="shared" ref="I3:I30" si="2">M3+Y3+AL3+AX3</f>
        <v>799200.95356891945</v>
      </c>
      <c r="K3">
        <v>2023</v>
      </c>
      <c r="M3" s="9">
        <f>'[2]OR-Res-Existing Cust'!SO5+SUM('[2]OR-Res-Cust Growth'!SQ$3:SQ4)</f>
        <v>642297.33764103928</v>
      </c>
      <c r="N3" s="9">
        <f>'[2]OR-Res-Existing Cust'!SP5+SUM('[2]OR-Res-Cust Growth'!SR$3:SR4)</f>
        <v>642297.33764103928</v>
      </c>
      <c r="O3" s="9">
        <f>'[2]OR-Res-Existing Cust'!SQ5+SUM('[2]OR-Res-Cust Growth'!SS$3:SS4)</f>
        <v>642297.33764103928</v>
      </c>
      <c r="P3" s="9">
        <f>'[2]OR-Res-Existing Cust'!SR5+SUM('[2]OR-Res-Cust Growth'!ST$3:ST4)</f>
        <v>642297.33764103928</v>
      </c>
      <c r="Q3" s="9">
        <f>'[2]OR-Res-Existing Cust'!SS5+SUM('[2]OR-Res-Cust Growth'!SU$3:SU4)</f>
        <v>642297.33764103928</v>
      </c>
      <c r="R3" s="9">
        <f>'[2]OR-Res-Existing Cust'!ST5+SUM('[2]OR-Res-Cust Growth'!SV$3:SV4)</f>
        <v>642297.33764103928</v>
      </c>
      <c r="S3" s="9">
        <f>'[2]OR-Res-Existing Cust'!SU5+SUM('[2]OR-Res-Cust Growth'!SW$3:SW4)</f>
        <v>618501.84578700608</v>
      </c>
      <c r="T3" s="9">
        <f>'[2]OR-Res-Existing Cust'!SV5+SUM('[2]OR-Res-Cust Growth'!SX$3:SX4)</f>
        <v>642297.33764103928</v>
      </c>
      <c r="U3" s="9">
        <f>'[2]OR-Res-Existing Cust'!SW5+SUM('[2]OR-Res-Cust Growth'!SY$3:SY4)</f>
        <v>642297.33764103928</v>
      </c>
      <c r="V3" s="9">
        <f>'[2]OR-Res-Existing Cust'!SX5+SUM('[2]OR-Res-Cust Growth'!SZ$3:SZ4)</f>
        <v>642297.33764103928</v>
      </c>
      <c r="W3" s="9"/>
      <c r="X3">
        <v>2023</v>
      </c>
      <c r="Y3" s="9">
        <f>'[2]OR-Com-Existing Cust'!SO5+SUM('[2]OR-Com-Cust Growth'!SQ$3:SQ4)</f>
        <v>60793.017467300058</v>
      </c>
      <c r="Z3" s="9">
        <f>'[2]OR-Com-Existing Cust'!SP5+SUM('[2]OR-Com-Cust Growth'!SR$3:SR4)</f>
        <v>60793.017467300058</v>
      </c>
      <c r="AA3" s="9">
        <f>'[2]OR-Com-Existing Cust'!SQ5+SUM('[2]OR-Com-Cust Growth'!SS$3:SS4)</f>
        <v>60793.017467300058</v>
      </c>
      <c r="AB3" s="9">
        <f>'[2]OR-Com-Existing Cust'!SR5+SUM('[2]OR-Com-Cust Growth'!ST$3:ST4)</f>
        <v>60793.017467300058</v>
      </c>
      <c r="AC3" s="9">
        <f>'[2]OR-Com-Existing Cust'!SS5+SUM('[2]OR-Com-Cust Growth'!SU$3:SU4)</f>
        <v>60793.017467300058</v>
      </c>
      <c r="AD3" s="9">
        <f>'[2]OR-Com-Existing Cust'!ST5+SUM('[2]OR-Com-Cust Growth'!SV$3:SV4)</f>
        <v>60793.017467300058</v>
      </c>
      <c r="AE3" s="9">
        <f>'[2]OR-Com-Existing Cust'!SU5+SUM('[2]OR-Com-Cust Growth'!SW$3:SW4)</f>
        <v>58641.447872861863</v>
      </c>
      <c r="AF3" s="9">
        <f>'[2]OR-Com-Existing Cust'!SV5+SUM('[2]OR-Com-Cust Growth'!SX$3:SX4)</f>
        <v>60793.017467300058</v>
      </c>
      <c r="AG3" s="9">
        <f>'[2]OR-Com-Existing Cust'!SW5+SUM('[2]OR-Com-Cust Growth'!SY$3:SY4)</f>
        <v>60793.017467300058</v>
      </c>
      <c r="AH3" s="9">
        <f>'[2]OR-Com-Existing Cust'!SX5+SUM('[2]OR-Com-Cust Growth'!SZ$3:SZ4)</f>
        <v>60793.017467300058</v>
      </c>
      <c r="AJ3">
        <v>2023</v>
      </c>
      <c r="AL3" s="9">
        <f>'[2]WA-Res-Existing Cust'!SO5+SUM('[2]WA-Res-Cust Growth'!SQ$3:SQ4)</f>
        <v>88521.392002054781</v>
      </c>
      <c r="AM3" s="9">
        <f>'[2]WA-Res-Existing Cust'!SP5+SUM('[2]WA-Res-Cust Growth'!SR$3:SR4)</f>
        <v>88521.392002054781</v>
      </c>
      <c r="AN3" s="9">
        <f>'[2]WA-Res-Existing Cust'!SQ5+SUM('[2]WA-Res-Cust Growth'!SS$3:SS4)</f>
        <v>88521.392002054781</v>
      </c>
      <c r="AO3" s="9">
        <f>'[2]WA-Res-Existing Cust'!SR5+SUM('[2]WA-Res-Cust Growth'!ST$3:ST4)</f>
        <v>88521.392002054781</v>
      </c>
      <c r="AP3" s="9">
        <f>'[2]WA-Res-Existing Cust'!SS5+SUM('[2]WA-Res-Cust Growth'!SU$3:SU4)</f>
        <v>88521.392002054781</v>
      </c>
      <c r="AQ3" s="9">
        <f>'[2]WA-Res-Existing Cust'!ST5+SUM('[2]WA-Res-Cust Growth'!SV$3:SV4)</f>
        <v>88521.392002054781</v>
      </c>
      <c r="AR3" s="9">
        <f>'[2]WA-Res-Existing Cust'!SU5+SUM('[2]WA-Res-Cust Growth'!SW$3:SW4)</f>
        <v>85252.382966799589</v>
      </c>
      <c r="AS3" s="9">
        <f>'[2]WA-Res-Existing Cust'!SV5+SUM('[2]WA-Res-Cust Growth'!SX$3:SX4)</f>
        <v>88521.392002054781</v>
      </c>
      <c r="AT3" s="9">
        <f>'[2]WA-Res-Existing Cust'!SW5+SUM('[2]WA-Res-Cust Growth'!SY$3:SY4)</f>
        <v>88521.392002054781</v>
      </c>
      <c r="AU3" s="9">
        <f>'[2]WA-Res-Existing Cust'!SX5+SUM('[2]WA-Res-Cust Growth'!SZ$3:SZ4)</f>
        <v>88521.392002054781</v>
      </c>
      <c r="AV3" s="9"/>
      <c r="AW3">
        <v>2023</v>
      </c>
      <c r="AX3" s="9">
        <f>'[2]WA-Com-Existing Cust'!SO5+SUM('[2]WA-Com-Cust Growth'!SQ$3:SQ4)</f>
        <v>7589.2064585253338</v>
      </c>
      <c r="AY3" s="9">
        <f>'[2]WA-Com-Existing Cust'!SP5+SUM('[2]WA-Com-Cust Growth'!SR$3:SR4)</f>
        <v>7589.2064585253338</v>
      </c>
      <c r="AZ3" s="9">
        <f>'[2]WA-Com-Existing Cust'!SQ5+SUM('[2]WA-Com-Cust Growth'!SS$3:SS4)</f>
        <v>7589.2064585253338</v>
      </c>
      <c r="BA3" s="9">
        <f>'[2]WA-Com-Existing Cust'!SR5+SUM('[2]WA-Com-Cust Growth'!ST$3:ST4)</f>
        <v>7589.2064585253338</v>
      </c>
      <c r="BB3" s="9">
        <f>'[2]WA-Com-Existing Cust'!SS5+SUM('[2]WA-Com-Cust Growth'!SU$3:SU4)</f>
        <v>7589.2064585253338</v>
      </c>
      <c r="BC3" s="9">
        <f>'[2]WA-Com-Existing Cust'!ST5+SUM('[2]WA-Com-Cust Growth'!SV$3:SV4)</f>
        <v>7589.2064585253338</v>
      </c>
      <c r="BD3" s="9">
        <f>'[2]WA-Com-Existing Cust'!SU5+SUM('[2]WA-Com-Cust Growth'!SW$3:SW4)</f>
        <v>7319.7415098351685</v>
      </c>
      <c r="BE3" s="9">
        <f>'[2]WA-Com-Existing Cust'!SV5+SUM('[2]WA-Com-Cust Growth'!SX$3:SX4)</f>
        <v>7589.2064585253338</v>
      </c>
      <c r="BF3" s="9">
        <f>'[2]WA-Com-Existing Cust'!SW5+SUM('[2]WA-Com-Cust Growth'!SY$3:SY4)</f>
        <v>7589.2064585253338</v>
      </c>
      <c r="BG3" s="9">
        <f>'[2]WA-Com-Existing Cust'!SX5+SUM('[2]WA-Com-Cust Growth'!SZ$3:SZ4)</f>
        <v>7589.2064585253338</v>
      </c>
    </row>
    <row r="4" spans="1:59" x14ac:dyDescent="0.25">
      <c r="B4">
        <v>2024</v>
      </c>
      <c r="C4" s="187">
        <v>652269.55928444793</v>
      </c>
      <c r="D4" s="187">
        <v>61379.529285141893</v>
      </c>
      <c r="E4" s="187">
        <f t="shared" si="0"/>
        <v>713649.08856958977</v>
      </c>
      <c r="F4" s="187">
        <v>90247.271090178663</v>
      </c>
      <c r="G4" s="187">
        <v>7773.0959911715263</v>
      </c>
      <c r="H4" s="187">
        <f t="shared" si="1"/>
        <v>98020.367081350196</v>
      </c>
      <c r="I4" s="9">
        <f t="shared" si="2"/>
        <v>811669.45565093996</v>
      </c>
      <c r="K4">
        <v>2024</v>
      </c>
      <c r="M4" s="9">
        <f>'[2]OR-Res-Existing Cust'!SO6+SUM('[2]OR-Res-Cust Growth'!SQ$3:SQ5)</f>
        <v>652269.55928444793</v>
      </c>
      <c r="N4" s="9">
        <f>'[2]OR-Res-Existing Cust'!SP6+SUM('[2]OR-Res-Cust Growth'!SR$3:SR5)</f>
        <v>652269.55928444793</v>
      </c>
      <c r="O4" s="9">
        <f>'[2]OR-Res-Existing Cust'!SQ6+SUM('[2]OR-Res-Cust Growth'!SS$3:SS5)</f>
        <v>652269.55928444793</v>
      </c>
      <c r="P4" s="9">
        <f>'[2]OR-Res-Existing Cust'!SR6+SUM('[2]OR-Res-Cust Growth'!ST$3:ST5)</f>
        <v>652269.55928444793</v>
      </c>
      <c r="Q4" s="9">
        <f>'[2]OR-Res-Existing Cust'!SS6+SUM('[2]OR-Res-Cust Growth'!SU$3:SU5)</f>
        <v>652269.55928444793</v>
      </c>
      <c r="R4" s="9">
        <f>'[2]OR-Res-Existing Cust'!ST6+SUM('[2]OR-Res-Cust Growth'!SV$3:SV5)</f>
        <v>652269.55928444793</v>
      </c>
      <c r="S4" s="9">
        <f>'[2]OR-Res-Existing Cust'!SU6+SUM('[2]OR-Res-Cust Growth'!SW$3:SW5)</f>
        <v>604757.143525286</v>
      </c>
      <c r="T4" s="9">
        <f>'[2]OR-Res-Existing Cust'!SV6+SUM('[2]OR-Res-Cust Growth'!SX$3:SX5)</f>
        <v>652269.55928444793</v>
      </c>
      <c r="U4" s="9">
        <f>'[2]OR-Res-Existing Cust'!SW6+SUM('[2]OR-Res-Cust Growth'!SY$3:SY5)</f>
        <v>652269.55928444793</v>
      </c>
      <c r="V4" s="9">
        <f>'[2]OR-Res-Existing Cust'!SX6+SUM('[2]OR-Res-Cust Growth'!SZ$3:SZ5)</f>
        <v>652269.55928444793</v>
      </c>
      <c r="W4" s="9"/>
      <c r="X4">
        <v>2024</v>
      </c>
      <c r="Y4" s="9">
        <f>'[2]OR-Com-Existing Cust'!SO6+SUM('[2]OR-Com-Cust Growth'!SQ$3:SQ5)</f>
        <v>61379.529285141893</v>
      </c>
      <c r="Z4" s="9">
        <f>'[2]OR-Com-Existing Cust'!SP6+SUM('[2]OR-Com-Cust Growth'!SR$3:SR5)</f>
        <v>61379.529285141893</v>
      </c>
      <c r="AA4" s="9">
        <f>'[2]OR-Com-Existing Cust'!SQ6+SUM('[2]OR-Com-Cust Growth'!SS$3:SS5)</f>
        <v>61379.529285141893</v>
      </c>
      <c r="AB4" s="9">
        <f>'[2]OR-Com-Existing Cust'!SR6+SUM('[2]OR-Com-Cust Growth'!ST$3:ST5)</f>
        <v>61379.529285141893</v>
      </c>
      <c r="AC4" s="9">
        <f>'[2]OR-Com-Existing Cust'!SS6+SUM('[2]OR-Com-Cust Growth'!SU$3:SU5)</f>
        <v>61379.529285141893</v>
      </c>
      <c r="AD4" s="9">
        <f>'[2]OR-Com-Existing Cust'!ST6+SUM('[2]OR-Com-Cust Growth'!SV$3:SV5)</f>
        <v>61379.529285141893</v>
      </c>
      <c r="AE4" s="9">
        <f>'[2]OR-Com-Existing Cust'!SU6+SUM('[2]OR-Com-Cust Growth'!SW$3:SW5)</f>
        <v>57100.628452077806</v>
      </c>
      <c r="AF4" s="9">
        <f>'[2]OR-Com-Existing Cust'!SV6+SUM('[2]OR-Com-Cust Growth'!SX$3:SX5)</f>
        <v>61379.529285141893</v>
      </c>
      <c r="AG4" s="9">
        <f>'[2]OR-Com-Existing Cust'!SW6+SUM('[2]OR-Com-Cust Growth'!SY$3:SY5)</f>
        <v>61379.529285141893</v>
      </c>
      <c r="AH4" s="9">
        <f>'[2]OR-Com-Existing Cust'!SX6+SUM('[2]OR-Com-Cust Growth'!SZ$3:SZ5)</f>
        <v>61379.529285141893</v>
      </c>
      <c r="AJ4">
        <v>2024</v>
      </c>
      <c r="AL4" s="9">
        <f>'[2]WA-Res-Existing Cust'!SO6+SUM('[2]WA-Res-Cust Growth'!SQ$3:SQ5)</f>
        <v>90247.271090178663</v>
      </c>
      <c r="AM4" s="9">
        <f>'[2]WA-Res-Existing Cust'!SP6+SUM('[2]WA-Res-Cust Growth'!SR$3:SR5)</f>
        <v>90247.271090178663</v>
      </c>
      <c r="AN4" s="9">
        <f>'[2]WA-Res-Existing Cust'!SQ6+SUM('[2]WA-Res-Cust Growth'!SS$3:SS5)</f>
        <v>90247.271090178663</v>
      </c>
      <c r="AO4" s="9">
        <f>'[2]WA-Res-Existing Cust'!SR6+SUM('[2]WA-Res-Cust Growth'!ST$3:ST5)</f>
        <v>90247.271090178663</v>
      </c>
      <c r="AP4" s="9">
        <f>'[2]WA-Res-Existing Cust'!SS6+SUM('[2]WA-Res-Cust Growth'!SU$3:SU5)</f>
        <v>90247.271090178663</v>
      </c>
      <c r="AQ4" s="9">
        <f>'[2]WA-Res-Existing Cust'!ST6+SUM('[2]WA-Res-Cust Growth'!SV$3:SV5)</f>
        <v>90247.271090178663</v>
      </c>
      <c r="AR4" s="9">
        <f>'[2]WA-Res-Existing Cust'!SU6+SUM('[2]WA-Res-Cust Growth'!SW$3:SW5)</f>
        <v>83710.625929098984</v>
      </c>
      <c r="AS4" s="9">
        <f>'[2]WA-Res-Existing Cust'!SV6+SUM('[2]WA-Res-Cust Growth'!SX$3:SX5)</f>
        <v>90247.271090178663</v>
      </c>
      <c r="AT4" s="9">
        <f>'[2]WA-Res-Existing Cust'!SW6+SUM('[2]WA-Res-Cust Growth'!SY$3:SY5)</f>
        <v>90247.271090178663</v>
      </c>
      <c r="AU4" s="9">
        <f>'[2]WA-Res-Existing Cust'!SX6+SUM('[2]WA-Res-Cust Growth'!SZ$3:SZ5)</f>
        <v>90247.271090178663</v>
      </c>
      <c r="AV4" s="9"/>
      <c r="AW4">
        <v>2024</v>
      </c>
      <c r="AX4" s="9">
        <f>'[2]WA-Com-Existing Cust'!SO6+SUM('[2]WA-Com-Cust Growth'!SQ$3:SQ5)</f>
        <v>7773.0959911715263</v>
      </c>
      <c r="AY4" s="9">
        <f>'[2]WA-Com-Existing Cust'!SP6+SUM('[2]WA-Com-Cust Growth'!SR$3:SR5)</f>
        <v>7773.0959911715263</v>
      </c>
      <c r="AZ4" s="9">
        <f>'[2]WA-Com-Existing Cust'!SQ6+SUM('[2]WA-Com-Cust Growth'!SS$3:SS5)</f>
        <v>7773.0959911715263</v>
      </c>
      <c r="BA4" s="9">
        <f>'[2]WA-Com-Existing Cust'!SR6+SUM('[2]WA-Com-Cust Growth'!ST$3:ST5)</f>
        <v>7773.0959911715263</v>
      </c>
      <c r="BB4" s="9">
        <f>'[2]WA-Com-Existing Cust'!SS6+SUM('[2]WA-Com-Cust Growth'!SU$3:SU5)</f>
        <v>7773.0959911715263</v>
      </c>
      <c r="BC4" s="9">
        <f>'[2]WA-Com-Existing Cust'!ST6+SUM('[2]WA-Com-Cust Growth'!SV$3:SV5)</f>
        <v>7773.0959911715263</v>
      </c>
      <c r="BD4" s="9">
        <f>'[2]WA-Com-Existing Cust'!SU6+SUM('[2]WA-Com-Cust Growth'!SW$3:SW5)</f>
        <v>7234.8334783308001</v>
      </c>
      <c r="BE4" s="9">
        <f>'[2]WA-Com-Existing Cust'!SV6+SUM('[2]WA-Com-Cust Growth'!SX$3:SX5)</f>
        <v>7773.0959911715263</v>
      </c>
      <c r="BF4" s="9">
        <f>'[2]WA-Com-Existing Cust'!SW6+SUM('[2]WA-Com-Cust Growth'!SY$3:SY5)</f>
        <v>7773.0959911715263</v>
      </c>
      <c r="BG4" s="9">
        <f>'[2]WA-Com-Existing Cust'!SX6+SUM('[2]WA-Com-Cust Growth'!SZ$3:SZ5)</f>
        <v>7773.0959911715263</v>
      </c>
    </row>
    <row r="5" spans="1:59" x14ac:dyDescent="0.25">
      <c r="B5">
        <v>2025</v>
      </c>
      <c r="C5" s="187">
        <v>639899.72981771815</v>
      </c>
      <c r="D5" s="187">
        <v>60206.067046026081</v>
      </c>
      <c r="E5" s="187">
        <f t="shared" si="0"/>
        <v>700105.79686374427</v>
      </c>
      <c r="F5" s="187">
        <v>88591.048313959458</v>
      </c>
      <c r="G5" s="187">
        <v>7629.670810552986</v>
      </c>
      <c r="H5" s="187">
        <f t="shared" si="1"/>
        <v>96220.719124512441</v>
      </c>
      <c r="I5" s="9">
        <f t="shared" si="2"/>
        <v>824086.66752194182</v>
      </c>
      <c r="K5">
        <v>2025</v>
      </c>
      <c r="M5" s="9">
        <f>'[2]OR-Res-Existing Cust'!SO7+SUM('[2]OR-Res-Cust Growth'!SQ$3:SQ6)</f>
        <v>662030.12469726591</v>
      </c>
      <c r="N5" s="9">
        <f>'[2]OR-Res-Existing Cust'!SP7+SUM('[2]OR-Res-Cust Growth'!SR$3:SR6)</f>
        <v>662030.12469726591</v>
      </c>
      <c r="O5" s="9">
        <f>'[2]OR-Res-Existing Cust'!SQ7+SUM('[2]OR-Res-Cust Growth'!SS$3:SS6)</f>
        <v>662030.12469726591</v>
      </c>
      <c r="P5" s="9">
        <f>'[2]OR-Res-Existing Cust'!SR7+SUM('[2]OR-Res-Cust Growth'!ST$3:ST6)</f>
        <v>662030.12469726591</v>
      </c>
      <c r="Q5" s="9">
        <f>'[2]OR-Res-Existing Cust'!SS7+SUM('[2]OR-Res-Cust Growth'!SU$3:SU6)</f>
        <v>651241.92360353225</v>
      </c>
      <c r="R5" s="9">
        <f>'[2]OR-Res-Existing Cust'!ST7+SUM('[2]OR-Res-Cust Growth'!SV$3:SV6)</f>
        <v>639899.72981771815</v>
      </c>
      <c r="S5" s="9">
        <f>'[2]OR-Res-Existing Cust'!SU7+SUM('[2]OR-Res-Cust Growth'!SW$3:SW6)</f>
        <v>579931.96710888052</v>
      </c>
      <c r="T5" s="9">
        <f>'[2]OR-Res-Existing Cust'!SV7+SUM('[2]OR-Res-Cust Growth'!SX$3:SX6)</f>
        <v>662030.12469726591</v>
      </c>
      <c r="U5" s="9">
        <f>'[2]OR-Res-Existing Cust'!SW7+SUM('[2]OR-Res-Cust Growth'!SY$3:SY6)</f>
        <v>662030.12469726591</v>
      </c>
      <c r="V5" s="9">
        <f>'[2]OR-Res-Existing Cust'!SX7+SUM('[2]OR-Res-Cust Growth'!SZ$3:SZ6)</f>
        <v>662030.12469726591</v>
      </c>
      <c r="W5" s="9"/>
      <c r="X5">
        <v>2025</v>
      </c>
      <c r="Y5" s="9">
        <f>'[2]OR-Com-Existing Cust'!SO7+SUM('[2]OR-Com-Cust Growth'!SQ$3:SQ6)</f>
        <v>62088.210303190433</v>
      </c>
      <c r="Z5" s="9">
        <f>'[2]OR-Com-Existing Cust'!SP7+SUM('[2]OR-Com-Cust Growth'!SR$3:SR6)</f>
        <v>62088.210303190433</v>
      </c>
      <c r="AA5" s="9">
        <f>'[2]OR-Com-Existing Cust'!SQ7+SUM('[2]OR-Com-Cust Growth'!SS$3:SS6)</f>
        <v>62088.210303190433</v>
      </c>
      <c r="AB5" s="9">
        <f>'[2]OR-Com-Existing Cust'!SR7+SUM('[2]OR-Com-Cust Growth'!ST$3:ST6)</f>
        <v>62088.210303190433</v>
      </c>
      <c r="AC5" s="9">
        <f>'[2]OR-Com-Existing Cust'!SS7+SUM('[2]OR-Com-Cust Growth'!SU$3:SU6)</f>
        <v>61163.643693188023</v>
      </c>
      <c r="AD5" s="9">
        <f>'[2]OR-Com-Existing Cust'!ST7+SUM('[2]OR-Com-Cust Growth'!SV$3:SV6)</f>
        <v>60206.067046026081</v>
      </c>
      <c r="AE5" s="9">
        <f>'[2]OR-Com-Existing Cust'!SU7+SUM('[2]OR-Com-Cust Growth'!SW$3:SW6)</f>
        <v>54735.662751089694</v>
      </c>
      <c r="AF5" s="9">
        <f>'[2]OR-Com-Existing Cust'!SV7+SUM('[2]OR-Com-Cust Growth'!SX$3:SX6)</f>
        <v>62088.210303190433</v>
      </c>
      <c r="AG5" s="9">
        <f>'[2]OR-Com-Existing Cust'!SW7+SUM('[2]OR-Com-Cust Growth'!SY$3:SY6)</f>
        <v>62088.210303190433</v>
      </c>
      <c r="AH5" s="9">
        <f>'[2]OR-Com-Existing Cust'!SX7+SUM('[2]OR-Com-Cust Growth'!SZ$3:SZ6)</f>
        <v>62088.210303190433</v>
      </c>
      <c r="AJ5">
        <v>2025</v>
      </c>
      <c r="AL5" s="9">
        <f>'[2]WA-Res-Existing Cust'!SO7+SUM('[2]WA-Res-Cust Growth'!SQ$3:SQ6)</f>
        <v>92001.331293296462</v>
      </c>
      <c r="AM5" s="9">
        <f>'[2]WA-Res-Existing Cust'!SP7+SUM('[2]WA-Res-Cust Growth'!SR$3:SR6)</f>
        <v>92001.331293296462</v>
      </c>
      <c r="AN5" s="9">
        <f>'[2]WA-Res-Existing Cust'!SQ7+SUM('[2]WA-Res-Cust Growth'!SS$3:SS6)</f>
        <v>92001.331293296462</v>
      </c>
      <c r="AO5" s="9">
        <f>'[2]WA-Res-Existing Cust'!SR7+SUM('[2]WA-Res-Cust Growth'!ST$3:ST6)</f>
        <v>92001.331293296462</v>
      </c>
      <c r="AP5" s="9">
        <f>'[2]WA-Res-Existing Cust'!SS7+SUM('[2]WA-Res-Cust Growth'!SU$3:SU6)</f>
        <v>90201.331293296462</v>
      </c>
      <c r="AQ5" s="9">
        <f>'[2]WA-Res-Existing Cust'!ST7+SUM('[2]WA-Res-Cust Growth'!SV$3:SV6)</f>
        <v>88591.048313959458</v>
      </c>
      <c r="AR5" s="9">
        <f>'[2]WA-Res-Existing Cust'!SU7+SUM('[2]WA-Res-Cust Growth'!SW$3:SW6)</f>
        <v>80394.343596495484</v>
      </c>
      <c r="AS5" s="9">
        <f>'[2]WA-Res-Existing Cust'!SV7+SUM('[2]WA-Res-Cust Growth'!SX$3:SX6)</f>
        <v>92001.331293296462</v>
      </c>
      <c r="AT5" s="9">
        <f>'[2]WA-Res-Existing Cust'!SW7+SUM('[2]WA-Res-Cust Growth'!SY$3:SY6)</f>
        <v>92001.331293296462</v>
      </c>
      <c r="AU5" s="9">
        <f>'[2]WA-Res-Existing Cust'!SX7+SUM('[2]WA-Res-Cust Growth'!SZ$3:SZ6)</f>
        <v>92001.331293296462</v>
      </c>
      <c r="AV5" s="9"/>
      <c r="AW5">
        <v>2025</v>
      </c>
      <c r="AX5" s="9">
        <f>'[2]WA-Com-Existing Cust'!SO7+SUM('[2]WA-Com-Cust Growth'!SQ$3:SQ6)</f>
        <v>7967.0012281890431</v>
      </c>
      <c r="AY5" s="9">
        <f>'[2]WA-Com-Existing Cust'!SP7+SUM('[2]WA-Com-Cust Growth'!SR$3:SR6)</f>
        <v>7967.0012281890431</v>
      </c>
      <c r="AZ5" s="9">
        <f>'[2]WA-Com-Existing Cust'!SQ7+SUM('[2]WA-Com-Cust Growth'!SS$3:SS6)</f>
        <v>7967.0012281890431</v>
      </c>
      <c r="BA5" s="9">
        <f>'[2]WA-Com-Existing Cust'!SR7+SUM('[2]WA-Com-Cust Growth'!ST$3:ST6)</f>
        <v>7967.0012281890431</v>
      </c>
      <c r="BB5" s="9">
        <f>'[2]WA-Com-Existing Cust'!SS7+SUM('[2]WA-Com-Cust Growth'!SU$3:SU6)</f>
        <v>7755.7987071878342</v>
      </c>
      <c r="BC5" s="9">
        <f>'[2]WA-Com-Existing Cust'!ST7+SUM('[2]WA-Com-Cust Growth'!SV$3:SV6)</f>
        <v>7629.670810552986</v>
      </c>
      <c r="BD5" s="9">
        <f>'[2]WA-Com-Existing Cust'!SU7+SUM('[2]WA-Com-Cust Growth'!SW$3:SW6)</f>
        <v>6946.4423253705254</v>
      </c>
      <c r="BE5" s="9">
        <f>'[2]WA-Com-Existing Cust'!SV7+SUM('[2]WA-Com-Cust Growth'!SX$3:SX6)</f>
        <v>7967.0012281890431</v>
      </c>
      <c r="BF5" s="9">
        <f>'[2]WA-Com-Existing Cust'!SW7+SUM('[2]WA-Com-Cust Growth'!SY$3:SY6)</f>
        <v>7967.0012281890431</v>
      </c>
      <c r="BG5" s="9">
        <f>'[2]WA-Com-Existing Cust'!SX7+SUM('[2]WA-Com-Cust Growth'!SZ$3:SZ6)</f>
        <v>7967.0012281890431</v>
      </c>
    </row>
    <row r="6" spans="1:59" x14ac:dyDescent="0.25">
      <c r="B6">
        <v>2026</v>
      </c>
      <c r="C6" s="187">
        <v>627529.90035098838</v>
      </c>
      <c r="D6" s="187">
        <v>59032.604806910269</v>
      </c>
      <c r="E6" s="187">
        <f t="shared" si="0"/>
        <v>686562.50515789865</v>
      </c>
      <c r="F6" s="187">
        <v>86934.825537740253</v>
      </c>
      <c r="G6" s="187">
        <v>7486.2456299344458</v>
      </c>
      <c r="H6" s="187">
        <f t="shared" si="1"/>
        <v>94421.071167674701</v>
      </c>
      <c r="I6" s="9">
        <f t="shared" si="2"/>
        <v>836971.20593449508</v>
      </c>
      <c r="K6">
        <v>2026</v>
      </c>
      <c r="M6" s="9">
        <f>'[2]OR-Res-Existing Cust'!SO8+SUM('[2]OR-Res-Cust Growth'!SQ$3:SQ7)</f>
        <v>672191.0589921528</v>
      </c>
      <c r="N6" s="9">
        <f>'[2]OR-Res-Existing Cust'!SP8+SUM('[2]OR-Res-Cust Growth'!SR$3:SR7)</f>
        <v>672191.0589921528</v>
      </c>
      <c r="O6" s="9">
        <f>'[2]OR-Res-Existing Cust'!SQ8+SUM('[2]OR-Res-Cust Growth'!SS$3:SS7)</f>
        <v>672191.0589921528</v>
      </c>
      <c r="P6" s="9">
        <f>'[2]OR-Res-Existing Cust'!SR8+SUM('[2]OR-Res-Cust Growth'!ST$3:ST7)</f>
        <v>672191.0589921528</v>
      </c>
      <c r="Q6" s="9">
        <f>'[2]OR-Res-Existing Cust'!SS8+SUM('[2]OR-Res-Cust Growth'!SU$3:SU7)</f>
        <v>650205.09111361718</v>
      </c>
      <c r="R6" s="9">
        <f>'[2]OR-Res-Existing Cust'!ST8+SUM('[2]OR-Res-Cust Growth'!SV$3:SV7)</f>
        <v>627529.90035098838</v>
      </c>
      <c r="S6" s="9">
        <f>'[2]OR-Res-Existing Cust'!SU8+SUM('[2]OR-Res-Cust Growth'!SW$3:SW7)</f>
        <v>555106.79069247516</v>
      </c>
      <c r="T6" s="9">
        <f>'[2]OR-Res-Existing Cust'!SV8+SUM('[2]OR-Res-Cust Growth'!SX$3:SX7)</f>
        <v>672191.0589921528</v>
      </c>
      <c r="U6" s="9">
        <f>'[2]OR-Res-Existing Cust'!SW8+SUM('[2]OR-Res-Cust Growth'!SY$3:SY7)</f>
        <v>672191.0589921528</v>
      </c>
      <c r="V6" s="9">
        <f>'[2]OR-Res-Existing Cust'!SX8+SUM('[2]OR-Res-Cust Growth'!SZ$3:SZ7)</f>
        <v>672191.0589921528</v>
      </c>
      <c r="W6" s="9"/>
      <c r="X6">
        <v>2026</v>
      </c>
      <c r="Y6" s="9">
        <f>'[2]OR-Com-Existing Cust'!SO8+SUM('[2]OR-Com-Cust Growth'!SQ$3:SQ7)</f>
        <v>62873.221180548826</v>
      </c>
      <c r="Z6" s="9">
        <f>'[2]OR-Com-Existing Cust'!SP8+SUM('[2]OR-Com-Cust Growth'!SR$3:SR7)</f>
        <v>62873.221180548826</v>
      </c>
      <c r="AA6" s="9">
        <f>'[2]OR-Com-Existing Cust'!SQ8+SUM('[2]OR-Com-Cust Growth'!SS$3:SS7)</f>
        <v>62873.221180548826</v>
      </c>
      <c r="AB6" s="9">
        <f>'[2]OR-Com-Existing Cust'!SR8+SUM('[2]OR-Com-Cust Growth'!ST$3:ST7)</f>
        <v>62873.221180548826</v>
      </c>
      <c r="AC6" s="9">
        <f>'[2]OR-Com-Existing Cust'!SS8+SUM('[2]OR-Com-Cust Growth'!SU$3:SU7)</f>
        <v>60949.911822045753</v>
      </c>
      <c r="AD6" s="9">
        <f>'[2]OR-Com-Existing Cust'!ST8+SUM('[2]OR-Com-Cust Growth'!SV$3:SV7)</f>
        <v>59032.604806910269</v>
      </c>
      <c r="AE6" s="9">
        <f>'[2]OR-Com-Existing Cust'!SU8+SUM('[2]OR-Com-Cust Growth'!SW$3:SW7)</f>
        <v>52370.697050101582</v>
      </c>
      <c r="AF6" s="9">
        <f>'[2]OR-Com-Existing Cust'!SV8+SUM('[2]OR-Com-Cust Growth'!SX$3:SX7)</f>
        <v>62873.221180548826</v>
      </c>
      <c r="AG6" s="9">
        <f>'[2]OR-Com-Existing Cust'!SW8+SUM('[2]OR-Com-Cust Growth'!SY$3:SY7)</f>
        <v>62873.221180548826</v>
      </c>
      <c r="AH6" s="9">
        <f>'[2]OR-Com-Existing Cust'!SX8+SUM('[2]OR-Com-Cust Growth'!SZ$3:SZ7)</f>
        <v>62873.221180548826</v>
      </c>
      <c r="AJ6">
        <v>2026</v>
      </c>
      <c r="AL6" s="9">
        <f>'[2]WA-Res-Existing Cust'!SO8+SUM('[2]WA-Res-Cust Growth'!SQ$3:SQ7)</f>
        <v>93755.164632363361</v>
      </c>
      <c r="AM6" s="9">
        <f>'[2]WA-Res-Existing Cust'!SP8+SUM('[2]WA-Res-Cust Growth'!SR$3:SR7)</f>
        <v>93755.164632363361</v>
      </c>
      <c r="AN6" s="9">
        <f>'[2]WA-Res-Existing Cust'!SQ8+SUM('[2]WA-Res-Cust Growth'!SS$3:SS7)</f>
        <v>93755.164632363361</v>
      </c>
      <c r="AO6" s="9">
        <f>'[2]WA-Res-Existing Cust'!SR8+SUM('[2]WA-Res-Cust Growth'!ST$3:ST7)</f>
        <v>93755.164632363361</v>
      </c>
      <c r="AP6" s="9">
        <f>'[2]WA-Res-Existing Cust'!SS8+SUM('[2]WA-Res-Cust Growth'!SU$3:SU7)</f>
        <v>90155.164632363361</v>
      </c>
      <c r="AQ6" s="9">
        <f>'[2]WA-Res-Existing Cust'!ST8+SUM('[2]WA-Res-Cust Growth'!SV$3:SV7)</f>
        <v>86934.825537740253</v>
      </c>
      <c r="AR6" s="9">
        <f>'[2]WA-Res-Existing Cust'!SU8+SUM('[2]WA-Res-Cust Growth'!SW$3:SW7)</f>
        <v>77078.061263891985</v>
      </c>
      <c r="AS6" s="9">
        <f>'[2]WA-Res-Existing Cust'!SV8+SUM('[2]WA-Res-Cust Growth'!SX$3:SX7)</f>
        <v>93755.164632363361</v>
      </c>
      <c r="AT6" s="9">
        <f>'[2]WA-Res-Existing Cust'!SW8+SUM('[2]WA-Res-Cust Growth'!SY$3:SY7)</f>
        <v>93755.164632363361</v>
      </c>
      <c r="AU6" s="9">
        <f>'[2]WA-Res-Existing Cust'!SX8+SUM('[2]WA-Res-Cust Growth'!SZ$3:SZ7)</f>
        <v>93755.164632363361</v>
      </c>
      <c r="AV6" s="9"/>
      <c r="AW6">
        <v>2026</v>
      </c>
      <c r="AX6" s="9">
        <f>'[2]WA-Com-Existing Cust'!SO8+SUM('[2]WA-Com-Cust Growth'!SQ$3:SQ7)</f>
        <v>8151.7611294301214</v>
      </c>
      <c r="AY6" s="9">
        <f>'[2]WA-Com-Existing Cust'!SP8+SUM('[2]WA-Com-Cust Growth'!SR$3:SR7)</f>
        <v>8151.7611294301214</v>
      </c>
      <c r="AZ6" s="9">
        <f>'[2]WA-Com-Existing Cust'!SQ8+SUM('[2]WA-Com-Cust Growth'!SS$3:SS7)</f>
        <v>8151.7611294301214</v>
      </c>
      <c r="BA6" s="9">
        <f>'[2]WA-Com-Existing Cust'!SR8+SUM('[2]WA-Com-Cust Growth'!ST$3:ST7)</f>
        <v>8151.7611294301214</v>
      </c>
      <c r="BB6" s="9">
        <f>'[2]WA-Com-Existing Cust'!SS8+SUM('[2]WA-Com-Cust Growth'!SU$3:SU7)</f>
        <v>7740.219238814263</v>
      </c>
      <c r="BC6" s="9">
        <f>'[2]WA-Com-Existing Cust'!ST8+SUM('[2]WA-Com-Cust Growth'!SV$3:SV7)</f>
        <v>7486.2456299344458</v>
      </c>
      <c r="BD6" s="9">
        <f>'[2]WA-Com-Existing Cust'!SU8+SUM('[2]WA-Com-Cust Growth'!SW$3:SW7)</f>
        <v>6658.0511724102507</v>
      </c>
      <c r="BE6" s="9">
        <f>'[2]WA-Com-Existing Cust'!SV8+SUM('[2]WA-Com-Cust Growth'!SX$3:SX7)</f>
        <v>8151.7611294301214</v>
      </c>
      <c r="BF6" s="9">
        <f>'[2]WA-Com-Existing Cust'!SW8+SUM('[2]WA-Com-Cust Growth'!SY$3:SY7)</f>
        <v>8151.7611294301214</v>
      </c>
      <c r="BG6" s="9">
        <f>'[2]WA-Com-Existing Cust'!SX8+SUM('[2]WA-Com-Cust Growth'!SZ$3:SZ7)</f>
        <v>8151.7611294301214</v>
      </c>
    </row>
    <row r="7" spans="1:59" x14ac:dyDescent="0.25">
      <c r="B7">
        <v>2027</v>
      </c>
      <c r="C7" s="187">
        <v>615160.0708842586</v>
      </c>
      <c r="D7" s="187">
        <v>57859.142567794457</v>
      </c>
      <c r="E7" s="187">
        <f t="shared" si="0"/>
        <v>673019.21345205302</v>
      </c>
      <c r="F7" s="187">
        <v>85278.602761521048</v>
      </c>
      <c r="G7" s="187">
        <v>7342.8204493159055</v>
      </c>
      <c r="H7" s="187">
        <f t="shared" si="1"/>
        <v>92621.423210836947</v>
      </c>
      <c r="I7" s="9">
        <f t="shared" si="2"/>
        <v>849637.1673833899</v>
      </c>
      <c r="K7">
        <v>2027</v>
      </c>
      <c r="M7" s="9">
        <f>'[2]OR-Res-Existing Cust'!SO9+SUM('[2]OR-Res-Cust Growth'!SQ$3:SQ8)</f>
        <v>682187.503134117</v>
      </c>
      <c r="N7" s="9">
        <f>'[2]OR-Res-Existing Cust'!SP9+SUM('[2]OR-Res-Cust Growth'!SR$3:SR8)</f>
        <v>682187.503134117</v>
      </c>
      <c r="O7" s="9">
        <f>'[2]OR-Res-Existing Cust'!SQ9+SUM('[2]OR-Res-Cust Growth'!SS$3:SS8)</f>
        <v>682187.503134117</v>
      </c>
      <c r="P7" s="9">
        <f>'[2]OR-Res-Existing Cust'!SR9+SUM('[2]OR-Res-Cust Growth'!ST$3:ST8)</f>
        <v>682187.503134117</v>
      </c>
      <c r="Q7" s="9">
        <f>'[2]OR-Res-Existing Cust'!SS9+SUM('[2]OR-Res-Cust Growth'!SU$3:SU8)</f>
        <v>649169.79902876762</v>
      </c>
      <c r="R7" s="9">
        <f>'[2]OR-Res-Existing Cust'!ST9+SUM('[2]OR-Res-Cust Growth'!SV$3:SV8)</f>
        <v>615160.0708842586</v>
      </c>
      <c r="S7" s="9">
        <f>'[2]OR-Res-Existing Cust'!SU9+SUM('[2]OR-Res-Cust Growth'!SW$3:SW8)</f>
        <v>530281.61427606968</v>
      </c>
      <c r="T7" s="9">
        <f>'[2]OR-Res-Existing Cust'!SV9+SUM('[2]OR-Res-Cust Growth'!SX$3:SX8)</f>
        <v>682187.503134117</v>
      </c>
      <c r="U7" s="9">
        <f>'[2]OR-Res-Existing Cust'!SW9+SUM('[2]OR-Res-Cust Growth'!SY$3:SY8)</f>
        <v>682187.503134117</v>
      </c>
      <c r="V7" s="9">
        <f>'[2]OR-Res-Existing Cust'!SX9+SUM('[2]OR-Res-Cust Growth'!SZ$3:SZ8)</f>
        <v>682187.503134117</v>
      </c>
      <c r="W7" s="9"/>
      <c r="X7">
        <v>2027</v>
      </c>
      <c r="Y7" s="9">
        <f>'[2]OR-Com-Existing Cust'!SO9+SUM('[2]OR-Com-Cust Growth'!SQ$3:SQ8)</f>
        <v>63610.465377351502</v>
      </c>
      <c r="Z7" s="9">
        <f>'[2]OR-Com-Existing Cust'!SP9+SUM('[2]OR-Com-Cust Growth'!SR$3:SR8)</f>
        <v>63610.465377351502</v>
      </c>
      <c r="AA7" s="9">
        <f>'[2]OR-Com-Existing Cust'!SQ9+SUM('[2]OR-Com-Cust Growth'!SS$3:SS8)</f>
        <v>63610.465377351502</v>
      </c>
      <c r="AB7" s="9">
        <f>'[2]OR-Com-Existing Cust'!SR9+SUM('[2]OR-Com-Cust Growth'!ST$3:ST8)</f>
        <v>63610.465377351502</v>
      </c>
      <c r="AC7" s="9">
        <f>'[2]OR-Com-Existing Cust'!SS9+SUM('[2]OR-Com-Cust Growth'!SU$3:SU8)</f>
        <v>60748.880176220577</v>
      </c>
      <c r="AD7" s="9">
        <f>'[2]OR-Com-Existing Cust'!ST9+SUM('[2]OR-Com-Cust Growth'!SV$3:SV8)</f>
        <v>57859.142567794457</v>
      </c>
      <c r="AE7" s="9">
        <f>'[2]OR-Com-Existing Cust'!SU9+SUM('[2]OR-Com-Cust Growth'!SW$3:SW8)</f>
        <v>50005.73134911347</v>
      </c>
      <c r="AF7" s="9">
        <f>'[2]OR-Com-Existing Cust'!SV9+SUM('[2]OR-Com-Cust Growth'!SX$3:SX8)</f>
        <v>63610.465377351502</v>
      </c>
      <c r="AG7" s="9">
        <f>'[2]OR-Com-Existing Cust'!SW9+SUM('[2]OR-Com-Cust Growth'!SY$3:SY8)</f>
        <v>63610.465377351502</v>
      </c>
      <c r="AH7" s="9">
        <f>'[2]OR-Com-Existing Cust'!SX9+SUM('[2]OR-Com-Cust Growth'!SZ$3:SZ8)</f>
        <v>63610.465377351502</v>
      </c>
      <c r="AJ7">
        <v>2027</v>
      </c>
      <c r="AL7" s="9">
        <f>'[2]WA-Res-Existing Cust'!SO9+SUM('[2]WA-Res-Cust Growth'!SQ$3:SQ8)</f>
        <v>95508.908867292208</v>
      </c>
      <c r="AM7" s="9">
        <f>'[2]WA-Res-Existing Cust'!SP9+SUM('[2]WA-Res-Cust Growth'!SR$3:SR8)</f>
        <v>95508.908867292208</v>
      </c>
      <c r="AN7" s="9">
        <f>'[2]WA-Res-Existing Cust'!SQ9+SUM('[2]WA-Res-Cust Growth'!SS$3:SS8)</f>
        <v>95508.908867292208</v>
      </c>
      <c r="AO7" s="9">
        <f>'[2]WA-Res-Existing Cust'!SR9+SUM('[2]WA-Res-Cust Growth'!ST$3:ST8)</f>
        <v>95508.908867292208</v>
      </c>
      <c r="AP7" s="9">
        <f>'[2]WA-Res-Existing Cust'!SS9+SUM('[2]WA-Res-Cust Growth'!SU$3:SU8)</f>
        <v>90108.908867292208</v>
      </c>
      <c r="AQ7" s="9">
        <f>'[2]WA-Res-Existing Cust'!ST9+SUM('[2]WA-Res-Cust Growth'!SV$3:SV8)</f>
        <v>85278.602761521048</v>
      </c>
      <c r="AR7" s="9">
        <f>'[2]WA-Res-Existing Cust'!SU9+SUM('[2]WA-Res-Cust Growth'!SW$3:SW8)</f>
        <v>73761.778931288485</v>
      </c>
      <c r="AS7" s="9">
        <f>'[2]WA-Res-Existing Cust'!SV9+SUM('[2]WA-Res-Cust Growth'!SX$3:SX8)</f>
        <v>95508.908867292208</v>
      </c>
      <c r="AT7" s="9">
        <f>'[2]WA-Res-Existing Cust'!SW9+SUM('[2]WA-Res-Cust Growth'!SY$3:SY8)</f>
        <v>95508.908867292208</v>
      </c>
      <c r="AU7" s="9">
        <f>'[2]WA-Res-Existing Cust'!SX9+SUM('[2]WA-Res-Cust Growth'!SZ$3:SZ8)</f>
        <v>95508.908867292208</v>
      </c>
      <c r="AV7" s="9"/>
      <c r="AW7">
        <v>2027</v>
      </c>
      <c r="AX7" s="9">
        <f>'[2]WA-Com-Existing Cust'!SO9+SUM('[2]WA-Com-Cust Growth'!SQ$3:SQ8)</f>
        <v>8330.2900046291907</v>
      </c>
      <c r="AY7" s="9">
        <f>'[2]WA-Com-Existing Cust'!SP9+SUM('[2]WA-Com-Cust Growth'!SR$3:SR8)</f>
        <v>8330.2900046291907</v>
      </c>
      <c r="AZ7" s="9">
        <f>'[2]WA-Com-Existing Cust'!SQ9+SUM('[2]WA-Com-Cust Growth'!SS$3:SS8)</f>
        <v>8330.2900046291907</v>
      </c>
      <c r="BA7" s="9">
        <f>'[2]WA-Com-Existing Cust'!SR9+SUM('[2]WA-Com-Cust Growth'!ST$3:ST8)</f>
        <v>8330.2900046291907</v>
      </c>
      <c r="BB7" s="9">
        <f>'[2]WA-Com-Existing Cust'!SS9+SUM('[2]WA-Com-Cust Growth'!SU$3:SU8)</f>
        <v>7725.1680261986139</v>
      </c>
      <c r="BC7" s="9">
        <f>'[2]WA-Com-Existing Cust'!ST9+SUM('[2]WA-Com-Cust Growth'!SV$3:SV8)</f>
        <v>7342.8204493159055</v>
      </c>
      <c r="BD7" s="9">
        <f>'[2]WA-Com-Existing Cust'!SU9+SUM('[2]WA-Com-Cust Growth'!SW$3:SW8)</f>
        <v>6369.6600194499761</v>
      </c>
      <c r="BE7" s="9">
        <f>'[2]WA-Com-Existing Cust'!SV9+SUM('[2]WA-Com-Cust Growth'!SX$3:SX8)</f>
        <v>8330.2900046291907</v>
      </c>
      <c r="BF7" s="9">
        <f>'[2]WA-Com-Existing Cust'!SW9+SUM('[2]WA-Com-Cust Growth'!SY$3:SY8)</f>
        <v>8330.2900046291907</v>
      </c>
      <c r="BG7" s="9">
        <f>'[2]WA-Com-Existing Cust'!SX9+SUM('[2]WA-Com-Cust Growth'!SZ$3:SZ8)</f>
        <v>8330.2900046291907</v>
      </c>
    </row>
    <row r="8" spans="1:59" x14ac:dyDescent="0.25">
      <c r="B8">
        <v>2028</v>
      </c>
      <c r="C8" s="187">
        <v>602790.24141752883</v>
      </c>
      <c r="D8" s="187">
        <v>56685.680328678645</v>
      </c>
      <c r="E8" s="187">
        <f t="shared" si="0"/>
        <v>659475.92174620752</v>
      </c>
      <c r="F8" s="187">
        <v>83622.379985301843</v>
      </c>
      <c r="G8" s="187">
        <v>7199.3952686973653</v>
      </c>
      <c r="H8" s="187">
        <f t="shared" si="1"/>
        <v>90821.775253999207</v>
      </c>
      <c r="I8" s="9">
        <f t="shared" si="2"/>
        <v>862156.42554444796</v>
      </c>
      <c r="K8">
        <v>2028</v>
      </c>
      <c r="M8" s="9">
        <f>'[2]OR-Res-Existing Cust'!SO10+SUM('[2]OR-Res-Cust Growth'!SQ$3:SQ9)</f>
        <v>692085.3481708226</v>
      </c>
      <c r="N8" s="9">
        <f>'[2]OR-Res-Existing Cust'!SP10+SUM('[2]OR-Res-Cust Growth'!SR$3:SR9)</f>
        <v>692085.3481708226</v>
      </c>
      <c r="O8" s="9">
        <f>'[2]OR-Res-Existing Cust'!SQ10+SUM('[2]OR-Res-Cust Growth'!SS$3:SS9)</f>
        <v>692085.3481708226</v>
      </c>
      <c r="P8" s="9">
        <f>'[2]OR-Res-Existing Cust'!SR10+SUM('[2]OR-Res-Cust Growth'!ST$3:ST9)</f>
        <v>692085.3481708226</v>
      </c>
      <c r="Q8" s="9">
        <f>'[2]OR-Res-Existing Cust'!SS10+SUM('[2]OR-Res-Cust Growth'!SU$3:SU9)</f>
        <v>648127.28882317722</v>
      </c>
      <c r="R8" s="9">
        <f>'[2]OR-Res-Existing Cust'!ST10+SUM('[2]OR-Res-Cust Growth'!SV$3:SV9)</f>
        <v>602790.24141752883</v>
      </c>
      <c r="S8" s="9">
        <f>'[2]OR-Res-Existing Cust'!SU10+SUM('[2]OR-Res-Cust Growth'!SW$3:SW9)</f>
        <v>505456.43785966432</v>
      </c>
      <c r="T8" s="9">
        <f>'[2]OR-Res-Existing Cust'!SV10+SUM('[2]OR-Res-Cust Growth'!SX$3:SX9)</f>
        <v>692085.3481708226</v>
      </c>
      <c r="U8" s="9">
        <f>'[2]OR-Res-Existing Cust'!SW10+SUM('[2]OR-Res-Cust Growth'!SY$3:SY9)</f>
        <v>692085.3481708226</v>
      </c>
      <c r="V8" s="9">
        <f>'[2]OR-Res-Existing Cust'!SX10+SUM('[2]OR-Res-Cust Growth'!SZ$3:SZ9)</f>
        <v>692085.3481708226</v>
      </c>
      <c r="W8" s="9"/>
      <c r="X8">
        <v>2028</v>
      </c>
      <c r="Y8" s="9">
        <f>'[2]OR-Com-Existing Cust'!SO10+SUM('[2]OR-Com-Cust Growth'!SQ$3:SQ9)</f>
        <v>64300.774736999738</v>
      </c>
      <c r="Z8" s="9">
        <f>'[2]OR-Com-Existing Cust'!SP10+SUM('[2]OR-Com-Cust Growth'!SR$3:SR9)</f>
        <v>64300.774736999738</v>
      </c>
      <c r="AA8" s="9">
        <f>'[2]OR-Com-Existing Cust'!SQ10+SUM('[2]OR-Com-Cust Growth'!SS$3:SS9)</f>
        <v>64300.774736999738</v>
      </c>
      <c r="AB8" s="9">
        <f>'[2]OR-Com-Existing Cust'!SR10+SUM('[2]OR-Com-Cust Growth'!ST$3:ST9)</f>
        <v>64300.774736999738</v>
      </c>
      <c r="AC8" s="9">
        <f>'[2]OR-Com-Existing Cust'!SS10+SUM('[2]OR-Com-Cust Growth'!SU$3:SU9)</f>
        <v>60560.32117798167</v>
      </c>
      <c r="AD8" s="9">
        <f>'[2]OR-Com-Existing Cust'!ST10+SUM('[2]OR-Com-Cust Growth'!SV$3:SV9)</f>
        <v>56685.680328678645</v>
      </c>
      <c r="AE8" s="9">
        <f>'[2]OR-Com-Existing Cust'!SU10+SUM('[2]OR-Com-Cust Growth'!SW$3:SW9)</f>
        <v>47640.765648125358</v>
      </c>
      <c r="AF8" s="9">
        <f>'[2]OR-Com-Existing Cust'!SV10+SUM('[2]OR-Com-Cust Growth'!SX$3:SX9)</f>
        <v>64300.774736999738</v>
      </c>
      <c r="AG8" s="9">
        <f>'[2]OR-Com-Existing Cust'!SW10+SUM('[2]OR-Com-Cust Growth'!SY$3:SY9)</f>
        <v>64300.774736999738</v>
      </c>
      <c r="AH8" s="9">
        <f>'[2]OR-Com-Existing Cust'!SX10+SUM('[2]OR-Com-Cust Growth'!SZ$3:SZ9)</f>
        <v>64300.774736999738</v>
      </c>
      <c r="AJ8">
        <v>2028</v>
      </c>
      <c r="AL8" s="9">
        <f>'[2]WA-Res-Existing Cust'!SO10+SUM('[2]WA-Res-Cust Growth'!SQ$3:SQ9)</f>
        <v>97262.583788876786</v>
      </c>
      <c r="AM8" s="9">
        <f>'[2]WA-Res-Existing Cust'!SP10+SUM('[2]WA-Res-Cust Growth'!SR$3:SR9)</f>
        <v>97262.583788876786</v>
      </c>
      <c r="AN8" s="9">
        <f>'[2]WA-Res-Existing Cust'!SQ10+SUM('[2]WA-Res-Cust Growth'!SS$3:SS9)</f>
        <v>97262.583788876786</v>
      </c>
      <c r="AO8" s="9">
        <f>'[2]WA-Res-Existing Cust'!SR10+SUM('[2]WA-Res-Cust Growth'!ST$3:ST9)</f>
        <v>97262.583788876786</v>
      </c>
      <c r="AP8" s="9">
        <f>'[2]WA-Res-Existing Cust'!SS10+SUM('[2]WA-Res-Cust Growth'!SU$3:SU9)</f>
        <v>90062.583788876786</v>
      </c>
      <c r="AQ8" s="9">
        <f>'[2]WA-Res-Existing Cust'!ST10+SUM('[2]WA-Res-Cust Growth'!SV$3:SV9)</f>
        <v>83622.379985301843</v>
      </c>
      <c r="AR8" s="9">
        <f>'[2]WA-Res-Existing Cust'!SU10+SUM('[2]WA-Res-Cust Growth'!SW$3:SW9)</f>
        <v>70445.496598684986</v>
      </c>
      <c r="AS8" s="9">
        <f>'[2]WA-Res-Existing Cust'!SV10+SUM('[2]WA-Res-Cust Growth'!SX$3:SX9)</f>
        <v>97262.583788876786</v>
      </c>
      <c r="AT8" s="9">
        <f>'[2]WA-Res-Existing Cust'!SW10+SUM('[2]WA-Res-Cust Growth'!SY$3:SY9)</f>
        <v>97262.583788876786</v>
      </c>
      <c r="AU8" s="9">
        <f>'[2]WA-Res-Existing Cust'!SX10+SUM('[2]WA-Res-Cust Growth'!SZ$3:SZ9)</f>
        <v>97262.583788876786</v>
      </c>
      <c r="AV8" s="9"/>
      <c r="AW8">
        <v>2028</v>
      </c>
      <c r="AX8" s="9">
        <f>'[2]WA-Com-Existing Cust'!SO10+SUM('[2]WA-Com-Cust Growth'!SQ$3:SQ9)</f>
        <v>8507.7188477487653</v>
      </c>
      <c r="AY8" s="9">
        <f>'[2]WA-Com-Existing Cust'!SP10+SUM('[2]WA-Com-Cust Growth'!SR$3:SR9)</f>
        <v>8507.7188477487653</v>
      </c>
      <c r="AZ8" s="9">
        <f>'[2]WA-Com-Existing Cust'!SQ10+SUM('[2]WA-Com-Cust Growth'!SS$3:SS9)</f>
        <v>8507.7188477487653</v>
      </c>
      <c r="BA8" s="9">
        <f>'[2]WA-Com-Existing Cust'!SR10+SUM('[2]WA-Com-Cust Growth'!ST$3:ST9)</f>
        <v>8507.7188477487653</v>
      </c>
      <c r="BB8" s="9">
        <f>'[2]WA-Com-Existing Cust'!SS10+SUM('[2]WA-Com-Cust Growth'!SU$3:SU9)</f>
        <v>7710.2100094389198</v>
      </c>
      <c r="BC8" s="9">
        <f>'[2]WA-Com-Existing Cust'!ST10+SUM('[2]WA-Com-Cust Growth'!SV$3:SV9)</f>
        <v>7199.3952686973653</v>
      </c>
      <c r="BD8" s="9">
        <f>'[2]WA-Com-Existing Cust'!SU10+SUM('[2]WA-Com-Cust Growth'!SW$3:SW9)</f>
        <v>6081.2688664897014</v>
      </c>
      <c r="BE8" s="9">
        <f>'[2]WA-Com-Existing Cust'!SV10+SUM('[2]WA-Com-Cust Growth'!SX$3:SX9)</f>
        <v>8507.7188477487653</v>
      </c>
      <c r="BF8" s="9">
        <f>'[2]WA-Com-Existing Cust'!SW10+SUM('[2]WA-Com-Cust Growth'!SY$3:SY9)</f>
        <v>8507.7188477487653</v>
      </c>
      <c r="BG8" s="9">
        <f>'[2]WA-Com-Existing Cust'!SX10+SUM('[2]WA-Com-Cust Growth'!SZ$3:SZ9)</f>
        <v>8507.7188477487653</v>
      </c>
    </row>
    <row r="9" spans="1:59" x14ac:dyDescent="0.25">
      <c r="B9">
        <v>2029</v>
      </c>
      <c r="C9" s="187">
        <v>590420.41195079905</v>
      </c>
      <c r="D9" s="187">
        <v>55512.218089562833</v>
      </c>
      <c r="E9" s="187">
        <f t="shared" si="0"/>
        <v>645932.6300403619</v>
      </c>
      <c r="F9" s="187">
        <v>81966.157209082638</v>
      </c>
      <c r="G9" s="187">
        <v>7055.970088078825</v>
      </c>
      <c r="H9" s="187">
        <f t="shared" si="1"/>
        <v>89022.127297161467</v>
      </c>
      <c r="I9" s="9">
        <f t="shared" si="2"/>
        <v>874544.42089576065</v>
      </c>
      <c r="K9">
        <v>2029</v>
      </c>
      <c r="M9" s="9">
        <f>'[2]OR-Res-Existing Cust'!SO11+SUM('[2]OR-Res-Cust Growth'!SQ$3:SQ10)</f>
        <v>701891.78463485243</v>
      </c>
      <c r="N9" s="9">
        <f>'[2]OR-Res-Existing Cust'!SP11+SUM('[2]OR-Res-Cust Growth'!SR$3:SR10)</f>
        <v>701891.78463485243</v>
      </c>
      <c r="O9" s="9">
        <f>'[2]OR-Res-Existing Cust'!SQ11+SUM('[2]OR-Res-Cust Growth'!SS$3:SS10)</f>
        <v>701891.78463485243</v>
      </c>
      <c r="P9" s="9">
        <f>'[2]OR-Res-Existing Cust'!SR11+SUM('[2]OR-Res-Cust Growth'!ST$3:ST10)</f>
        <v>701891.78463485243</v>
      </c>
      <c r="Q9" s="9">
        <f>'[2]OR-Res-Existing Cust'!SS11+SUM('[2]OR-Res-Cust Growth'!SU$3:SU10)</f>
        <v>647076.66591351258</v>
      </c>
      <c r="R9" s="9">
        <f>'[2]OR-Res-Existing Cust'!ST11+SUM('[2]OR-Res-Cust Growth'!SV$3:SV10)</f>
        <v>590420.41195079905</v>
      </c>
      <c r="S9" s="9">
        <f>'[2]OR-Res-Existing Cust'!SU11+SUM('[2]OR-Res-Cust Growth'!SW$3:SW10)</f>
        <v>480631.2614432589</v>
      </c>
      <c r="T9" s="9">
        <f>'[2]OR-Res-Existing Cust'!SV11+SUM('[2]OR-Res-Cust Growth'!SX$3:SX10)</f>
        <v>701891.78463485243</v>
      </c>
      <c r="U9" s="9">
        <f>'[2]OR-Res-Existing Cust'!SW11+SUM('[2]OR-Res-Cust Growth'!SY$3:SY10)</f>
        <v>701891.78463485243</v>
      </c>
      <c r="V9" s="9">
        <f>'[2]OR-Res-Existing Cust'!SX11+SUM('[2]OR-Res-Cust Growth'!SZ$3:SZ10)</f>
        <v>701891.78463485243</v>
      </c>
      <c r="W9" s="9"/>
      <c r="X9">
        <v>2029</v>
      </c>
      <c r="Y9" s="9">
        <f>'[2]OR-Com-Existing Cust'!SO11+SUM('[2]OR-Com-Cust Growth'!SQ$3:SQ10)</f>
        <v>64950.793155523206</v>
      </c>
      <c r="Z9" s="9">
        <f>'[2]OR-Com-Existing Cust'!SP11+SUM('[2]OR-Com-Cust Growth'!SR$3:SR10)</f>
        <v>64950.793155523206</v>
      </c>
      <c r="AA9" s="9">
        <f>'[2]OR-Com-Existing Cust'!SQ11+SUM('[2]OR-Com-Cust Growth'!SS$3:SS10)</f>
        <v>64950.793155523206</v>
      </c>
      <c r="AB9" s="9">
        <f>'[2]OR-Com-Existing Cust'!SR11+SUM('[2]OR-Com-Cust Growth'!ST$3:ST10)</f>
        <v>64950.793155523206</v>
      </c>
      <c r="AC9" s="9">
        <f>'[2]OR-Com-Existing Cust'!SS11+SUM('[2]OR-Com-Cust Growth'!SU$3:SU10)</f>
        <v>60382.487565992116</v>
      </c>
      <c r="AD9" s="9">
        <f>'[2]OR-Com-Existing Cust'!ST11+SUM('[2]OR-Com-Cust Growth'!SV$3:SV10)</f>
        <v>55512.218089562833</v>
      </c>
      <c r="AE9" s="9">
        <f>'[2]OR-Com-Existing Cust'!SU11+SUM('[2]OR-Com-Cust Growth'!SW$3:SW10)</f>
        <v>45275.799947137246</v>
      </c>
      <c r="AF9" s="9">
        <f>'[2]OR-Com-Existing Cust'!SV11+SUM('[2]OR-Com-Cust Growth'!SX$3:SX10)</f>
        <v>64950.793155523206</v>
      </c>
      <c r="AG9" s="9">
        <f>'[2]OR-Com-Existing Cust'!SW11+SUM('[2]OR-Com-Cust Growth'!SY$3:SY10)</f>
        <v>64950.793155523206</v>
      </c>
      <c r="AH9" s="9">
        <f>'[2]OR-Com-Existing Cust'!SX11+SUM('[2]OR-Com-Cust Growth'!SZ$3:SZ10)</f>
        <v>64950.793155523206</v>
      </c>
      <c r="AJ9">
        <v>2029</v>
      </c>
      <c r="AL9" s="9">
        <f>'[2]WA-Res-Existing Cust'!SO11+SUM('[2]WA-Res-Cust Growth'!SQ$3:SQ10)</f>
        <v>99015.810805590227</v>
      </c>
      <c r="AM9" s="9">
        <f>'[2]WA-Res-Existing Cust'!SP11+SUM('[2]WA-Res-Cust Growth'!SR$3:SR10)</f>
        <v>99015.810805590227</v>
      </c>
      <c r="AN9" s="9">
        <f>'[2]WA-Res-Existing Cust'!SQ11+SUM('[2]WA-Res-Cust Growth'!SS$3:SS10)</f>
        <v>99015.810805590227</v>
      </c>
      <c r="AO9" s="9">
        <f>'[2]WA-Res-Existing Cust'!SR11+SUM('[2]WA-Res-Cust Growth'!ST$3:ST10)</f>
        <v>99015.810805590227</v>
      </c>
      <c r="AP9" s="9">
        <f>'[2]WA-Res-Existing Cust'!SS11+SUM('[2]WA-Res-Cust Growth'!SU$3:SU10)</f>
        <v>90015.810805590227</v>
      </c>
      <c r="AQ9" s="9">
        <f>'[2]WA-Res-Existing Cust'!ST11+SUM('[2]WA-Res-Cust Growth'!SV$3:SV10)</f>
        <v>81966.157209082638</v>
      </c>
      <c r="AR9" s="9">
        <f>'[2]WA-Res-Existing Cust'!SU11+SUM('[2]WA-Res-Cust Growth'!SW$3:SW10)</f>
        <v>67129.214266081486</v>
      </c>
      <c r="AS9" s="9">
        <f>'[2]WA-Res-Existing Cust'!SV11+SUM('[2]WA-Res-Cust Growth'!SX$3:SX10)</f>
        <v>99015.810805590227</v>
      </c>
      <c r="AT9" s="9">
        <f>'[2]WA-Res-Existing Cust'!SW11+SUM('[2]WA-Res-Cust Growth'!SY$3:SY10)</f>
        <v>99015.810805590227</v>
      </c>
      <c r="AU9" s="9">
        <f>'[2]WA-Res-Existing Cust'!SX11+SUM('[2]WA-Res-Cust Growth'!SZ$3:SZ10)</f>
        <v>99015.810805590227</v>
      </c>
      <c r="AV9" s="9"/>
      <c r="AW9">
        <v>2029</v>
      </c>
      <c r="AX9" s="9">
        <f>'[2]WA-Com-Existing Cust'!SO11+SUM('[2]WA-Com-Cust Growth'!SQ$3:SQ10)</f>
        <v>8686.0322997947769</v>
      </c>
      <c r="AY9" s="9">
        <f>'[2]WA-Com-Existing Cust'!SP11+SUM('[2]WA-Com-Cust Growth'!SR$3:SR10)</f>
        <v>8686.0322997947769</v>
      </c>
      <c r="AZ9" s="9">
        <f>'[2]WA-Com-Existing Cust'!SQ11+SUM('[2]WA-Com-Cust Growth'!SS$3:SS10)</f>
        <v>8686.0322997947769</v>
      </c>
      <c r="BA9" s="9">
        <f>'[2]WA-Com-Existing Cust'!SR11+SUM('[2]WA-Com-Cust Growth'!ST$3:ST10)</f>
        <v>8686.0322997947769</v>
      </c>
      <c r="BB9" s="9">
        <f>'[2]WA-Com-Existing Cust'!SS11+SUM('[2]WA-Com-Cust Growth'!SU$3:SU10)</f>
        <v>7695.1771230178183</v>
      </c>
      <c r="BC9" s="9">
        <f>'[2]WA-Com-Existing Cust'!ST11+SUM('[2]WA-Com-Cust Growth'!SV$3:SV10)</f>
        <v>7055.970088078825</v>
      </c>
      <c r="BD9" s="9">
        <f>'[2]WA-Com-Existing Cust'!SU11+SUM('[2]WA-Com-Cust Growth'!SW$3:SW10)</f>
        <v>5792.8777135294267</v>
      </c>
      <c r="BE9" s="9">
        <f>'[2]WA-Com-Existing Cust'!SV11+SUM('[2]WA-Com-Cust Growth'!SX$3:SX10)</f>
        <v>8686.0322997947769</v>
      </c>
      <c r="BF9" s="9">
        <f>'[2]WA-Com-Existing Cust'!SW11+SUM('[2]WA-Com-Cust Growth'!SY$3:SY10)</f>
        <v>8686.0322997947769</v>
      </c>
      <c r="BG9" s="9">
        <f>'[2]WA-Com-Existing Cust'!SX11+SUM('[2]WA-Com-Cust Growth'!SZ$3:SZ10)</f>
        <v>8686.0322997947769</v>
      </c>
    </row>
    <row r="10" spans="1:59" x14ac:dyDescent="0.25">
      <c r="B10">
        <v>2030</v>
      </c>
      <c r="C10" s="187">
        <v>578050.58248406928</v>
      </c>
      <c r="D10" s="187">
        <v>54338.755850447022</v>
      </c>
      <c r="E10" s="187">
        <f t="shared" si="0"/>
        <v>632389.33833451627</v>
      </c>
      <c r="F10" s="187">
        <v>80309.934432863432</v>
      </c>
      <c r="G10" s="187">
        <v>6912.5449074602848</v>
      </c>
      <c r="H10" s="187">
        <f t="shared" si="1"/>
        <v>87222.479340323713</v>
      </c>
      <c r="I10" s="9">
        <f t="shared" si="2"/>
        <v>886794.11344697746</v>
      </c>
      <c r="K10">
        <v>2030</v>
      </c>
      <c r="M10" s="9">
        <f>'[2]OR-Res-Existing Cust'!SO12+SUM('[2]OR-Res-Cust Growth'!SQ$3:SQ11)</f>
        <v>711559.74900486111</v>
      </c>
      <c r="N10" s="9">
        <f>'[2]OR-Res-Existing Cust'!SP12+SUM('[2]OR-Res-Cust Growth'!SR$3:SR11)</f>
        <v>711559.74900486111</v>
      </c>
      <c r="O10" s="9">
        <f>'[2]OR-Res-Existing Cust'!SQ12+SUM('[2]OR-Res-Cust Growth'!SS$3:SS11)</f>
        <v>711559.74900486111</v>
      </c>
      <c r="P10" s="9">
        <f>'[2]OR-Res-Existing Cust'!SR12+SUM('[2]OR-Res-Cust Growth'!ST$3:ST11)</f>
        <v>711559.74900486111</v>
      </c>
      <c r="Q10" s="9">
        <f>'[2]OR-Res-Existing Cust'!SS12+SUM('[2]OR-Res-Cust Growth'!SU$3:SU11)</f>
        <v>646024.11306077626</v>
      </c>
      <c r="R10" s="9">
        <f>'[2]OR-Res-Existing Cust'!ST12+SUM('[2]OR-Res-Cust Growth'!SV$3:SV11)</f>
        <v>578050.58248406928</v>
      </c>
      <c r="S10" s="9">
        <f>'[2]OR-Res-Existing Cust'!SU12+SUM('[2]OR-Res-Cust Growth'!SW$3:SW11)</f>
        <v>455806.08502685349</v>
      </c>
      <c r="T10" s="9">
        <f>'[2]OR-Res-Existing Cust'!SV12+SUM('[2]OR-Res-Cust Growth'!SX$3:SX11)</f>
        <v>711559.74900486111</v>
      </c>
      <c r="U10" s="9">
        <f>'[2]OR-Res-Existing Cust'!SW12+SUM('[2]OR-Res-Cust Growth'!SY$3:SY11)</f>
        <v>711559.74900486111</v>
      </c>
      <c r="V10" s="9">
        <f>'[2]OR-Res-Existing Cust'!SX12+SUM('[2]OR-Res-Cust Growth'!SZ$3:SZ11)</f>
        <v>711559.74900486111</v>
      </c>
      <c r="W10" s="9"/>
      <c r="X10">
        <v>2030</v>
      </c>
      <c r="Y10" s="9">
        <f>'[2]OR-Com-Existing Cust'!SO12+SUM('[2]OR-Com-Cust Growth'!SQ$3:SQ11)</f>
        <v>65601.643417448009</v>
      </c>
      <c r="Z10" s="9">
        <f>'[2]OR-Com-Existing Cust'!SP12+SUM('[2]OR-Com-Cust Growth'!SR$3:SR11)</f>
        <v>65601.643417448009</v>
      </c>
      <c r="AA10" s="9">
        <f>'[2]OR-Com-Existing Cust'!SQ12+SUM('[2]OR-Com-Cust Growth'!SS$3:SS11)</f>
        <v>65601.643417448009</v>
      </c>
      <c r="AB10" s="9">
        <f>'[2]OR-Com-Existing Cust'!SR12+SUM('[2]OR-Com-Cust Growth'!ST$3:ST11)</f>
        <v>65601.643417448009</v>
      </c>
      <c r="AC10" s="9">
        <f>'[2]OR-Com-Existing Cust'!SS12+SUM('[2]OR-Com-Cust Growth'!SU$3:SU11)</f>
        <v>60204.426376271753</v>
      </c>
      <c r="AD10" s="9">
        <f>'[2]OR-Com-Existing Cust'!ST12+SUM('[2]OR-Com-Cust Growth'!SV$3:SV11)</f>
        <v>54338.755850447022</v>
      </c>
      <c r="AE10" s="9">
        <f>'[2]OR-Com-Existing Cust'!SU12+SUM('[2]OR-Com-Cust Growth'!SW$3:SW11)</f>
        <v>42910.834246149134</v>
      </c>
      <c r="AF10" s="9">
        <f>'[2]OR-Com-Existing Cust'!SV12+SUM('[2]OR-Com-Cust Growth'!SX$3:SX11)</f>
        <v>65601.643417448009</v>
      </c>
      <c r="AG10" s="9">
        <f>'[2]OR-Com-Existing Cust'!SW12+SUM('[2]OR-Com-Cust Growth'!SY$3:SY11)</f>
        <v>65601.643417448009</v>
      </c>
      <c r="AH10" s="9">
        <f>'[2]OR-Com-Existing Cust'!SX12+SUM('[2]OR-Com-Cust Growth'!SZ$3:SZ11)</f>
        <v>65601.643417448009</v>
      </c>
      <c r="AJ10">
        <v>2030</v>
      </c>
      <c r="AL10" s="9">
        <f>'[2]WA-Res-Existing Cust'!SO12+SUM('[2]WA-Res-Cust Growth'!SQ$3:SQ11)</f>
        <v>100768.61345779397</v>
      </c>
      <c r="AM10" s="9">
        <f>'[2]WA-Res-Existing Cust'!SP12+SUM('[2]WA-Res-Cust Growth'!SR$3:SR11)</f>
        <v>100768.61345779397</v>
      </c>
      <c r="AN10" s="9">
        <f>'[2]WA-Res-Existing Cust'!SQ12+SUM('[2]WA-Res-Cust Growth'!SS$3:SS11)</f>
        <v>100768.61345779397</v>
      </c>
      <c r="AO10" s="9">
        <f>'[2]WA-Res-Existing Cust'!SR12+SUM('[2]WA-Res-Cust Growth'!ST$3:ST11)</f>
        <v>100768.61345779397</v>
      </c>
      <c r="AP10" s="9">
        <f>'[2]WA-Res-Existing Cust'!SS12+SUM('[2]WA-Res-Cust Growth'!SU$3:SU11)</f>
        <v>89968.613457793967</v>
      </c>
      <c r="AQ10" s="9">
        <f>'[2]WA-Res-Existing Cust'!ST12+SUM('[2]WA-Res-Cust Growth'!SV$3:SV11)</f>
        <v>80309.934432863432</v>
      </c>
      <c r="AR10" s="9">
        <f>'[2]WA-Res-Existing Cust'!SU12+SUM('[2]WA-Res-Cust Growth'!SW$3:SW11)</f>
        <v>63812.931933477987</v>
      </c>
      <c r="AS10" s="9">
        <f>'[2]WA-Res-Existing Cust'!SV12+SUM('[2]WA-Res-Cust Growth'!SX$3:SX11)</f>
        <v>100768.61345779397</v>
      </c>
      <c r="AT10" s="9">
        <f>'[2]WA-Res-Existing Cust'!SW12+SUM('[2]WA-Res-Cust Growth'!SY$3:SY11)</f>
        <v>100768.61345779397</v>
      </c>
      <c r="AU10" s="9">
        <f>'[2]WA-Res-Existing Cust'!SX12+SUM('[2]WA-Res-Cust Growth'!SZ$3:SZ11)</f>
        <v>100768.61345779397</v>
      </c>
      <c r="AV10" s="9"/>
      <c r="AW10">
        <v>2030</v>
      </c>
      <c r="AX10" s="9">
        <f>'[2]WA-Com-Existing Cust'!SO12+SUM('[2]WA-Com-Cust Growth'!SQ$3:SQ11)</f>
        <v>8864.1075668743397</v>
      </c>
      <c r="AY10" s="9">
        <f>'[2]WA-Com-Existing Cust'!SP12+SUM('[2]WA-Com-Cust Growth'!SR$3:SR11)</f>
        <v>8864.1075668743397</v>
      </c>
      <c r="AZ10" s="9">
        <f>'[2]WA-Com-Existing Cust'!SQ12+SUM('[2]WA-Com-Cust Growth'!SS$3:SS11)</f>
        <v>8864.1075668743397</v>
      </c>
      <c r="BA10" s="9">
        <f>'[2]WA-Com-Existing Cust'!SR12+SUM('[2]WA-Com-Cust Growth'!ST$3:ST11)</f>
        <v>8864.1075668743397</v>
      </c>
      <c r="BB10" s="9">
        <f>'[2]WA-Com-Existing Cust'!SS12+SUM('[2]WA-Com-Cust Growth'!SU$3:SU11)</f>
        <v>7680.1643665247047</v>
      </c>
      <c r="BC10" s="9">
        <f>'[2]WA-Com-Existing Cust'!ST12+SUM('[2]WA-Com-Cust Growth'!SV$3:SV11)</f>
        <v>6912.5449074602848</v>
      </c>
      <c r="BD10" s="9">
        <f>'[2]WA-Com-Existing Cust'!SU12+SUM('[2]WA-Com-Cust Growth'!SW$3:SW11)</f>
        <v>5504.4865605691521</v>
      </c>
      <c r="BE10" s="9">
        <f>'[2]WA-Com-Existing Cust'!SV12+SUM('[2]WA-Com-Cust Growth'!SX$3:SX11)</f>
        <v>8864.1075668743397</v>
      </c>
      <c r="BF10" s="9">
        <f>'[2]WA-Com-Existing Cust'!SW12+SUM('[2]WA-Com-Cust Growth'!SY$3:SY11)</f>
        <v>8864.1075668743397</v>
      </c>
      <c r="BG10" s="9">
        <f>'[2]WA-Com-Existing Cust'!SX12+SUM('[2]WA-Com-Cust Growth'!SZ$3:SZ11)</f>
        <v>8864.1075668743397</v>
      </c>
    </row>
    <row r="11" spans="1:59" x14ac:dyDescent="0.25">
      <c r="B11">
        <v>2031</v>
      </c>
      <c r="C11" s="187">
        <v>565680.75301733951</v>
      </c>
      <c r="D11" s="187">
        <v>53165.29361133121</v>
      </c>
      <c r="E11" s="187">
        <f t="shared" si="0"/>
        <v>618846.04662867077</v>
      </c>
      <c r="F11" s="187">
        <v>78653.711656644227</v>
      </c>
      <c r="G11" s="187">
        <v>6769.1197268417445</v>
      </c>
      <c r="H11" s="187">
        <f t="shared" si="1"/>
        <v>85422.831383485973</v>
      </c>
      <c r="I11" s="9">
        <f t="shared" si="2"/>
        <v>898877.06867187889</v>
      </c>
      <c r="K11">
        <v>2031</v>
      </c>
      <c r="M11" s="9">
        <f>'[2]OR-Res-Existing Cust'!SO13+SUM('[2]OR-Res-Cust Growth'!SQ$3:SQ12)</f>
        <v>721067.46843229118</v>
      </c>
      <c r="N11" s="9">
        <f>'[2]OR-Res-Existing Cust'!SP13+SUM('[2]OR-Res-Cust Growth'!SR$3:SR12)</f>
        <v>721067.46843229118</v>
      </c>
      <c r="O11" s="9">
        <f>'[2]OR-Res-Existing Cust'!SQ13+SUM('[2]OR-Res-Cust Growth'!SS$3:SS12)</f>
        <v>721067.46843229118</v>
      </c>
      <c r="P11" s="9">
        <f>'[2]OR-Res-Existing Cust'!SR13+SUM('[2]OR-Res-Cust Growth'!ST$3:ST12)</f>
        <v>721067.46843229118</v>
      </c>
      <c r="Q11" s="9">
        <f>'[2]OR-Res-Existing Cust'!SS13+SUM('[2]OR-Res-Cust Growth'!SU$3:SU12)</f>
        <v>644972.53758968273</v>
      </c>
      <c r="R11" s="9">
        <f>'[2]OR-Res-Existing Cust'!ST13+SUM('[2]OR-Res-Cust Growth'!SV$3:SV12)</f>
        <v>565680.75301733951</v>
      </c>
      <c r="S11" s="9">
        <f>'[2]OR-Res-Existing Cust'!SU13+SUM('[2]OR-Res-Cust Growth'!SW$3:SW12)</f>
        <v>430980.90861044807</v>
      </c>
      <c r="T11" s="9">
        <f>'[2]OR-Res-Existing Cust'!SV13+SUM('[2]OR-Res-Cust Growth'!SX$3:SX12)</f>
        <v>721067.46843229118</v>
      </c>
      <c r="U11" s="9">
        <f>'[2]OR-Res-Existing Cust'!SW13+SUM('[2]OR-Res-Cust Growth'!SY$3:SY12)</f>
        <v>721067.46843229118</v>
      </c>
      <c r="V11" s="9">
        <f>'[2]OR-Res-Existing Cust'!SX13+SUM('[2]OR-Res-Cust Growth'!SZ$3:SZ12)</f>
        <v>721067.46843229118</v>
      </c>
      <c r="W11" s="9"/>
      <c r="X11">
        <v>2031</v>
      </c>
      <c r="Y11" s="9">
        <f>'[2]OR-Com-Existing Cust'!SO13+SUM('[2]OR-Com-Cust Growth'!SQ$3:SQ12)</f>
        <v>66247.751801839157</v>
      </c>
      <c r="Z11" s="9">
        <f>'[2]OR-Com-Existing Cust'!SP13+SUM('[2]OR-Com-Cust Growth'!SR$3:SR12)</f>
        <v>66247.751801839157</v>
      </c>
      <c r="AA11" s="9">
        <f>'[2]OR-Com-Existing Cust'!SQ13+SUM('[2]OR-Com-Cust Growth'!SS$3:SS12)</f>
        <v>66247.751801839157</v>
      </c>
      <c r="AB11" s="9">
        <f>'[2]OR-Com-Existing Cust'!SR13+SUM('[2]OR-Com-Cust Growth'!ST$3:ST12)</f>
        <v>66247.751801839157</v>
      </c>
      <c r="AC11" s="9">
        <f>'[2]OR-Com-Existing Cust'!SS13+SUM('[2]OR-Com-Cust Growth'!SU$3:SU12)</f>
        <v>60027.625958964381</v>
      </c>
      <c r="AD11" s="9">
        <f>'[2]OR-Com-Existing Cust'!ST13+SUM('[2]OR-Com-Cust Growth'!SV$3:SV12)</f>
        <v>53165.29361133121</v>
      </c>
      <c r="AE11" s="9">
        <f>'[2]OR-Com-Existing Cust'!SU13+SUM('[2]OR-Com-Cust Growth'!SW$3:SW12)</f>
        <v>40545.868545161022</v>
      </c>
      <c r="AF11" s="9">
        <f>'[2]OR-Com-Existing Cust'!SV13+SUM('[2]OR-Com-Cust Growth'!SX$3:SX12)</f>
        <v>66247.751801839157</v>
      </c>
      <c r="AG11" s="9">
        <f>'[2]OR-Com-Existing Cust'!SW13+SUM('[2]OR-Com-Cust Growth'!SY$3:SY12)</f>
        <v>66247.751801839157</v>
      </c>
      <c r="AH11" s="9">
        <f>'[2]OR-Com-Existing Cust'!SX13+SUM('[2]OR-Com-Cust Growth'!SZ$3:SZ12)</f>
        <v>66247.751801839157</v>
      </c>
      <c r="AJ11">
        <v>2031</v>
      </c>
      <c r="AL11" s="9">
        <f>'[2]WA-Res-Existing Cust'!SO13+SUM('[2]WA-Res-Cust Growth'!SQ$3:SQ12)</f>
        <v>102521.17483437489</v>
      </c>
      <c r="AM11" s="9">
        <f>'[2]WA-Res-Existing Cust'!SP13+SUM('[2]WA-Res-Cust Growth'!SR$3:SR12)</f>
        <v>102521.17483437489</v>
      </c>
      <c r="AN11" s="9">
        <f>'[2]WA-Res-Existing Cust'!SQ13+SUM('[2]WA-Res-Cust Growth'!SS$3:SS12)</f>
        <v>102521.17483437489</v>
      </c>
      <c r="AO11" s="9">
        <f>'[2]WA-Res-Existing Cust'!SR13+SUM('[2]WA-Res-Cust Growth'!ST$3:ST12)</f>
        <v>102521.17483437489</v>
      </c>
      <c r="AP11" s="9">
        <f>'[2]WA-Res-Existing Cust'!SS13+SUM('[2]WA-Res-Cust Growth'!SU$3:SU12)</f>
        <v>89921.174834374891</v>
      </c>
      <c r="AQ11" s="9">
        <f>'[2]WA-Res-Existing Cust'!ST13+SUM('[2]WA-Res-Cust Growth'!SV$3:SV12)</f>
        <v>78653.711656644227</v>
      </c>
      <c r="AR11" s="9">
        <f>'[2]WA-Res-Existing Cust'!SU13+SUM('[2]WA-Res-Cust Growth'!SW$3:SW12)</f>
        <v>60496.649600874487</v>
      </c>
      <c r="AS11" s="9">
        <f>'[2]WA-Res-Existing Cust'!SV13+SUM('[2]WA-Res-Cust Growth'!SX$3:SX12)</f>
        <v>102521.17483437489</v>
      </c>
      <c r="AT11" s="9">
        <f>'[2]WA-Res-Existing Cust'!SW13+SUM('[2]WA-Res-Cust Growth'!SY$3:SY12)</f>
        <v>102521.17483437489</v>
      </c>
      <c r="AU11" s="9">
        <f>'[2]WA-Res-Existing Cust'!SX13+SUM('[2]WA-Res-Cust Growth'!SZ$3:SZ12)</f>
        <v>102521.17483437489</v>
      </c>
      <c r="AV11" s="9"/>
      <c r="AW11">
        <v>2031</v>
      </c>
      <c r="AX11" s="9">
        <f>'[2]WA-Com-Existing Cust'!SO13+SUM('[2]WA-Com-Cust Growth'!SQ$3:SQ12)</f>
        <v>9040.6736033736888</v>
      </c>
      <c r="AY11" s="9">
        <f>'[2]WA-Com-Existing Cust'!SP13+SUM('[2]WA-Com-Cust Growth'!SR$3:SR12)</f>
        <v>9040.6736033736888</v>
      </c>
      <c r="AZ11" s="9">
        <f>'[2]WA-Com-Existing Cust'!SQ13+SUM('[2]WA-Com-Cust Growth'!SS$3:SS12)</f>
        <v>9040.6736033736888</v>
      </c>
      <c r="BA11" s="9">
        <f>'[2]WA-Com-Existing Cust'!SR13+SUM('[2]WA-Com-Cust Growth'!ST$3:ST12)</f>
        <v>9040.6736033736888</v>
      </c>
      <c r="BB11" s="9">
        <f>'[2]WA-Com-Existing Cust'!SS13+SUM('[2]WA-Com-Cust Growth'!SU$3:SU12)</f>
        <v>7665.2795600254949</v>
      </c>
      <c r="BC11" s="9">
        <f>'[2]WA-Com-Existing Cust'!ST13+SUM('[2]WA-Com-Cust Growth'!SV$3:SV12)</f>
        <v>6769.1197268417445</v>
      </c>
      <c r="BD11" s="9">
        <f>'[2]WA-Com-Existing Cust'!SU13+SUM('[2]WA-Com-Cust Growth'!SW$3:SW12)</f>
        <v>5216.0954076088774</v>
      </c>
      <c r="BE11" s="9">
        <f>'[2]WA-Com-Existing Cust'!SV13+SUM('[2]WA-Com-Cust Growth'!SX$3:SX12)</f>
        <v>9040.6736033736888</v>
      </c>
      <c r="BF11" s="9">
        <f>'[2]WA-Com-Existing Cust'!SW13+SUM('[2]WA-Com-Cust Growth'!SY$3:SY12)</f>
        <v>9040.6736033736888</v>
      </c>
      <c r="BG11" s="9">
        <f>'[2]WA-Com-Existing Cust'!SX13+SUM('[2]WA-Com-Cust Growth'!SZ$3:SZ12)</f>
        <v>9040.6736033736888</v>
      </c>
    </row>
    <row r="12" spans="1:59" x14ac:dyDescent="0.25">
      <c r="B12">
        <v>2032</v>
      </c>
      <c r="C12" s="187">
        <v>553310.92355060985</v>
      </c>
      <c r="D12" s="187">
        <v>51991.831372215398</v>
      </c>
      <c r="E12" s="187">
        <f t="shared" si="0"/>
        <v>605302.75492282526</v>
      </c>
      <c r="F12" s="187">
        <v>76997.488880425022</v>
      </c>
      <c r="G12" s="187">
        <v>6625.6945462232043</v>
      </c>
      <c r="H12" s="187">
        <f t="shared" si="1"/>
        <v>83623.183426648233</v>
      </c>
      <c r="I12" s="9">
        <f t="shared" si="2"/>
        <v>910535.44451247039</v>
      </c>
      <c r="K12">
        <v>2032</v>
      </c>
      <c r="M12" s="9">
        <f>'[2]OR-Res-Existing Cust'!SO14+SUM('[2]OR-Res-Cust Growth'!SQ$3:SQ13)</f>
        <v>730176.64216696541</v>
      </c>
      <c r="N12" s="9">
        <f>'[2]OR-Res-Existing Cust'!SP14+SUM('[2]OR-Res-Cust Growth'!SR$3:SR13)</f>
        <v>730176.64216696541</v>
      </c>
      <c r="O12" s="9">
        <f>'[2]OR-Res-Existing Cust'!SQ14+SUM('[2]OR-Res-Cust Growth'!SS$3:SS13)</f>
        <v>730176.64216696541</v>
      </c>
      <c r="P12" s="9">
        <f>'[2]OR-Res-Existing Cust'!SR14+SUM('[2]OR-Res-Cust Growth'!ST$3:ST13)</f>
        <v>730176.64216696541</v>
      </c>
      <c r="Q12" s="9">
        <f>'[2]OR-Res-Existing Cust'!SS14+SUM('[2]OR-Res-Cust Growth'!SU$3:SU13)</f>
        <v>643953.53081545676</v>
      </c>
      <c r="R12" s="9">
        <f>'[2]OR-Res-Existing Cust'!ST14+SUM('[2]OR-Res-Cust Growth'!SV$3:SV13)</f>
        <v>553310.92355060985</v>
      </c>
      <c r="S12" s="9">
        <f>'[2]OR-Res-Existing Cust'!SU14+SUM('[2]OR-Res-Cust Growth'!SW$3:SW13)</f>
        <v>406155.73219404265</v>
      </c>
      <c r="T12" s="9">
        <f>'[2]OR-Res-Existing Cust'!SV14+SUM('[2]OR-Res-Cust Growth'!SX$3:SX13)</f>
        <v>730176.64216696541</v>
      </c>
      <c r="U12" s="9">
        <f>'[2]OR-Res-Existing Cust'!SW14+SUM('[2]OR-Res-Cust Growth'!SY$3:SY13)</f>
        <v>730176.64216696541</v>
      </c>
      <c r="V12" s="9">
        <f>'[2]OR-Res-Existing Cust'!SX14+SUM('[2]OR-Res-Cust Growth'!SZ$3:SZ13)</f>
        <v>730176.64216696541</v>
      </c>
      <c r="W12" s="9"/>
      <c r="X12">
        <v>2032</v>
      </c>
      <c r="Y12" s="9">
        <f>'[2]OR-Com-Existing Cust'!SO14+SUM('[2]OR-Com-Cust Growth'!SQ$3:SQ13)</f>
        <v>66869.845531976796</v>
      </c>
      <c r="Z12" s="9">
        <f>'[2]OR-Com-Existing Cust'!SP14+SUM('[2]OR-Com-Cust Growth'!SR$3:SR13)</f>
        <v>66869.845531976796</v>
      </c>
      <c r="AA12" s="9">
        <f>'[2]OR-Com-Existing Cust'!SQ14+SUM('[2]OR-Com-Cust Growth'!SS$3:SS13)</f>
        <v>66869.845531976796</v>
      </c>
      <c r="AB12" s="9">
        <f>'[2]OR-Com-Existing Cust'!SR14+SUM('[2]OR-Com-Cust Growth'!ST$3:ST13)</f>
        <v>66869.845531976796</v>
      </c>
      <c r="AC12" s="9">
        <f>'[2]OR-Com-Existing Cust'!SS14+SUM('[2]OR-Com-Cust Growth'!SU$3:SU13)</f>
        <v>59857.204161277346</v>
      </c>
      <c r="AD12" s="9">
        <f>'[2]OR-Com-Existing Cust'!ST14+SUM('[2]OR-Com-Cust Growth'!SV$3:SV13)</f>
        <v>51991.831372215398</v>
      </c>
      <c r="AE12" s="9">
        <f>'[2]OR-Com-Existing Cust'!SU14+SUM('[2]OR-Com-Cust Growth'!SW$3:SW13)</f>
        <v>38180.90284417291</v>
      </c>
      <c r="AF12" s="9">
        <f>'[2]OR-Com-Existing Cust'!SV14+SUM('[2]OR-Com-Cust Growth'!SX$3:SX13)</f>
        <v>66869.845531976796</v>
      </c>
      <c r="AG12" s="9">
        <f>'[2]OR-Com-Existing Cust'!SW14+SUM('[2]OR-Com-Cust Growth'!SY$3:SY13)</f>
        <v>66869.845531976796</v>
      </c>
      <c r="AH12" s="9">
        <f>'[2]OR-Com-Existing Cust'!SX14+SUM('[2]OR-Com-Cust Growth'!SZ$3:SZ13)</f>
        <v>66869.845531976796</v>
      </c>
      <c r="AJ12">
        <v>2032</v>
      </c>
      <c r="AL12" s="9">
        <f>'[2]WA-Res-Existing Cust'!SO14+SUM('[2]WA-Res-Cust Growth'!SQ$3:SQ13)</f>
        <v>104273.66438332187</v>
      </c>
      <c r="AM12" s="9">
        <f>'[2]WA-Res-Existing Cust'!SP14+SUM('[2]WA-Res-Cust Growth'!SR$3:SR13)</f>
        <v>104273.66438332187</v>
      </c>
      <c r="AN12" s="9">
        <f>'[2]WA-Res-Existing Cust'!SQ14+SUM('[2]WA-Res-Cust Growth'!SS$3:SS13)</f>
        <v>104273.66438332187</v>
      </c>
      <c r="AO12" s="9">
        <f>'[2]WA-Res-Existing Cust'!SR14+SUM('[2]WA-Res-Cust Growth'!ST$3:ST13)</f>
        <v>104273.66438332187</v>
      </c>
      <c r="AP12" s="9">
        <f>'[2]WA-Res-Existing Cust'!SS14+SUM('[2]WA-Res-Cust Growth'!SU$3:SU13)</f>
        <v>89873.66438332187</v>
      </c>
      <c r="AQ12" s="9">
        <f>'[2]WA-Res-Existing Cust'!ST14+SUM('[2]WA-Res-Cust Growth'!SV$3:SV13)</f>
        <v>76997.488880425022</v>
      </c>
      <c r="AR12" s="9">
        <f>'[2]WA-Res-Existing Cust'!SU14+SUM('[2]WA-Res-Cust Growth'!SW$3:SW13)</f>
        <v>57180.367268270988</v>
      </c>
      <c r="AS12" s="9">
        <f>'[2]WA-Res-Existing Cust'!SV14+SUM('[2]WA-Res-Cust Growth'!SX$3:SX13)</f>
        <v>104273.66438332187</v>
      </c>
      <c r="AT12" s="9">
        <f>'[2]WA-Res-Existing Cust'!SW14+SUM('[2]WA-Res-Cust Growth'!SY$3:SY13)</f>
        <v>104273.66438332187</v>
      </c>
      <c r="AU12" s="9">
        <f>'[2]WA-Res-Existing Cust'!SX14+SUM('[2]WA-Res-Cust Growth'!SZ$3:SZ13)</f>
        <v>104273.66438332187</v>
      </c>
      <c r="AV12" s="9"/>
      <c r="AW12">
        <v>2032</v>
      </c>
      <c r="AX12" s="9">
        <f>'[2]WA-Com-Existing Cust'!SO14+SUM('[2]WA-Com-Cust Growth'!SQ$3:SQ13)</f>
        <v>9215.2924302063439</v>
      </c>
      <c r="AY12" s="9">
        <f>'[2]WA-Com-Existing Cust'!SP14+SUM('[2]WA-Com-Cust Growth'!SR$3:SR13)</f>
        <v>9215.2924302063439</v>
      </c>
      <c r="AZ12" s="9">
        <f>'[2]WA-Com-Existing Cust'!SQ14+SUM('[2]WA-Com-Cust Growth'!SS$3:SS13)</f>
        <v>9215.2924302063439</v>
      </c>
      <c r="BA12" s="9">
        <f>'[2]WA-Com-Existing Cust'!SR14+SUM('[2]WA-Com-Cust Growth'!ST$3:ST13)</f>
        <v>9215.2924302063439</v>
      </c>
      <c r="BB12" s="9">
        <f>'[2]WA-Com-Existing Cust'!SS14+SUM('[2]WA-Com-Cust Growth'!SU$3:SU13)</f>
        <v>7650.5597716528273</v>
      </c>
      <c r="BC12" s="9">
        <f>'[2]WA-Com-Existing Cust'!ST14+SUM('[2]WA-Com-Cust Growth'!SV$3:SV13)</f>
        <v>6625.6945462232043</v>
      </c>
      <c r="BD12" s="9">
        <f>'[2]WA-Com-Existing Cust'!SU14+SUM('[2]WA-Com-Cust Growth'!SW$3:SW13)</f>
        <v>4927.7042546486027</v>
      </c>
      <c r="BE12" s="9">
        <f>'[2]WA-Com-Existing Cust'!SV14+SUM('[2]WA-Com-Cust Growth'!SX$3:SX13)</f>
        <v>9215.2924302063439</v>
      </c>
      <c r="BF12" s="9">
        <f>'[2]WA-Com-Existing Cust'!SW14+SUM('[2]WA-Com-Cust Growth'!SY$3:SY13)</f>
        <v>9215.2924302063439</v>
      </c>
      <c r="BG12" s="9">
        <f>'[2]WA-Com-Existing Cust'!SX14+SUM('[2]WA-Com-Cust Growth'!SZ$3:SZ13)</f>
        <v>9215.2924302063439</v>
      </c>
    </row>
    <row r="13" spans="1:59" x14ac:dyDescent="0.25">
      <c r="B13">
        <v>2033</v>
      </c>
      <c r="C13" s="187">
        <v>540941.09408388007</v>
      </c>
      <c r="D13" s="187">
        <v>50818.369133099586</v>
      </c>
      <c r="E13" s="187">
        <f t="shared" si="0"/>
        <v>591759.46321697964</v>
      </c>
      <c r="F13" s="187">
        <v>75341.266104205817</v>
      </c>
      <c r="G13" s="187">
        <v>6482.269365604664</v>
      </c>
      <c r="H13" s="187">
        <f t="shared" si="1"/>
        <v>81823.535469810478</v>
      </c>
      <c r="I13" s="9">
        <f t="shared" si="2"/>
        <v>921293.7495523789</v>
      </c>
      <c r="K13">
        <v>2033</v>
      </c>
      <c r="M13" s="9">
        <f>'[2]OR-Res-Existing Cust'!SO15+SUM('[2]OR-Res-Cust Growth'!SQ$3:SQ14)</f>
        <v>738413.36241619033</v>
      </c>
      <c r="N13" s="9">
        <f>'[2]OR-Res-Existing Cust'!SP15+SUM('[2]OR-Res-Cust Growth'!SR$3:SR14)</f>
        <v>738413.36241619033</v>
      </c>
      <c r="O13" s="9">
        <f>'[2]OR-Res-Existing Cust'!SQ15+SUM('[2]OR-Res-Cust Growth'!SS$3:SS14)</f>
        <v>738413.36241619033</v>
      </c>
      <c r="P13" s="9">
        <f>'[2]OR-Res-Existing Cust'!SR15+SUM('[2]OR-Res-Cust Growth'!ST$3:ST14)</f>
        <v>738413.36241619033</v>
      </c>
      <c r="Q13" s="9">
        <f>'[2]OR-Res-Existing Cust'!SS15+SUM('[2]OR-Res-Cust Growth'!SU$3:SU14)</f>
        <v>643029.98539621942</v>
      </c>
      <c r="R13" s="9">
        <f>'[2]OR-Res-Existing Cust'!ST15+SUM('[2]OR-Res-Cust Growth'!SV$3:SV14)</f>
        <v>540941.09408388007</v>
      </c>
      <c r="S13" s="9">
        <f>'[2]OR-Res-Existing Cust'!SU15+SUM('[2]OR-Res-Cust Growth'!SW$3:SW14)</f>
        <v>381330.55577763723</v>
      </c>
      <c r="T13" s="9">
        <f>'[2]OR-Res-Existing Cust'!SV15+SUM('[2]OR-Res-Cust Growth'!SX$3:SX14)</f>
        <v>738413.36241619033</v>
      </c>
      <c r="U13" s="9">
        <f>'[2]OR-Res-Existing Cust'!SW15+SUM('[2]OR-Res-Cust Growth'!SY$3:SY14)</f>
        <v>738413.36241619033</v>
      </c>
      <c r="V13" s="9">
        <f>'[2]OR-Res-Existing Cust'!SX15+SUM('[2]OR-Res-Cust Growth'!SZ$3:SZ14)</f>
        <v>738413.36241619033</v>
      </c>
      <c r="W13" s="9"/>
      <c r="X13">
        <v>2033</v>
      </c>
      <c r="Y13" s="9">
        <f>'[2]OR-Com-Existing Cust'!SO15+SUM('[2]OR-Com-Cust Growth'!SQ$3:SQ14)</f>
        <v>67465.619127801649</v>
      </c>
      <c r="Z13" s="9">
        <f>'[2]OR-Com-Existing Cust'!SP15+SUM('[2]OR-Com-Cust Growth'!SR$3:SR14)</f>
        <v>67465.619127801649</v>
      </c>
      <c r="AA13" s="9">
        <f>'[2]OR-Com-Existing Cust'!SQ15+SUM('[2]OR-Com-Cust Growth'!SS$3:SS14)</f>
        <v>67465.619127801649</v>
      </c>
      <c r="AB13" s="9">
        <f>'[2]OR-Com-Existing Cust'!SR15+SUM('[2]OR-Com-Cust Growth'!ST$3:ST14)</f>
        <v>67465.619127801649</v>
      </c>
      <c r="AC13" s="9">
        <f>'[2]OR-Com-Existing Cust'!SS15+SUM('[2]OR-Com-Cust Growth'!SU$3:SU14)</f>
        <v>59693.793185789669</v>
      </c>
      <c r="AD13" s="9">
        <f>'[2]OR-Com-Existing Cust'!ST15+SUM('[2]OR-Com-Cust Growth'!SV$3:SV14)</f>
        <v>50818.369133099586</v>
      </c>
      <c r="AE13" s="9">
        <f>'[2]OR-Com-Existing Cust'!SU15+SUM('[2]OR-Com-Cust Growth'!SW$3:SW14)</f>
        <v>35815.937143184798</v>
      </c>
      <c r="AF13" s="9">
        <f>'[2]OR-Com-Existing Cust'!SV15+SUM('[2]OR-Com-Cust Growth'!SX$3:SX14)</f>
        <v>67465.619127801649</v>
      </c>
      <c r="AG13" s="9">
        <f>'[2]OR-Com-Existing Cust'!SW15+SUM('[2]OR-Com-Cust Growth'!SY$3:SY14)</f>
        <v>67465.619127801649</v>
      </c>
      <c r="AH13" s="9">
        <f>'[2]OR-Com-Existing Cust'!SX15+SUM('[2]OR-Com-Cust Growth'!SZ$3:SZ14)</f>
        <v>67465.619127801649</v>
      </c>
      <c r="AJ13">
        <v>2033</v>
      </c>
      <c r="AL13" s="9">
        <f>'[2]WA-Res-Existing Cust'!SO15+SUM('[2]WA-Res-Cust Growth'!SQ$3:SQ14)</f>
        <v>106025.70546685754</v>
      </c>
      <c r="AM13" s="9">
        <f>'[2]WA-Res-Existing Cust'!SP15+SUM('[2]WA-Res-Cust Growth'!SR$3:SR14)</f>
        <v>106025.70546685754</v>
      </c>
      <c r="AN13" s="9">
        <f>'[2]WA-Res-Existing Cust'!SQ15+SUM('[2]WA-Res-Cust Growth'!SS$3:SS14)</f>
        <v>106025.70546685754</v>
      </c>
      <c r="AO13" s="9">
        <f>'[2]WA-Res-Existing Cust'!SR15+SUM('[2]WA-Res-Cust Growth'!ST$3:ST14)</f>
        <v>106025.70546685754</v>
      </c>
      <c r="AP13" s="9">
        <f>'[2]WA-Res-Existing Cust'!SS15+SUM('[2]WA-Res-Cust Growth'!SU$3:SU14)</f>
        <v>89825.705466857544</v>
      </c>
      <c r="AQ13" s="9">
        <f>'[2]WA-Res-Existing Cust'!ST15+SUM('[2]WA-Res-Cust Growth'!SV$3:SV14)</f>
        <v>75341.266104205817</v>
      </c>
      <c r="AR13" s="9">
        <f>'[2]WA-Res-Existing Cust'!SU15+SUM('[2]WA-Res-Cust Growth'!SW$3:SW14)</f>
        <v>53864.084935667488</v>
      </c>
      <c r="AS13" s="9">
        <f>'[2]WA-Res-Existing Cust'!SV15+SUM('[2]WA-Res-Cust Growth'!SX$3:SX14)</f>
        <v>106025.70546685754</v>
      </c>
      <c r="AT13" s="9">
        <f>'[2]WA-Res-Existing Cust'!SW15+SUM('[2]WA-Res-Cust Growth'!SY$3:SY14)</f>
        <v>106025.70546685754</v>
      </c>
      <c r="AU13" s="9">
        <f>'[2]WA-Res-Existing Cust'!SX15+SUM('[2]WA-Res-Cust Growth'!SZ$3:SZ14)</f>
        <v>106025.70546685754</v>
      </c>
      <c r="AV13" s="9"/>
      <c r="AW13">
        <v>2033</v>
      </c>
      <c r="AX13" s="9">
        <f>'[2]WA-Com-Existing Cust'!SO15+SUM('[2]WA-Com-Cust Growth'!SQ$3:SQ14)</f>
        <v>9389.062541529398</v>
      </c>
      <c r="AY13" s="9">
        <f>'[2]WA-Com-Existing Cust'!SP15+SUM('[2]WA-Com-Cust Growth'!SR$3:SR14)</f>
        <v>9389.062541529398</v>
      </c>
      <c r="AZ13" s="9">
        <f>'[2]WA-Com-Existing Cust'!SQ15+SUM('[2]WA-Com-Cust Growth'!SS$3:SS14)</f>
        <v>9389.062541529398</v>
      </c>
      <c r="BA13" s="9">
        <f>'[2]WA-Com-Existing Cust'!SR15+SUM('[2]WA-Com-Cust Growth'!ST$3:ST14)</f>
        <v>9389.062541529398</v>
      </c>
      <c r="BB13" s="9">
        <f>'[2]WA-Com-Existing Cust'!SS15+SUM('[2]WA-Com-Cust Growth'!SU$3:SU14)</f>
        <v>7635.9120619074456</v>
      </c>
      <c r="BC13" s="9">
        <f>'[2]WA-Com-Existing Cust'!ST15+SUM('[2]WA-Com-Cust Growth'!SV$3:SV14)</f>
        <v>6482.269365604664</v>
      </c>
      <c r="BD13" s="9">
        <f>'[2]WA-Com-Existing Cust'!SU15+SUM('[2]WA-Com-Cust Growth'!SW$3:SW14)</f>
        <v>4639.313101688329</v>
      </c>
      <c r="BE13" s="9">
        <f>'[2]WA-Com-Existing Cust'!SV15+SUM('[2]WA-Com-Cust Growth'!SX$3:SX14)</f>
        <v>9389.062541529398</v>
      </c>
      <c r="BF13" s="9">
        <f>'[2]WA-Com-Existing Cust'!SW15+SUM('[2]WA-Com-Cust Growth'!SY$3:SY14)</f>
        <v>9389.062541529398</v>
      </c>
      <c r="BG13" s="9">
        <f>'[2]WA-Com-Existing Cust'!SX15+SUM('[2]WA-Com-Cust Growth'!SZ$3:SZ14)</f>
        <v>9389.062541529398</v>
      </c>
    </row>
    <row r="14" spans="1:59" x14ac:dyDescent="0.25">
      <c r="B14">
        <v>2034</v>
      </c>
      <c r="C14" s="187">
        <v>528571.26461715042</v>
      </c>
      <c r="D14" s="187">
        <v>49644.906893983774</v>
      </c>
      <c r="E14" s="187">
        <f t="shared" si="0"/>
        <v>578216.17151113413</v>
      </c>
      <c r="F14" s="187">
        <v>73685.043327986612</v>
      </c>
      <c r="G14" s="187">
        <v>6338.8441849861238</v>
      </c>
      <c r="H14" s="187">
        <f t="shared" si="1"/>
        <v>80023.887512972738</v>
      </c>
      <c r="I14" s="9">
        <f t="shared" si="2"/>
        <v>931400.58382594481</v>
      </c>
      <c r="K14">
        <v>2034</v>
      </c>
      <c r="M14" s="9">
        <f>'[2]OR-Res-Existing Cust'!SO16+SUM('[2]OR-Res-Cust Growth'!SQ$3:SQ15)</f>
        <v>746019.19168541185</v>
      </c>
      <c r="N14" s="9">
        <f>'[2]OR-Res-Existing Cust'!SP16+SUM('[2]OR-Res-Cust Growth'!SR$3:SR15)</f>
        <v>746019.19168541185</v>
      </c>
      <c r="O14" s="9">
        <f>'[2]OR-Res-Existing Cust'!SQ16+SUM('[2]OR-Res-Cust Growth'!SS$3:SS15)</f>
        <v>746019.19168541185</v>
      </c>
      <c r="P14" s="9">
        <f>'[2]OR-Res-Existing Cust'!SR16+SUM('[2]OR-Res-Cust Growth'!ST$3:ST15)</f>
        <v>746019.19168541185</v>
      </c>
      <c r="Q14" s="9">
        <f>'[2]OR-Res-Existing Cust'!SS16+SUM('[2]OR-Res-Cust Growth'!SU$3:SU15)</f>
        <v>642169.82359887194</v>
      </c>
      <c r="R14" s="9">
        <f>'[2]OR-Res-Existing Cust'!ST16+SUM('[2]OR-Res-Cust Growth'!SV$3:SV15)</f>
        <v>528571.26461715042</v>
      </c>
      <c r="S14" s="9">
        <f>'[2]OR-Res-Existing Cust'!SU16+SUM('[2]OR-Res-Cust Growth'!SW$3:SW15)</f>
        <v>356505.37936123181</v>
      </c>
      <c r="T14" s="9">
        <f>'[2]OR-Res-Existing Cust'!SV16+SUM('[2]OR-Res-Cust Growth'!SX$3:SX15)</f>
        <v>746019.19168541185</v>
      </c>
      <c r="U14" s="9">
        <f>'[2]OR-Res-Existing Cust'!SW16+SUM('[2]OR-Res-Cust Growth'!SY$3:SY15)</f>
        <v>746019.19168541185</v>
      </c>
      <c r="V14" s="9">
        <f>'[2]OR-Res-Existing Cust'!SX16+SUM('[2]OR-Res-Cust Growth'!SZ$3:SZ15)</f>
        <v>746019.19168541185</v>
      </c>
      <c r="W14" s="9"/>
      <c r="X14">
        <v>2034</v>
      </c>
      <c r="Y14" s="9">
        <f>'[2]OR-Com-Existing Cust'!SO16+SUM('[2]OR-Com-Cust Growth'!SQ$3:SQ15)</f>
        <v>68042.11994690694</v>
      </c>
      <c r="Z14" s="9">
        <f>'[2]OR-Com-Existing Cust'!SP16+SUM('[2]OR-Com-Cust Growth'!SR$3:SR15)</f>
        <v>68042.11994690694</v>
      </c>
      <c r="AA14" s="9">
        <f>'[2]OR-Com-Existing Cust'!SQ16+SUM('[2]OR-Com-Cust Growth'!SS$3:SS15)</f>
        <v>68042.11994690694</v>
      </c>
      <c r="AB14" s="9">
        <f>'[2]OR-Com-Existing Cust'!SR16+SUM('[2]OR-Com-Cust Growth'!ST$3:ST15)</f>
        <v>68042.11994690694</v>
      </c>
      <c r="AC14" s="9">
        <f>'[2]OR-Com-Existing Cust'!SS16+SUM('[2]OR-Com-Cust Growth'!SU$3:SU15)</f>
        <v>59535.500057509329</v>
      </c>
      <c r="AD14" s="9">
        <f>'[2]OR-Com-Existing Cust'!ST16+SUM('[2]OR-Com-Cust Growth'!SV$3:SV15)</f>
        <v>49644.906893983774</v>
      </c>
      <c r="AE14" s="9">
        <f>'[2]OR-Com-Existing Cust'!SU16+SUM('[2]OR-Com-Cust Growth'!SW$3:SW15)</f>
        <v>33450.971442196686</v>
      </c>
      <c r="AF14" s="9">
        <f>'[2]OR-Com-Existing Cust'!SV16+SUM('[2]OR-Com-Cust Growth'!SX$3:SX15)</f>
        <v>68042.11994690694</v>
      </c>
      <c r="AG14" s="9">
        <f>'[2]OR-Com-Existing Cust'!SW16+SUM('[2]OR-Com-Cust Growth'!SY$3:SY15)</f>
        <v>68042.11994690694</v>
      </c>
      <c r="AH14" s="9">
        <f>'[2]OR-Com-Existing Cust'!SX16+SUM('[2]OR-Com-Cust Growth'!SZ$3:SZ15)</f>
        <v>68042.11994690694</v>
      </c>
      <c r="AJ14">
        <v>2034</v>
      </c>
      <c r="AL14" s="9">
        <f>'[2]WA-Res-Existing Cust'!SO16+SUM('[2]WA-Res-Cust Growth'!SQ$3:SQ15)</f>
        <v>107777.12538484778</v>
      </c>
      <c r="AM14" s="9">
        <f>'[2]WA-Res-Existing Cust'!SP16+SUM('[2]WA-Res-Cust Growth'!SR$3:SR15)</f>
        <v>107777.12538484778</v>
      </c>
      <c r="AN14" s="9">
        <f>'[2]WA-Res-Existing Cust'!SQ16+SUM('[2]WA-Res-Cust Growth'!SS$3:SS15)</f>
        <v>107777.12538484778</v>
      </c>
      <c r="AO14" s="9">
        <f>'[2]WA-Res-Existing Cust'!SR16+SUM('[2]WA-Res-Cust Growth'!ST$3:ST15)</f>
        <v>107777.12538484778</v>
      </c>
      <c r="AP14" s="9">
        <f>'[2]WA-Res-Existing Cust'!SS16+SUM('[2]WA-Res-Cust Growth'!SU$3:SU15)</f>
        <v>89777.125384847779</v>
      </c>
      <c r="AQ14" s="9">
        <f>'[2]WA-Res-Existing Cust'!ST16+SUM('[2]WA-Res-Cust Growth'!SV$3:SV15)</f>
        <v>73685.043327986612</v>
      </c>
      <c r="AR14" s="9">
        <f>'[2]WA-Res-Existing Cust'!SU16+SUM('[2]WA-Res-Cust Growth'!SW$3:SW15)</f>
        <v>50547.802603063988</v>
      </c>
      <c r="AS14" s="9">
        <f>'[2]WA-Res-Existing Cust'!SV16+SUM('[2]WA-Res-Cust Growth'!SX$3:SX15)</f>
        <v>107777.12538484778</v>
      </c>
      <c r="AT14" s="9">
        <f>'[2]WA-Res-Existing Cust'!SW16+SUM('[2]WA-Res-Cust Growth'!SY$3:SY15)</f>
        <v>107777.12538484778</v>
      </c>
      <c r="AU14" s="9">
        <f>'[2]WA-Res-Existing Cust'!SX16+SUM('[2]WA-Res-Cust Growth'!SZ$3:SZ15)</f>
        <v>107777.12538484778</v>
      </c>
      <c r="AV14" s="9"/>
      <c r="AW14">
        <v>2034</v>
      </c>
      <c r="AX14" s="9">
        <f>'[2]WA-Com-Existing Cust'!SO16+SUM('[2]WA-Com-Cust Growth'!SQ$3:SQ15)</f>
        <v>9562.1468087782814</v>
      </c>
      <c r="AY14" s="9">
        <f>'[2]WA-Com-Existing Cust'!SP16+SUM('[2]WA-Com-Cust Growth'!SR$3:SR15)</f>
        <v>9562.1468087782814</v>
      </c>
      <c r="AZ14" s="9">
        <f>'[2]WA-Com-Existing Cust'!SQ16+SUM('[2]WA-Com-Cust Growth'!SS$3:SS15)</f>
        <v>9562.1468087782814</v>
      </c>
      <c r="BA14" s="9">
        <f>'[2]WA-Com-Existing Cust'!SR16+SUM('[2]WA-Com-Cust Growth'!ST$3:ST15)</f>
        <v>9562.1468087782814</v>
      </c>
      <c r="BB14" s="9">
        <f>'[2]WA-Com-Existing Cust'!SS16+SUM('[2]WA-Com-Cust Growth'!SU$3:SU15)</f>
        <v>7621.3224338655145</v>
      </c>
      <c r="BC14" s="9">
        <f>'[2]WA-Com-Existing Cust'!ST16+SUM('[2]WA-Com-Cust Growth'!SV$3:SV15)</f>
        <v>6338.8441849861238</v>
      </c>
      <c r="BD14" s="9">
        <f>'[2]WA-Com-Existing Cust'!SU16+SUM('[2]WA-Com-Cust Growth'!SW$3:SW15)</f>
        <v>4350.9219487280543</v>
      </c>
      <c r="BE14" s="9">
        <f>'[2]WA-Com-Existing Cust'!SV16+SUM('[2]WA-Com-Cust Growth'!SX$3:SX15)</f>
        <v>9562.1468087782814</v>
      </c>
      <c r="BF14" s="9">
        <f>'[2]WA-Com-Existing Cust'!SW16+SUM('[2]WA-Com-Cust Growth'!SY$3:SY15)</f>
        <v>9562.1468087782814</v>
      </c>
      <c r="BG14" s="9">
        <f>'[2]WA-Com-Existing Cust'!SX16+SUM('[2]WA-Com-Cust Growth'!SZ$3:SZ15)</f>
        <v>9562.1468087782814</v>
      </c>
    </row>
    <row r="15" spans="1:59" x14ac:dyDescent="0.25">
      <c r="B15">
        <v>2035</v>
      </c>
      <c r="C15" s="187">
        <v>516201.4351504207</v>
      </c>
      <c r="D15" s="187">
        <v>48471.444654867963</v>
      </c>
      <c r="E15" s="187">
        <f t="shared" si="0"/>
        <v>564672.87980528863</v>
      </c>
      <c r="F15" s="187">
        <v>72028.820551767407</v>
      </c>
      <c r="G15" s="187">
        <v>6195.4190043675835</v>
      </c>
      <c r="H15" s="187">
        <f t="shared" si="1"/>
        <v>78224.239556134984</v>
      </c>
      <c r="I15" s="9">
        <f t="shared" si="2"/>
        <v>941379.19883616455</v>
      </c>
      <c r="K15">
        <v>2035</v>
      </c>
      <c r="M15" s="9">
        <f>'[2]OR-Res-Existing Cust'!SO17+SUM('[2]OR-Res-Cust Growth'!SQ$3:SQ16)</f>
        <v>753497.42487324821</v>
      </c>
      <c r="N15" s="9">
        <f>'[2]OR-Res-Existing Cust'!SP17+SUM('[2]OR-Res-Cust Growth'!SR$3:SR16)</f>
        <v>753497.42487324821</v>
      </c>
      <c r="O15" s="9">
        <f>'[2]OR-Res-Existing Cust'!SQ17+SUM('[2]OR-Res-Cust Growth'!SS$3:SS16)</f>
        <v>753497.42487324821</v>
      </c>
      <c r="P15" s="9">
        <f>'[2]OR-Res-Existing Cust'!SR17+SUM('[2]OR-Res-Cust Growth'!ST$3:ST16)</f>
        <v>753497.42487324821</v>
      </c>
      <c r="Q15" s="9">
        <f>'[2]OR-Res-Existing Cust'!SS17+SUM('[2]OR-Res-Cust Growth'!SU$3:SU16)</f>
        <v>641306.30910950154</v>
      </c>
      <c r="R15" s="9">
        <f>'[2]OR-Res-Existing Cust'!ST17+SUM('[2]OR-Res-Cust Growth'!SV$3:SV16)</f>
        <v>516201.4351504207</v>
      </c>
      <c r="S15" s="9">
        <f>'[2]OR-Res-Existing Cust'!SU17+SUM('[2]OR-Res-Cust Growth'!SW$3:SW16)</f>
        <v>331680.20294482639</v>
      </c>
      <c r="T15" s="9">
        <f>'[2]OR-Res-Existing Cust'!SV17+SUM('[2]OR-Res-Cust Growth'!SX$3:SX16)</f>
        <v>753497.42487324821</v>
      </c>
      <c r="U15" s="9">
        <f>'[2]OR-Res-Existing Cust'!SW17+SUM('[2]OR-Res-Cust Growth'!SY$3:SY16)</f>
        <v>753497.42487324821</v>
      </c>
      <c r="V15" s="9">
        <f>'[2]OR-Res-Existing Cust'!SX17+SUM('[2]OR-Res-Cust Growth'!SZ$3:SZ16)</f>
        <v>753497.42487324821</v>
      </c>
      <c r="W15" s="9"/>
      <c r="X15">
        <v>2035</v>
      </c>
      <c r="Y15" s="9">
        <f>'[2]OR-Com-Existing Cust'!SO17+SUM('[2]OR-Com-Cust Growth'!SQ$3:SQ16)</f>
        <v>68618.620766011984</v>
      </c>
      <c r="Z15" s="9">
        <f>'[2]OR-Com-Existing Cust'!SP17+SUM('[2]OR-Com-Cust Growth'!SR$3:SR16)</f>
        <v>68618.620766011984</v>
      </c>
      <c r="AA15" s="9">
        <f>'[2]OR-Com-Existing Cust'!SQ17+SUM('[2]OR-Com-Cust Growth'!SS$3:SS16)</f>
        <v>68618.620766011984</v>
      </c>
      <c r="AB15" s="9">
        <f>'[2]OR-Com-Existing Cust'!SR17+SUM('[2]OR-Com-Cust Growth'!ST$3:ST16)</f>
        <v>68618.620766011984</v>
      </c>
      <c r="AC15" s="9">
        <f>'[2]OR-Com-Existing Cust'!SS17+SUM('[2]OR-Com-Cust Growth'!SU$3:SU16)</f>
        <v>59377.206929228945</v>
      </c>
      <c r="AD15" s="9">
        <f>'[2]OR-Com-Existing Cust'!ST17+SUM('[2]OR-Com-Cust Growth'!SV$3:SV16)</f>
        <v>48471.444654867963</v>
      </c>
      <c r="AE15" s="9">
        <f>'[2]OR-Com-Existing Cust'!SU17+SUM('[2]OR-Com-Cust Growth'!SW$3:SW16)</f>
        <v>31086.005741208573</v>
      </c>
      <c r="AF15" s="9">
        <f>'[2]OR-Com-Existing Cust'!SV17+SUM('[2]OR-Com-Cust Growth'!SX$3:SX16)</f>
        <v>68618.620766011984</v>
      </c>
      <c r="AG15" s="9">
        <f>'[2]OR-Com-Existing Cust'!SW17+SUM('[2]OR-Com-Cust Growth'!SY$3:SY16)</f>
        <v>68618.620766011984</v>
      </c>
      <c r="AH15" s="9">
        <f>'[2]OR-Com-Existing Cust'!SX17+SUM('[2]OR-Com-Cust Growth'!SZ$3:SZ16)</f>
        <v>68618.620766011984</v>
      </c>
      <c r="AJ15">
        <v>2035</v>
      </c>
      <c r="AL15" s="9">
        <f>'[2]WA-Res-Existing Cust'!SO17+SUM('[2]WA-Res-Cust Growth'!SQ$3:SQ16)</f>
        <v>109527.76569509745</v>
      </c>
      <c r="AM15" s="9">
        <f>'[2]WA-Res-Existing Cust'!SP17+SUM('[2]WA-Res-Cust Growth'!SR$3:SR16)</f>
        <v>109527.76569509745</v>
      </c>
      <c r="AN15" s="9">
        <f>'[2]WA-Res-Existing Cust'!SQ17+SUM('[2]WA-Res-Cust Growth'!SS$3:SS16)</f>
        <v>109527.76569509745</v>
      </c>
      <c r="AO15" s="9">
        <f>'[2]WA-Res-Existing Cust'!SR17+SUM('[2]WA-Res-Cust Growth'!ST$3:ST16)</f>
        <v>109527.76569509745</v>
      </c>
      <c r="AP15" s="9">
        <f>'[2]WA-Res-Existing Cust'!SS17+SUM('[2]WA-Res-Cust Growth'!SU$3:SU16)</f>
        <v>89727.765695097449</v>
      </c>
      <c r="AQ15" s="9">
        <f>'[2]WA-Res-Existing Cust'!ST17+SUM('[2]WA-Res-Cust Growth'!SV$3:SV16)</f>
        <v>72028.820551767407</v>
      </c>
      <c r="AR15" s="9">
        <f>'[2]WA-Res-Existing Cust'!SU17+SUM('[2]WA-Res-Cust Growth'!SW$3:SW16)</f>
        <v>47231.520270460489</v>
      </c>
      <c r="AS15" s="9">
        <f>'[2]WA-Res-Existing Cust'!SV17+SUM('[2]WA-Res-Cust Growth'!SX$3:SX16)</f>
        <v>109527.76569509745</v>
      </c>
      <c r="AT15" s="9">
        <f>'[2]WA-Res-Existing Cust'!SW17+SUM('[2]WA-Res-Cust Growth'!SY$3:SY16)</f>
        <v>109527.76569509745</v>
      </c>
      <c r="AU15" s="9">
        <f>'[2]WA-Res-Existing Cust'!SX17+SUM('[2]WA-Res-Cust Growth'!SZ$3:SZ16)</f>
        <v>109527.76569509745</v>
      </c>
      <c r="AV15" s="9"/>
      <c r="AW15">
        <v>2035</v>
      </c>
      <c r="AX15" s="9">
        <f>'[2]WA-Com-Existing Cust'!SO17+SUM('[2]WA-Com-Cust Growth'!SQ$3:SQ16)</f>
        <v>9735.3875018069084</v>
      </c>
      <c r="AY15" s="9">
        <f>'[2]WA-Com-Existing Cust'!SP17+SUM('[2]WA-Com-Cust Growth'!SR$3:SR16)</f>
        <v>9735.3875018069084</v>
      </c>
      <c r="AZ15" s="9">
        <f>'[2]WA-Com-Existing Cust'!SQ17+SUM('[2]WA-Com-Cust Growth'!SS$3:SS16)</f>
        <v>9735.3875018069084</v>
      </c>
      <c r="BA15" s="9">
        <f>'[2]WA-Com-Existing Cust'!SR17+SUM('[2]WA-Com-Cust Growth'!ST$3:ST16)</f>
        <v>9735.3875018069084</v>
      </c>
      <c r="BB15" s="9">
        <f>'[2]WA-Com-Existing Cust'!SS17+SUM('[2]WA-Com-Cust Growth'!SU$3:SU16)</f>
        <v>7606.7195443128312</v>
      </c>
      <c r="BC15" s="9">
        <f>'[2]WA-Com-Existing Cust'!ST17+SUM('[2]WA-Com-Cust Growth'!SV$3:SV16)</f>
        <v>6195.4190043675835</v>
      </c>
      <c r="BD15" s="9">
        <f>'[2]WA-Com-Existing Cust'!SU17+SUM('[2]WA-Com-Cust Growth'!SW$3:SW16)</f>
        <v>4062.5307957677801</v>
      </c>
      <c r="BE15" s="9">
        <f>'[2]WA-Com-Existing Cust'!SV17+SUM('[2]WA-Com-Cust Growth'!SX$3:SX16)</f>
        <v>9735.3875018069084</v>
      </c>
      <c r="BF15" s="9">
        <f>'[2]WA-Com-Existing Cust'!SW17+SUM('[2]WA-Com-Cust Growth'!SY$3:SY16)</f>
        <v>9735.3875018069084</v>
      </c>
      <c r="BG15" s="9">
        <f>'[2]WA-Com-Existing Cust'!SX17+SUM('[2]WA-Com-Cust Growth'!SZ$3:SZ16)</f>
        <v>9735.3875018069084</v>
      </c>
    </row>
    <row r="16" spans="1:59" x14ac:dyDescent="0.25">
      <c r="B16">
        <v>2036</v>
      </c>
      <c r="C16" s="187">
        <v>503831.60568369098</v>
      </c>
      <c r="D16" s="187">
        <v>47297.982415752151</v>
      </c>
      <c r="E16" s="187">
        <f t="shared" si="0"/>
        <v>551129.58809944312</v>
      </c>
      <c r="F16" s="187">
        <v>70372.597775548202</v>
      </c>
      <c r="G16" s="187">
        <v>6051.9938237490433</v>
      </c>
      <c r="H16" s="187">
        <f t="shared" si="1"/>
        <v>76424.591599297244</v>
      </c>
      <c r="I16" s="9">
        <f t="shared" si="2"/>
        <v>951122.51211172587</v>
      </c>
      <c r="K16">
        <v>2036</v>
      </c>
      <c r="M16" s="9">
        <f>'[2]OR-Res-Existing Cust'!SO18+SUM('[2]OR-Res-Cust Growth'!SQ$3:SQ17)</f>
        <v>760748.40407268237</v>
      </c>
      <c r="N16" s="9">
        <f>'[2]OR-Res-Existing Cust'!SP18+SUM('[2]OR-Res-Cust Growth'!SR$3:SR17)</f>
        <v>760748.40407268237</v>
      </c>
      <c r="O16" s="9">
        <f>'[2]OR-Res-Existing Cust'!SQ18+SUM('[2]OR-Res-Cust Growth'!SS$3:SS17)</f>
        <v>760748.40407268237</v>
      </c>
      <c r="P16" s="9">
        <f>'[2]OR-Res-Existing Cust'!SR18+SUM('[2]OR-Res-Cust Growth'!ST$3:ST17)</f>
        <v>760748.40407268237</v>
      </c>
      <c r="Q16" s="9">
        <f>'[2]OR-Res-Existing Cust'!SS18+SUM('[2]OR-Res-Cust Growth'!SU$3:SU17)</f>
        <v>640452.65188984456</v>
      </c>
      <c r="R16" s="9">
        <f>'[2]OR-Res-Existing Cust'!ST18+SUM('[2]OR-Res-Cust Growth'!SV$3:SV17)</f>
        <v>503831.60568369098</v>
      </c>
      <c r="S16" s="9">
        <f>'[2]OR-Res-Existing Cust'!SU18+SUM('[2]OR-Res-Cust Growth'!SW$3:SW17)</f>
        <v>306855.02652842097</v>
      </c>
      <c r="T16" s="9">
        <f>'[2]OR-Res-Existing Cust'!SV18+SUM('[2]OR-Res-Cust Growth'!SX$3:SX17)</f>
        <v>760748.40407268237</v>
      </c>
      <c r="U16" s="9">
        <f>'[2]OR-Res-Existing Cust'!SW18+SUM('[2]OR-Res-Cust Growth'!SY$3:SY17)</f>
        <v>760748.40407268237</v>
      </c>
      <c r="V16" s="9">
        <f>'[2]OR-Res-Existing Cust'!SX18+SUM('[2]OR-Res-Cust Growth'!SZ$3:SZ17)</f>
        <v>760748.40407268237</v>
      </c>
      <c r="W16" s="9"/>
      <c r="X16">
        <v>2036</v>
      </c>
      <c r="Y16" s="9">
        <f>'[2]OR-Com-Existing Cust'!SO18+SUM('[2]OR-Com-Cust Growth'!SQ$3:SQ17)</f>
        <v>69189.74350283356</v>
      </c>
      <c r="Z16" s="9">
        <f>'[2]OR-Com-Existing Cust'!SP18+SUM('[2]OR-Com-Cust Growth'!SR$3:SR17)</f>
        <v>69189.74350283356</v>
      </c>
      <c r="AA16" s="9">
        <f>'[2]OR-Com-Existing Cust'!SQ18+SUM('[2]OR-Com-Cust Growth'!SS$3:SS17)</f>
        <v>69189.74350283356</v>
      </c>
      <c r="AB16" s="9">
        <f>'[2]OR-Com-Existing Cust'!SR18+SUM('[2]OR-Com-Cust Growth'!ST$3:ST17)</f>
        <v>69189.74350283356</v>
      </c>
      <c r="AC16" s="9">
        <f>'[2]OR-Com-Existing Cust'!SS18+SUM('[2]OR-Com-Cust Growth'!SU$3:SU17)</f>
        <v>59220.33732089679</v>
      </c>
      <c r="AD16" s="9">
        <f>'[2]OR-Com-Existing Cust'!ST18+SUM('[2]OR-Com-Cust Growth'!SV$3:SV17)</f>
        <v>47297.982415752151</v>
      </c>
      <c r="AE16" s="9">
        <f>'[2]OR-Com-Existing Cust'!SU18+SUM('[2]OR-Com-Cust Growth'!SW$3:SW17)</f>
        <v>28721.040040220461</v>
      </c>
      <c r="AF16" s="9">
        <f>'[2]OR-Com-Existing Cust'!SV18+SUM('[2]OR-Com-Cust Growth'!SX$3:SX17)</f>
        <v>69189.74350283356</v>
      </c>
      <c r="AG16" s="9">
        <f>'[2]OR-Com-Existing Cust'!SW18+SUM('[2]OR-Com-Cust Growth'!SY$3:SY17)</f>
        <v>69189.74350283356</v>
      </c>
      <c r="AH16" s="9">
        <f>'[2]OR-Com-Existing Cust'!SX18+SUM('[2]OR-Com-Cust Growth'!SZ$3:SZ17)</f>
        <v>69189.74350283356</v>
      </c>
      <c r="AJ16">
        <v>2036</v>
      </c>
      <c r="AL16" s="9">
        <f>'[2]WA-Res-Existing Cust'!SO18+SUM('[2]WA-Res-Cust Growth'!SQ$3:SQ17)</f>
        <v>111277.67992723979</v>
      </c>
      <c r="AM16" s="9">
        <f>'[2]WA-Res-Existing Cust'!SP18+SUM('[2]WA-Res-Cust Growth'!SR$3:SR17)</f>
        <v>111277.67992723979</v>
      </c>
      <c r="AN16" s="9">
        <f>'[2]WA-Res-Existing Cust'!SQ18+SUM('[2]WA-Res-Cust Growth'!SS$3:SS17)</f>
        <v>111277.67992723979</v>
      </c>
      <c r="AO16" s="9">
        <f>'[2]WA-Res-Existing Cust'!SR18+SUM('[2]WA-Res-Cust Growth'!ST$3:ST17)</f>
        <v>111277.67992723979</v>
      </c>
      <c r="AP16" s="9">
        <f>'[2]WA-Res-Existing Cust'!SS18+SUM('[2]WA-Res-Cust Growth'!SU$3:SU17)</f>
        <v>89677.679927239791</v>
      </c>
      <c r="AQ16" s="9">
        <f>'[2]WA-Res-Existing Cust'!ST18+SUM('[2]WA-Res-Cust Growth'!SV$3:SV17)</f>
        <v>70372.597775548202</v>
      </c>
      <c r="AR16" s="9">
        <f>'[2]WA-Res-Existing Cust'!SU18+SUM('[2]WA-Res-Cust Growth'!SW$3:SW17)</f>
        <v>43915.237937856989</v>
      </c>
      <c r="AS16" s="9">
        <f>'[2]WA-Res-Existing Cust'!SV18+SUM('[2]WA-Res-Cust Growth'!SX$3:SX17)</f>
        <v>111277.67992723979</v>
      </c>
      <c r="AT16" s="9">
        <f>'[2]WA-Res-Existing Cust'!SW18+SUM('[2]WA-Res-Cust Growth'!SY$3:SY17)</f>
        <v>111277.67992723979</v>
      </c>
      <c r="AU16" s="9">
        <f>'[2]WA-Res-Existing Cust'!SX18+SUM('[2]WA-Res-Cust Growth'!SZ$3:SZ17)</f>
        <v>111277.67992723979</v>
      </c>
      <c r="AV16" s="9"/>
      <c r="AW16">
        <v>2036</v>
      </c>
      <c r="AX16" s="9">
        <f>'[2]WA-Com-Existing Cust'!SO18+SUM('[2]WA-Com-Cust Growth'!SQ$3:SQ17)</f>
        <v>9906.6846089702085</v>
      </c>
      <c r="AY16" s="9">
        <f>'[2]WA-Com-Existing Cust'!SP18+SUM('[2]WA-Com-Cust Growth'!SR$3:SR17)</f>
        <v>9906.6846089702085</v>
      </c>
      <c r="AZ16" s="9">
        <f>'[2]WA-Com-Existing Cust'!SQ18+SUM('[2]WA-Com-Cust Growth'!SS$3:SS17)</f>
        <v>9906.6846089702085</v>
      </c>
      <c r="BA16" s="9">
        <f>'[2]WA-Com-Existing Cust'!SR18+SUM('[2]WA-Com-Cust Growth'!ST$3:ST17)</f>
        <v>9906.6846089702085</v>
      </c>
      <c r="BB16" s="9">
        <f>'[2]WA-Com-Existing Cust'!SS18+SUM('[2]WA-Com-Cust Growth'!SU$3:SU17)</f>
        <v>7592.2813656669841</v>
      </c>
      <c r="BC16" s="9">
        <f>'[2]WA-Com-Existing Cust'!ST18+SUM('[2]WA-Com-Cust Growth'!SV$3:SV17)</f>
        <v>6051.9938237490433</v>
      </c>
      <c r="BD16" s="9">
        <f>'[2]WA-Com-Existing Cust'!SU18+SUM('[2]WA-Com-Cust Growth'!SW$3:SW17)</f>
        <v>3774.1396428075059</v>
      </c>
      <c r="BE16" s="9">
        <f>'[2]WA-Com-Existing Cust'!SV18+SUM('[2]WA-Com-Cust Growth'!SX$3:SX17)</f>
        <v>9906.6846089702085</v>
      </c>
      <c r="BF16" s="9">
        <f>'[2]WA-Com-Existing Cust'!SW18+SUM('[2]WA-Com-Cust Growth'!SY$3:SY17)</f>
        <v>9906.6846089702085</v>
      </c>
      <c r="BG16" s="9">
        <f>'[2]WA-Com-Existing Cust'!SX18+SUM('[2]WA-Com-Cust Growth'!SZ$3:SZ17)</f>
        <v>9906.6846089702085</v>
      </c>
    </row>
    <row r="17" spans="2:59" x14ac:dyDescent="0.25">
      <c r="B17">
        <v>2037</v>
      </c>
      <c r="C17" s="187">
        <v>491461.77621696127</v>
      </c>
      <c r="D17" s="187">
        <v>46124.520176636339</v>
      </c>
      <c r="E17" s="187">
        <f t="shared" si="0"/>
        <v>537586.29639359761</v>
      </c>
      <c r="F17" s="187">
        <v>68716.374999328997</v>
      </c>
      <c r="G17" s="187">
        <v>5908.568643130503</v>
      </c>
      <c r="H17" s="187">
        <f t="shared" si="1"/>
        <v>74624.943642459504</v>
      </c>
      <c r="I17" s="9">
        <f t="shared" si="2"/>
        <v>960379.02049907495</v>
      </c>
      <c r="K17">
        <v>2037</v>
      </c>
      <c r="M17" s="9">
        <f>'[2]OR-Res-Existing Cust'!SO19+SUM('[2]OR-Res-Cust Growth'!SQ$3:SQ18)</f>
        <v>767550.84932874993</v>
      </c>
      <c r="N17" s="9">
        <f>'[2]OR-Res-Existing Cust'!SP19+SUM('[2]OR-Res-Cust Growth'!SR$3:SR18)</f>
        <v>767550.84932874993</v>
      </c>
      <c r="O17" s="9">
        <f>'[2]OR-Res-Existing Cust'!SQ19+SUM('[2]OR-Res-Cust Growth'!SS$3:SS18)</f>
        <v>767550.84932874993</v>
      </c>
      <c r="P17" s="9">
        <f>'[2]OR-Res-Existing Cust'!SR19+SUM('[2]OR-Res-Cust Growth'!ST$3:ST18)</f>
        <v>767550.84932874993</v>
      </c>
      <c r="Q17" s="9">
        <f>'[2]OR-Res-Existing Cust'!SS19+SUM('[2]OR-Res-Cust Growth'!SU$3:SU18)</f>
        <v>639638.220992474</v>
      </c>
      <c r="R17" s="9">
        <f>'[2]OR-Res-Existing Cust'!ST19+SUM('[2]OR-Res-Cust Growth'!SV$3:SV18)</f>
        <v>491461.77621696127</v>
      </c>
      <c r="S17" s="9">
        <f>'[2]OR-Res-Existing Cust'!SU19+SUM('[2]OR-Res-Cust Growth'!SW$3:SW18)</f>
        <v>282029.8501120155</v>
      </c>
      <c r="T17" s="9">
        <f>'[2]OR-Res-Existing Cust'!SV19+SUM('[2]OR-Res-Cust Growth'!SX$3:SX18)</f>
        <v>767550.84932874993</v>
      </c>
      <c r="U17" s="9">
        <f>'[2]OR-Res-Existing Cust'!SW19+SUM('[2]OR-Res-Cust Growth'!SY$3:SY18)</f>
        <v>767550.84932874993</v>
      </c>
      <c r="V17" s="9">
        <f>'[2]OR-Res-Existing Cust'!SX19+SUM('[2]OR-Res-Cust Growth'!SZ$3:SZ18)</f>
        <v>767550.84932874993</v>
      </c>
      <c r="W17" s="9"/>
      <c r="X17">
        <v>2037</v>
      </c>
      <c r="Y17" s="9">
        <f>'[2]OR-Com-Existing Cust'!SO19+SUM('[2]OR-Com-Cust Growth'!SQ$3:SQ18)</f>
        <v>69727.726647005969</v>
      </c>
      <c r="Z17" s="9">
        <f>'[2]OR-Com-Existing Cust'!SP19+SUM('[2]OR-Com-Cust Growth'!SR$3:SR18)</f>
        <v>69727.726647005969</v>
      </c>
      <c r="AA17" s="9">
        <f>'[2]OR-Com-Existing Cust'!SQ19+SUM('[2]OR-Com-Cust Growth'!SS$3:SS18)</f>
        <v>69727.726647005969</v>
      </c>
      <c r="AB17" s="9">
        <f>'[2]OR-Com-Existing Cust'!SR19+SUM('[2]OR-Com-Cust Growth'!ST$3:ST18)</f>
        <v>69727.726647005969</v>
      </c>
      <c r="AC17" s="9">
        <f>'[2]OR-Com-Existing Cust'!SS19+SUM('[2]OR-Com-Cust Growth'!SU$3:SU18)</f>
        <v>59072.291695243519</v>
      </c>
      <c r="AD17" s="9">
        <f>'[2]OR-Com-Existing Cust'!ST19+SUM('[2]OR-Com-Cust Growth'!SV$3:SV18)</f>
        <v>46124.520176636339</v>
      </c>
      <c r="AE17" s="9">
        <f>'[2]OR-Com-Existing Cust'!SU19+SUM('[2]OR-Com-Cust Growth'!SW$3:SW18)</f>
        <v>26356.074339232349</v>
      </c>
      <c r="AF17" s="9">
        <f>'[2]OR-Com-Existing Cust'!SV19+SUM('[2]OR-Com-Cust Growth'!SX$3:SX18)</f>
        <v>69727.726647005969</v>
      </c>
      <c r="AG17" s="9">
        <f>'[2]OR-Com-Existing Cust'!SW19+SUM('[2]OR-Com-Cust Growth'!SY$3:SY18)</f>
        <v>69727.726647005969</v>
      </c>
      <c r="AH17" s="9">
        <f>'[2]OR-Com-Existing Cust'!SX19+SUM('[2]OR-Com-Cust Growth'!SZ$3:SZ18)</f>
        <v>69727.726647005969</v>
      </c>
      <c r="AJ17">
        <v>2037</v>
      </c>
      <c r="AL17" s="9">
        <f>'[2]WA-Res-Existing Cust'!SO19+SUM('[2]WA-Res-Cust Growth'!SQ$3:SQ18)</f>
        <v>113026.79631437478</v>
      </c>
      <c r="AM17" s="9">
        <f>'[2]WA-Res-Existing Cust'!SP19+SUM('[2]WA-Res-Cust Growth'!SR$3:SR18)</f>
        <v>113026.79631437478</v>
      </c>
      <c r="AN17" s="9">
        <f>'[2]WA-Res-Existing Cust'!SQ19+SUM('[2]WA-Res-Cust Growth'!SS$3:SS18)</f>
        <v>113026.79631437478</v>
      </c>
      <c r="AO17" s="9">
        <f>'[2]WA-Res-Existing Cust'!SR19+SUM('[2]WA-Res-Cust Growth'!ST$3:ST18)</f>
        <v>113026.79631437478</v>
      </c>
      <c r="AP17" s="9">
        <f>'[2]WA-Res-Existing Cust'!SS19+SUM('[2]WA-Res-Cust Growth'!SU$3:SU18)</f>
        <v>89626.796314374777</v>
      </c>
      <c r="AQ17" s="9">
        <f>'[2]WA-Res-Existing Cust'!ST19+SUM('[2]WA-Res-Cust Growth'!SV$3:SV18)</f>
        <v>68716.374999328997</v>
      </c>
      <c r="AR17" s="9">
        <f>'[2]WA-Res-Existing Cust'!SU19+SUM('[2]WA-Res-Cust Growth'!SW$3:SW18)</f>
        <v>40598.95560525349</v>
      </c>
      <c r="AS17" s="9">
        <f>'[2]WA-Res-Existing Cust'!SV19+SUM('[2]WA-Res-Cust Growth'!SX$3:SX18)</f>
        <v>113026.79631437478</v>
      </c>
      <c r="AT17" s="9">
        <f>'[2]WA-Res-Existing Cust'!SW19+SUM('[2]WA-Res-Cust Growth'!SY$3:SY18)</f>
        <v>113026.79631437478</v>
      </c>
      <c r="AU17" s="9">
        <f>'[2]WA-Res-Existing Cust'!SX19+SUM('[2]WA-Res-Cust Growth'!SZ$3:SZ18)</f>
        <v>113026.79631437478</v>
      </c>
      <c r="AV17" s="9"/>
      <c r="AW17">
        <v>2037</v>
      </c>
      <c r="AX17" s="9">
        <f>'[2]WA-Com-Existing Cust'!SO19+SUM('[2]WA-Com-Cust Growth'!SQ$3:SQ18)</f>
        <v>10073.648208944222</v>
      </c>
      <c r="AY17" s="9">
        <f>'[2]WA-Com-Existing Cust'!SP19+SUM('[2]WA-Com-Cust Growth'!SR$3:SR18)</f>
        <v>10073.648208944222</v>
      </c>
      <c r="AZ17" s="9">
        <f>'[2]WA-Com-Existing Cust'!SQ19+SUM('[2]WA-Com-Cust Growth'!SS$3:SS18)</f>
        <v>10073.648208944222</v>
      </c>
      <c r="BA17" s="9">
        <f>'[2]WA-Com-Existing Cust'!SR19+SUM('[2]WA-Com-Cust Growth'!ST$3:ST18)</f>
        <v>10073.648208944222</v>
      </c>
      <c r="BB17" s="9">
        <f>'[2]WA-Com-Existing Cust'!SS19+SUM('[2]WA-Com-Cust Growth'!SU$3:SU18)</f>
        <v>7578.210700342117</v>
      </c>
      <c r="BC17" s="9">
        <f>'[2]WA-Com-Existing Cust'!ST19+SUM('[2]WA-Com-Cust Growth'!SV$3:SV18)</f>
        <v>5908.568643130503</v>
      </c>
      <c r="BD17" s="9">
        <f>'[2]WA-Com-Existing Cust'!SU19+SUM('[2]WA-Com-Cust Growth'!SW$3:SW18)</f>
        <v>3485.7484898472317</v>
      </c>
      <c r="BE17" s="9">
        <f>'[2]WA-Com-Existing Cust'!SV19+SUM('[2]WA-Com-Cust Growth'!SX$3:SX18)</f>
        <v>10073.648208944222</v>
      </c>
      <c r="BF17" s="9">
        <f>'[2]WA-Com-Existing Cust'!SW19+SUM('[2]WA-Com-Cust Growth'!SY$3:SY18)</f>
        <v>10073.648208944222</v>
      </c>
      <c r="BG17" s="9">
        <f>'[2]WA-Com-Existing Cust'!SX19+SUM('[2]WA-Com-Cust Growth'!SZ$3:SZ18)</f>
        <v>10073.648208944222</v>
      </c>
    </row>
    <row r="18" spans="2:59" x14ac:dyDescent="0.25">
      <c r="B18">
        <v>2038</v>
      </c>
      <c r="C18" s="187">
        <v>479091.94675023155</v>
      </c>
      <c r="D18" s="187">
        <v>44951.057937520527</v>
      </c>
      <c r="E18" s="187">
        <f t="shared" si="0"/>
        <v>524043.00468775211</v>
      </c>
      <c r="F18" s="187">
        <v>67060.152223109792</v>
      </c>
      <c r="G18" s="187">
        <v>5765.1434625119628</v>
      </c>
      <c r="H18" s="187">
        <f t="shared" si="1"/>
        <v>72825.29568562175</v>
      </c>
      <c r="I18" s="9">
        <f t="shared" si="2"/>
        <v>969243.40881534724</v>
      </c>
      <c r="K18">
        <v>2038</v>
      </c>
      <c r="M18" s="9">
        <f>'[2]OR-Res-Existing Cust'!SO20+SUM('[2]OR-Res-Cust Growth'!SQ$3:SQ19)</f>
        <v>773997.80276824476</v>
      </c>
      <c r="N18" s="9">
        <f>'[2]OR-Res-Existing Cust'!SP20+SUM('[2]OR-Res-Cust Growth'!SR$3:SR19)</f>
        <v>773997.80276824476</v>
      </c>
      <c r="O18" s="9">
        <f>'[2]OR-Res-Existing Cust'!SQ20+SUM('[2]OR-Res-Cust Growth'!SS$3:SS19)</f>
        <v>773997.80276824476</v>
      </c>
      <c r="P18" s="9">
        <f>'[2]OR-Res-Existing Cust'!SR20+SUM('[2]OR-Res-Cust Growth'!ST$3:ST19)</f>
        <v>773997.80276824476</v>
      </c>
      <c r="Q18" s="9">
        <f>'[2]OR-Res-Existing Cust'!SS20+SUM('[2]OR-Res-Cust Growth'!SU$3:SU19)</f>
        <v>638850.65497924795</v>
      </c>
      <c r="R18" s="9">
        <f>'[2]OR-Res-Existing Cust'!ST20+SUM('[2]OR-Res-Cust Growth'!SV$3:SV19)</f>
        <v>479091.94675023155</v>
      </c>
      <c r="S18" s="9">
        <f>'[2]OR-Res-Existing Cust'!SU20+SUM('[2]OR-Res-Cust Growth'!SW$3:SW19)</f>
        <v>257204.67369561008</v>
      </c>
      <c r="T18" s="9">
        <f>'[2]OR-Res-Existing Cust'!SV20+SUM('[2]OR-Res-Cust Growth'!SX$3:SX19)</f>
        <v>773997.80276824476</v>
      </c>
      <c r="U18" s="9">
        <f>'[2]OR-Res-Existing Cust'!SW20+SUM('[2]OR-Res-Cust Growth'!SY$3:SY19)</f>
        <v>773997.80276824476</v>
      </c>
      <c r="V18" s="9">
        <f>'[2]OR-Res-Existing Cust'!SX20+SUM('[2]OR-Res-Cust Growth'!SZ$3:SZ19)</f>
        <v>773997.80276824476</v>
      </c>
      <c r="W18" s="9"/>
      <c r="X18">
        <v>2038</v>
      </c>
      <c r="Y18" s="9">
        <f>'[2]OR-Com-Existing Cust'!SO20+SUM('[2]OR-Com-Cust Growth'!SQ$3:SQ19)</f>
        <v>70234.65892679969</v>
      </c>
      <c r="Z18" s="9">
        <f>'[2]OR-Com-Existing Cust'!SP20+SUM('[2]OR-Com-Cust Growth'!SR$3:SR19)</f>
        <v>70234.65892679969</v>
      </c>
      <c r="AA18" s="9">
        <f>'[2]OR-Com-Existing Cust'!SQ20+SUM('[2]OR-Com-Cust Growth'!SS$3:SS19)</f>
        <v>70234.65892679969</v>
      </c>
      <c r="AB18" s="9">
        <f>'[2]OR-Com-Existing Cust'!SR20+SUM('[2]OR-Com-Cust Growth'!ST$3:ST19)</f>
        <v>70234.65892679969</v>
      </c>
      <c r="AC18" s="9">
        <f>'[2]OR-Com-Existing Cust'!SS20+SUM('[2]OR-Com-Cust Growth'!SU$3:SU19)</f>
        <v>58932.495479747515</v>
      </c>
      <c r="AD18" s="9">
        <f>'[2]OR-Com-Existing Cust'!ST20+SUM('[2]OR-Com-Cust Growth'!SV$3:SV19)</f>
        <v>44951.057937520527</v>
      </c>
      <c r="AE18" s="9">
        <f>'[2]OR-Com-Existing Cust'!SU20+SUM('[2]OR-Com-Cust Growth'!SW$3:SW19)</f>
        <v>23991.108638244237</v>
      </c>
      <c r="AF18" s="9">
        <f>'[2]OR-Com-Existing Cust'!SV20+SUM('[2]OR-Com-Cust Growth'!SX$3:SX19)</f>
        <v>70234.65892679969</v>
      </c>
      <c r="AG18" s="9">
        <f>'[2]OR-Com-Existing Cust'!SW20+SUM('[2]OR-Com-Cust Growth'!SY$3:SY19)</f>
        <v>70234.65892679969</v>
      </c>
      <c r="AH18" s="9">
        <f>'[2]OR-Com-Existing Cust'!SX20+SUM('[2]OR-Com-Cust Growth'!SZ$3:SZ19)</f>
        <v>70234.65892679969</v>
      </c>
      <c r="AJ18">
        <v>2038</v>
      </c>
      <c r="AL18" s="9">
        <f>'[2]WA-Res-Existing Cust'!SO20+SUM('[2]WA-Res-Cust Growth'!SQ$3:SQ19)</f>
        <v>114775.12457993196</v>
      </c>
      <c r="AM18" s="9">
        <f>'[2]WA-Res-Existing Cust'!SP20+SUM('[2]WA-Res-Cust Growth'!SR$3:SR19)</f>
        <v>114775.12457993196</v>
      </c>
      <c r="AN18" s="9">
        <f>'[2]WA-Res-Existing Cust'!SQ20+SUM('[2]WA-Res-Cust Growth'!SS$3:SS19)</f>
        <v>114775.12457993196</v>
      </c>
      <c r="AO18" s="9">
        <f>'[2]WA-Res-Existing Cust'!SR20+SUM('[2]WA-Res-Cust Growth'!ST$3:ST19)</f>
        <v>114775.12457993196</v>
      </c>
      <c r="AP18" s="9">
        <f>'[2]WA-Res-Existing Cust'!SS20+SUM('[2]WA-Res-Cust Growth'!SU$3:SU19)</f>
        <v>89575.124579931959</v>
      </c>
      <c r="AQ18" s="9">
        <f>'[2]WA-Res-Existing Cust'!ST20+SUM('[2]WA-Res-Cust Growth'!SV$3:SV19)</f>
        <v>67060.152223109792</v>
      </c>
      <c r="AR18" s="9">
        <f>'[2]WA-Res-Existing Cust'!SU20+SUM('[2]WA-Res-Cust Growth'!SW$3:SW19)</f>
        <v>37282.673272649983</v>
      </c>
      <c r="AS18" s="9">
        <f>'[2]WA-Res-Existing Cust'!SV20+SUM('[2]WA-Res-Cust Growth'!SX$3:SX19)</f>
        <v>114775.12457993196</v>
      </c>
      <c r="AT18" s="9">
        <f>'[2]WA-Res-Existing Cust'!SW20+SUM('[2]WA-Res-Cust Growth'!SY$3:SY19)</f>
        <v>114775.12457993196</v>
      </c>
      <c r="AU18" s="9">
        <f>'[2]WA-Res-Existing Cust'!SX20+SUM('[2]WA-Res-Cust Growth'!SZ$3:SZ19)</f>
        <v>114775.12457993196</v>
      </c>
      <c r="AV18" s="9"/>
      <c r="AW18">
        <v>2038</v>
      </c>
      <c r="AX18" s="9">
        <f>'[2]WA-Com-Existing Cust'!SO20+SUM('[2]WA-Com-Cust Growth'!SQ$3:SQ19)</f>
        <v>10235.822540370835</v>
      </c>
      <c r="AY18" s="9">
        <f>'[2]WA-Com-Existing Cust'!SP20+SUM('[2]WA-Com-Cust Growth'!SR$3:SR19)</f>
        <v>10235.822540370835</v>
      </c>
      <c r="AZ18" s="9">
        <f>'[2]WA-Com-Existing Cust'!SQ20+SUM('[2]WA-Com-Cust Growth'!SS$3:SS19)</f>
        <v>10235.822540370835</v>
      </c>
      <c r="BA18" s="9">
        <f>'[2]WA-Com-Existing Cust'!SR20+SUM('[2]WA-Com-Cust Growth'!ST$3:ST19)</f>
        <v>10235.822540370835</v>
      </c>
      <c r="BB18" s="9">
        <f>'[2]WA-Com-Existing Cust'!SS20+SUM('[2]WA-Com-Cust Growth'!SU$3:SU19)</f>
        <v>7564.5459980472524</v>
      </c>
      <c r="BC18" s="9">
        <f>'[2]WA-Com-Existing Cust'!ST20+SUM('[2]WA-Com-Cust Growth'!SV$3:SV19)</f>
        <v>5765.1434625119628</v>
      </c>
      <c r="BD18" s="9">
        <f>'[2]WA-Com-Existing Cust'!SU20+SUM('[2]WA-Com-Cust Growth'!SW$3:SW19)</f>
        <v>3197.3573368869575</v>
      </c>
      <c r="BE18" s="9">
        <f>'[2]WA-Com-Existing Cust'!SV20+SUM('[2]WA-Com-Cust Growth'!SX$3:SX19)</f>
        <v>10235.822540370835</v>
      </c>
      <c r="BF18" s="9">
        <f>'[2]WA-Com-Existing Cust'!SW20+SUM('[2]WA-Com-Cust Growth'!SY$3:SY19)</f>
        <v>10235.822540370835</v>
      </c>
      <c r="BG18" s="9">
        <f>'[2]WA-Com-Existing Cust'!SX20+SUM('[2]WA-Com-Cust Growth'!SZ$3:SZ19)</f>
        <v>10235.822540370835</v>
      </c>
    </row>
    <row r="19" spans="2:59" x14ac:dyDescent="0.25">
      <c r="B19">
        <v>2039</v>
      </c>
      <c r="C19" s="187">
        <v>466722.11728350184</v>
      </c>
      <c r="D19" s="187">
        <v>43777.595698404715</v>
      </c>
      <c r="E19" s="187">
        <f t="shared" si="0"/>
        <v>510499.71298190654</v>
      </c>
      <c r="F19" s="187">
        <v>65403.929446890586</v>
      </c>
      <c r="G19" s="187">
        <v>5621.7182818934225</v>
      </c>
      <c r="H19" s="187">
        <f t="shared" si="1"/>
        <v>71025.64772878401</v>
      </c>
      <c r="I19" s="9">
        <f t="shared" si="2"/>
        <v>977942.21102676226</v>
      </c>
      <c r="K19">
        <v>2039</v>
      </c>
      <c r="M19" s="9">
        <f>'[2]OR-Res-Existing Cust'!SO21+SUM('[2]OR-Res-Cust Growth'!SQ$3:SQ20)</f>
        <v>780308.14210873458</v>
      </c>
      <c r="N19" s="9">
        <f>'[2]OR-Res-Existing Cust'!SP21+SUM('[2]OR-Res-Cust Growth'!SR$3:SR20)</f>
        <v>780308.14210873458</v>
      </c>
      <c r="O19" s="9">
        <f>'[2]OR-Res-Existing Cust'!SQ21+SUM('[2]OR-Res-Cust Growth'!SS$3:SS20)</f>
        <v>780308.14210873458</v>
      </c>
      <c r="P19" s="9">
        <f>'[2]OR-Res-Existing Cust'!SR21+SUM('[2]OR-Res-Cust Growth'!ST$3:ST20)</f>
        <v>780308.14210873458</v>
      </c>
      <c r="Q19" s="9">
        <f>'[2]OR-Res-Existing Cust'!SS21+SUM('[2]OR-Res-Cust Growth'!SU$3:SU20)</f>
        <v>638060.93229367991</v>
      </c>
      <c r="R19" s="9">
        <f>'[2]OR-Res-Existing Cust'!ST21+SUM('[2]OR-Res-Cust Growth'!SV$3:SV20)</f>
        <v>466722.11728350184</v>
      </c>
      <c r="S19" s="9">
        <f>'[2]OR-Res-Existing Cust'!SU21+SUM('[2]OR-Res-Cust Growth'!SW$3:SW20)</f>
        <v>232379.49727920463</v>
      </c>
      <c r="T19" s="9">
        <f>'[2]OR-Res-Existing Cust'!SV21+SUM('[2]OR-Res-Cust Growth'!SX$3:SX20)</f>
        <v>780308.14210873458</v>
      </c>
      <c r="U19" s="9">
        <f>'[2]OR-Res-Existing Cust'!SW21+SUM('[2]OR-Res-Cust Growth'!SY$3:SY20)</f>
        <v>780308.14210873458</v>
      </c>
      <c r="V19" s="9">
        <f>'[2]OR-Res-Existing Cust'!SX21+SUM('[2]OR-Res-Cust Growth'!SZ$3:SZ20)</f>
        <v>780308.14210873458</v>
      </c>
      <c r="W19" s="9"/>
      <c r="X19">
        <v>2039</v>
      </c>
      <c r="Y19" s="9">
        <f>'[2]OR-Com-Existing Cust'!SO21+SUM('[2]OR-Com-Cust Growth'!SQ$3:SQ20)</f>
        <v>70715.918424498333</v>
      </c>
      <c r="Z19" s="9">
        <f>'[2]OR-Com-Existing Cust'!SP21+SUM('[2]OR-Com-Cust Growth'!SR$3:SR20)</f>
        <v>70715.918424498333</v>
      </c>
      <c r="AA19" s="9">
        <f>'[2]OR-Com-Existing Cust'!SQ21+SUM('[2]OR-Com-Cust Growth'!SS$3:SS20)</f>
        <v>70715.918424498333</v>
      </c>
      <c r="AB19" s="9">
        <f>'[2]OR-Com-Existing Cust'!SR21+SUM('[2]OR-Com-Cust Growth'!ST$3:ST20)</f>
        <v>70715.918424498333</v>
      </c>
      <c r="AC19" s="9">
        <f>'[2]OR-Com-Existing Cust'!SS21+SUM('[2]OR-Com-Cust Growth'!SU$3:SU20)</f>
        <v>58799.525154460462</v>
      </c>
      <c r="AD19" s="9">
        <f>'[2]OR-Com-Existing Cust'!ST21+SUM('[2]OR-Com-Cust Growth'!SV$3:SV20)</f>
        <v>43777.595698404715</v>
      </c>
      <c r="AE19" s="9">
        <f>'[2]OR-Com-Existing Cust'!SU21+SUM('[2]OR-Com-Cust Growth'!SW$3:SW20)</f>
        <v>21626.142937256125</v>
      </c>
      <c r="AF19" s="9">
        <f>'[2]OR-Com-Existing Cust'!SV21+SUM('[2]OR-Com-Cust Growth'!SX$3:SX20)</f>
        <v>70715.918424498333</v>
      </c>
      <c r="AG19" s="9">
        <f>'[2]OR-Com-Existing Cust'!SW21+SUM('[2]OR-Com-Cust Growth'!SY$3:SY20)</f>
        <v>70715.918424498333</v>
      </c>
      <c r="AH19" s="9">
        <f>'[2]OR-Com-Existing Cust'!SX21+SUM('[2]OR-Com-Cust Growth'!SZ$3:SZ20)</f>
        <v>70715.918424498333</v>
      </c>
      <c r="AJ19">
        <v>2039</v>
      </c>
      <c r="AL19" s="9">
        <f>'[2]WA-Res-Existing Cust'!SO21+SUM('[2]WA-Res-Cust Growth'!SQ$3:SQ20)</f>
        <v>116522.50958380527</v>
      </c>
      <c r="AM19" s="9">
        <f>'[2]WA-Res-Existing Cust'!SP21+SUM('[2]WA-Res-Cust Growth'!SR$3:SR20)</f>
        <v>116522.50958380527</v>
      </c>
      <c r="AN19" s="9">
        <f>'[2]WA-Res-Existing Cust'!SQ21+SUM('[2]WA-Res-Cust Growth'!SS$3:SS20)</f>
        <v>116522.50958380527</v>
      </c>
      <c r="AO19" s="9">
        <f>'[2]WA-Res-Existing Cust'!SR21+SUM('[2]WA-Res-Cust Growth'!ST$3:ST20)</f>
        <v>116522.50958380527</v>
      </c>
      <c r="AP19" s="9">
        <f>'[2]WA-Res-Existing Cust'!SS21+SUM('[2]WA-Res-Cust Growth'!SU$3:SU20)</f>
        <v>89522.509583805266</v>
      </c>
      <c r="AQ19" s="9">
        <f>'[2]WA-Res-Existing Cust'!ST21+SUM('[2]WA-Res-Cust Growth'!SV$3:SV20)</f>
        <v>65403.929446890586</v>
      </c>
      <c r="AR19" s="9">
        <f>'[2]WA-Res-Existing Cust'!SU21+SUM('[2]WA-Res-Cust Growth'!SW$3:SW20)</f>
        <v>33966.390940046484</v>
      </c>
      <c r="AS19" s="9">
        <f>'[2]WA-Res-Existing Cust'!SV21+SUM('[2]WA-Res-Cust Growth'!SX$3:SX20)</f>
        <v>116522.50958380527</v>
      </c>
      <c r="AT19" s="9">
        <f>'[2]WA-Res-Existing Cust'!SW21+SUM('[2]WA-Res-Cust Growth'!SY$3:SY20)</f>
        <v>116522.50958380527</v>
      </c>
      <c r="AU19" s="9">
        <f>'[2]WA-Res-Existing Cust'!SX21+SUM('[2]WA-Res-Cust Growth'!SZ$3:SZ20)</f>
        <v>116522.50958380527</v>
      </c>
      <c r="AV19" s="9"/>
      <c r="AW19">
        <v>2039</v>
      </c>
      <c r="AX19" s="9">
        <f>'[2]WA-Com-Existing Cust'!SO21+SUM('[2]WA-Com-Cust Growth'!SQ$3:SQ20)</f>
        <v>10395.640909724156</v>
      </c>
      <c r="AY19" s="9">
        <f>'[2]WA-Com-Existing Cust'!SP21+SUM('[2]WA-Com-Cust Growth'!SR$3:SR20)</f>
        <v>10395.640909724156</v>
      </c>
      <c r="AZ19" s="9">
        <f>'[2]WA-Com-Existing Cust'!SQ21+SUM('[2]WA-Com-Cust Growth'!SS$3:SS20)</f>
        <v>10395.640909724156</v>
      </c>
      <c r="BA19" s="9">
        <f>'[2]WA-Com-Existing Cust'!SR21+SUM('[2]WA-Com-Cust Growth'!ST$3:ST20)</f>
        <v>10395.640909724156</v>
      </c>
      <c r="BB19" s="9">
        <f>'[2]WA-Com-Existing Cust'!SS21+SUM('[2]WA-Com-Cust Growth'!SU$3:SU20)</f>
        <v>7551.0810301977681</v>
      </c>
      <c r="BC19" s="9">
        <f>'[2]WA-Com-Existing Cust'!ST21+SUM('[2]WA-Com-Cust Growth'!SV$3:SV20)</f>
        <v>5621.7182818934225</v>
      </c>
      <c r="BD19" s="9">
        <f>'[2]WA-Com-Existing Cust'!SU21+SUM('[2]WA-Com-Cust Growth'!SW$3:SW20)</f>
        <v>2908.9661839266832</v>
      </c>
      <c r="BE19" s="9">
        <f>'[2]WA-Com-Existing Cust'!SV21+SUM('[2]WA-Com-Cust Growth'!SX$3:SX20)</f>
        <v>10395.640909724156</v>
      </c>
      <c r="BF19" s="9">
        <f>'[2]WA-Com-Existing Cust'!SW21+SUM('[2]WA-Com-Cust Growth'!SY$3:SY20)</f>
        <v>10395.640909724156</v>
      </c>
      <c r="BG19" s="9">
        <f>'[2]WA-Com-Existing Cust'!SX21+SUM('[2]WA-Com-Cust Growth'!SZ$3:SZ20)</f>
        <v>10395.640909724156</v>
      </c>
    </row>
    <row r="20" spans="2:59" x14ac:dyDescent="0.25">
      <c r="B20">
        <v>2040</v>
      </c>
      <c r="C20" s="187">
        <v>454352.28781677212</v>
      </c>
      <c r="D20" s="187">
        <v>42604.133459288903</v>
      </c>
      <c r="E20" s="187">
        <f t="shared" si="0"/>
        <v>496956.42127606104</v>
      </c>
      <c r="F20" s="187">
        <v>63747.706670671381</v>
      </c>
      <c r="G20" s="187">
        <v>5478.2931012748822</v>
      </c>
      <c r="H20" s="187">
        <f t="shared" si="1"/>
        <v>69225.99977194627</v>
      </c>
      <c r="I20" s="9">
        <f t="shared" si="2"/>
        <v>986504.20522953232</v>
      </c>
      <c r="K20">
        <v>2040</v>
      </c>
      <c r="M20" s="9">
        <f>'[2]OR-Res-Existing Cust'!SO22+SUM('[2]OR-Res-Cust Growth'!SQ$3:SQ21)</f>
        <v>786481.55094369501</v>
      </c>
      <c r="N20" s="9">
        <f>'[2]OR-Res-Existing Cust'!SP22+SUM('[2]OR-Res-Cust Growth'!SR$3:SR21)</f>
        <v>786481.55094369501</v>
      </c>
      <c r="O20" s="9">
        <f>'[2]OR-Res-Existing Cust'!SQ22+SUM('[2]OR-Res-Cust Growth'!SS$3:SS21)</f>
        <v>786481.55094369501</v>
      </c>
      <c r="P20" s="9">
        <f>'[2]OR-Res-Existing Cust'!SR22+SUM('[2]OR-Res-Cust Growth'!ST$3:ST21)</f>
        <v>786481.55094369501</v>
      </c>
      <c r="Q20" s="9">
        <f>'[2]OR-Res-Existing Cust'!SS22+SUM('[2]OR-Res-Cust Growth'!SU$3:SU21)</f>
        <v>637269.09390680457</v>
      </c>
      <c r="R20" s="9">
        <f>'[2]OR-Res-Existing Cust'!ST22+SUM('[2]OR-Res-Cust Growth'!SV$3:SV21)</f>
        <v>454352.28781677212</v>
      </c>
      <c r="S20" s="9">
        <f>'[2]OR-Res-Existing Cust'!SU22+SUM('[2]OR-Res-Cust Growth'!SW$3:SW21)</f>
        <v>207554.32086279918</v>
      </c>
      <c r="T20" s="9">
        <f>'[2]OR-Res-Existing Cust'!SV22+SUM('[2]OR-Res-Cust Growth'!SX$3:SX21)</f>
        <v>786481.55094369501</v>
      </c>
      <c r="U20" s="9">
        <f>'[2]OR-Res-Existing Cust'!SW22+SUM('[2]OR-Res-Cust Growth'!SY$3:SY21)</f>
        <v>786481.55094369501</v>
      </c>
      <c r="V20" s="9">
        <f>'[2]OR-Res-Existing Cust'!SX22+SUM('[2]OR-Res-Cust Growth'!SZ$3:SZ21)</f>
        <v>786481.55094369501</v>
      </c>
      <c r="W20" s="9"/>
      <c r="X20">
        <v>2040</v>
      </c>
      <c r="Y20" s="9">
        <f>'[2]OR-Com-Existing Cust'!SO22+SUM('[2]OR-Com-Cust Growth'!SQ$3:SQ21)</f>
        <v>71197.793013810238</v>
      </c>
      <c r="Z20" s="9">
        <f>'[2]OR-Com-Existing Cust'!SP22+SUM('[2]OR-Com-Cust Growth'!SR$3:SR21)</f>
        <v>71197.793013810238</v>
      </c>
      <c r="AA20" s="9">
        <f>'[2]OR-Com-Existing Cust'!SQ22+SUM('[2]OR-Com-Cust Growth'!SS$3:SS21)</f>
        <v>71197.793013810238</v>
      </c>
      <c r="AB20" s="9">
        <f>'[2]OR-Com-Existing Cust'!SR22+SUM('[2]OR-Com-Cust Growth'!ST$3:ST21)</f>
        <v>71197.793013810238</v>
      </c>
      <c r="AC20" s="9">
        <f>'[2]OR-Com-Existing Cust'!SS22+SUM('[2]OR-Com-Cust Growth'!SU$3:SU21)</f>
        <v>58666.384881500191</v>
      </c>
      <c r="AD20" s="9">
        <f>'[2]OR-Com-Existing Cust'!ST22+SUM('[2]OR-Com-Cust Growth'!SV$3:SV21)</f>
        <v>42604.133459288903</v>
      </c>
      <c r="AE20" s="9">
        <f>'[2]OR-Com-Existing Cust'!SU22+SUM('[2]OR-Com-Cust Growth'!SW$3:SW21)</f>
        <v>19261.177236268013</v>
      </c>
      <c r="AF20" s="9">
        <f>'[2]OR-Com-Existing Cust'!SV22+SUM('[2]OR-Com-Cust Growth'!SX$3:SX21)</f>
        <v>71197.793013810238</v>
      </c>
      <c r="AG20" s="9">
        <f>'[2]OR-Com-Existing Cust'!SW22+SUM('[2]OR-Com-Cust Growth'!SY$3:SY21)</f>
        <v>71197.793013810238</v>
      </c>
      <c r="AH20" s="9">
        <f>'[2]OR-Com-Existing Cust'!SX22+SUM('[2]OR-Com-Cust Growth'!SZ$3:SZ21)</f>
        <v>71197.793013810238</v>
      </c>
      <c r="AJ20">
        <v>2040</v>
      </c>
      <c r="AL20" s="9">
        <f>'[2]WA-Res-Existing Cust'!SO22+SUM('[2]WA-Res-Cust Growth'!SQ$3:SQ21)</f>
        <v>118268.98661258715</v>
      </c>
      <c r="AM20" s="9">
        <f>'[2]WA-Res-Existing Cust'!SP22+SUM('[2]WA-Res-Cust Growth'!SR$3:SR21)</f>
        <v>118268.98661258715</v>
      </c>
      <c r="AN20" s="9">
        <f>'[2]WA-Res-Existing Cust'!SQ22+SUM('[2]WA-Res-Cust Growth'!SS$3:SS21)</f>
        <v>118268.98661258715</v>
      </c>
      <c r="AO20" s="9">
        <f>'[2]WA-Res-Existing Cust'!SR22+SUM('[2]WA-Res-Cust Growth'!ST$3:ST21)</f>
        <v>118268.98661258715</v>
      </c>
      <c r="AP20" s="9">
        <f>'[2]WA-Res-Existing Cust'!SS22+SUM('[2]WA-Res-Cust Growth'!SU$3:SU21)</f>
        <v>89468.986612587149</v>
      </c>
      <c r="AQ20" s="9">
        <f>'[2]WA-Res-Existing Cust'!ST22+SUM('[2]WA-Res-Cust Growth'!SV$3:SV21)</f>
        <v>63747.706670671381</v>
      </c>
      <c r="AR20" s="9">
        <f>'[2]WA-Res-Existing Cust'!SU22+SUM('[2]WA-Res-Cust Growth'!SW$3:SW21)</f>
        <v>30650.10860744298</v>
      </c>
      <c r="AS20" s="9">
        <f>'[2]WA-Res-Existing Cust'!SV22+SUM('[2]WA-Res-Cust Growth'!SX$3:SX21)</f>
        <v>118268.98661258715</v>
      </c>
      <c r="AT20" s="9">
        <f>'[2]WA-Res-Existing Cust'!SW22+SUM('[2]WA-Res-Cust Growth'!SY$3:SY21)</f>
        <v>118268.98661258715</v>
      </c>
      <c r="AU20" s="9">
        <f>'[2]WA-Res-Existing Cust'!SX22+SUM('[2]WA-Res-Cust Growth'!SZ$3:SZ21)</f>
        <v>118268.98661258715</v>
      </c>
      <c r="AV20" s="9"/>
      <c r="AW20">
        <v>2040</v>
      </c>
      <c r="AX20" s="9">
        <f>'[2]WA-Com-Existing Cust'!SO22+SUM('[2]WA-Com-Cust Growth'!SQ$3:SQ21)</f>
        <v>10555.874659440058</v>
      </c>
      <c r="AY20" s="9">
        <f>'[2]WA-Com-Existing Cust'!SP22+SUM('[2]WA-Com-Cust Growth'!SR$3:SR21)</f>
        <v>10555.874659440058</v>
      </c>
      <c r="AZ20" s="9">
        <f>'[2]WA-Com-Existing Cust'!SQ22+SUM('[2]WA-Com-Cust Growth'!SS$3:SS21)</f>
        <v>10555.874659440058</v>
      </c>
      <c r="BA20" s="9">
        <f>'[2]WA-Com-Existing Cust'!SR22+SUM('[2]WA-Com-Cust Growth'!ST$3:ST21)</f>
        <v>10555.874659440058</v>
      </c>
      <c r="BB20" s="9">
        <f>'[2]WA-Com-Existing Cust'!SS22+SUM('[2]WA-Com-Cust Growth'!SU$3:SU21)</f>
        <v>7537.5807841226379</v>
      </c>
      <c r="BC20" s="9">
        <f>'[2]WA-Com-Existing Cust'!ST22+SUM('[2]WA-Com-Cust Growth'!SV$3:SV21)</f>
        <v>5478.2931012748822</v>
      </c>
      <c r="BD20" s="9">
        <f>'[2]WA-Com-Existing Cust'!SU22+SUM('[2]WA-Com-Cust Growth'!SW$3:SW21)</f>
        <v>2620.575030966409</v>
      </c>
      <c r="BE20" s="9">
        <f>'[2]WA-Com-Existing Cust'!SV22+SUM('[2]WA-Com-Cust Growth'!SX$3:SX21)</f>
        <v>10555.874659440058</v>
      </c>
      <c r="BF20" s="9">
        <f>'[2]WA-Com-Existing Cust'!SW22+SUM('[2]WA-Com-Cust Growth'!SY$3:SY21)</f>
        <v>10555.874659440058</v>
      </c>
      <c r="BG20" s="9">
        <f>'[2]WA-Com-Existing Cust'!SX22+SUM('[2]WA-Com-Cust Growth'!SZ$3:SZ21)</f>
        <v>10555.874659440058</v>
      </c>
    </row>
    <row r="21" spans="2:59" x14ac:dyDescent="0.25">
      <c r="B21">
        <v>2041</v>
      </c>
      <c r="C21" s="187">
        <v>441982.45835004241</v>
      </c>
      <c r="D21" s="187">
        <v>41430.671220173092</v>
      </c>
      <c r="E21" s="187">
        <f t="shared" si="0"/>
        <v>483413.12957021547</v>
      </c>
      <c r="F21" s="187">
        <v>62091.483894452176</v>
      </c>
      <c r="G21" s="187">
        <v>5334.867920656342</v>
      </c>
      <c r="H21" s="187">
        <f t="shared" si="1"/>
        <v>67426.351815108515</v>
      </c>
      <c r="I21" s="9">
        <f t="shared" si="2"/>
        <v>994950.80180719646</v>
      </c>
      <c r="K21">
        <v>2041</v>
      </c>
      <c r="M21" s="9">
        <f>'[2]OR-Res-Existing Cust'!SO23+SUM('[2]OR-Res-Cust Growth'!SQ$3:SQ22)</f>
        <v>792539.35371197574</v>
      </c>
      <c r="N21" s="9">
        <f>'[2]OR-Res-Existing Cust'!SP23+SUM('[2]OR-Res-Cust Growth'!SR$3:SR22)</f>
        <v>792539.35371197574</v>
      </c>
      <c r="O21" s="9">
        <f>'[2]OR-Res-Existing Cust'!SQ23+SUM('[2]OR-Res-Cust Growth'!SS$3:SS22)</f>
        <v>792539.35371197574</v>
      </c>
      <c r="P21" s="9">
        <f>'[2]OR-Res-Existing Cust'!SR23+SUM('[2]OR-Res-Cust Growth'!ST$3:ST22)</f>
        <v>792539.35371197574</v>
      </c>
      <c r="Q21" s="9">
        <f>'[2]OR-Res-Existing Cust'!SS23+SUM('[2]OR-Res-Cust Growth'!SU$3:SU22)</f>
        <v>636472.31463055464</v>
      </c>
      <c r="R21" s="9">
        <f>'[2]OR-Res-Existing Cust'!ST23+SUM('[2]OR-Res-Cust Growth'!SV$3:SV22)</f>
        <v>441982.45835004241</v>
      </c>
      <c r="S21" s="9">
        <f>'[2]OR-Res-Existing Cust'!SU23+SUM('[2]OR-Res-Cust Growth'!SW$3:SW22)</f>
        <v>182729.14444639374</v>
      </c>
      <c r="T21" s="9">
        <f>'[2]OR-Res-Existing Cust'!SV23+SUM('[2]OR-Res-Cust Growth'!SX$3:SX22)</f>
        <v>792539.35371197574</v>
      </c>
      <c r="U21" s="9">
        <f>'[2]OR-Res-Existing Cust'!SW23+SUM('[2]OR-Res-Cust Growth'!SY$3:SY22)</f>
        <v>792539.35371197574</v>
      </c>
      <c r="V21" s="9">
        <f>'[2]OR-Res-Existing Cust'!SX23+SUM('[2]OR-Res-Cust Growth'!SZ$3:SZ22)</f>
        <v>792539.35371197574</v>
      </c>
      <c r="W21" s="9"/>
      <c r="X21">
        <v>2041</v>
      </c>
      <c r="Y21" s="9">
        <f>'[2]OR-Com-Existing Cust'!SO23+SUM('[2]OR-Com-Cust Growth'!SQ$3:SQ22)</f>
        <v>71679.604948335211</v>
      </c>
      <c r="Z21" s="9">
        <f>'[2]OR-Com-Existing Cust'!SP23+SUM('[2]OR-Com-Cust Growth'!SR$3:SR22)</f>
        <v>71679.604948335211</v>
      </c>
      <c r="AA21" s="9">
        <f>'[2]OR-Com-Existing Cust'!SQ23+SUM('[2]OR-Com-Cust Growth'!SS$3:SS22)</f>
        <v>71679.604948335211</v>
      </c>
      <c r="AB21" s="9">
        <f>'[2]OR-Com-Existing Cust'!SR23+SUM('[2]OR-Com-Cust Growth'!ST$3:ST22)</f>
        <v>71679.604948335211</v>
      </c>
      <c r="AC21" s="9">
        <f>'[2]OR-Com-Existing Cust'!SS23+SUM('[2]OR-Com-Cust Growth'!SU$3:SU22)</f>
        <v>58533.274080929077</v>
      </c>
      <c r="AD21" s="9">
        <f>'[2]OR-Com-Existing Cust'!ST23+SUM('[2]OR-Com-Cust Growth'!SV$3:SV22)</f>
        <v>41430.671220173092</v>
      </c>
      <c r="AE21" s="9">
        <f>'[2]OR-Com-Existing Cust'!SU23+SUM('[2]OR-Com-Cust Growth'!SW$3:SW22)</f>
        <v>16896.211535279901</v>
      </c>
      <c r="AF21" s="9">
        <f>'[2]OR-Com-Existing Cust'!SV23+SUM('[2]OR-Com-Cust Growth'!SX$3:SX22)</f>
        <v>71679.604948335211</v>
      </c>
      <c r="AG21" s="9">
        <f>'[2]OR-Com-Existing Cust'!SW23+SUM('[2]OR-Com-Cust Growth'!SY$3:SY22)</f>
        <v>71679.604948335211</v>
      </c>
      <c r="AH21" s="9">
        <f>'[2]OR-Com-Existing Cust'!SX23+SUM('[2]OR-Com-Cust Growth'!SZ$3:SZ22)</f>
        <v>71679.604948335211</v>
      </c>
      <c r="AJ21">
        <v>2041</v>
      </c>
      <c r="AL21" s="9">
        <f>'[2]WA-Res-Existing Cust'!SO23+SUM('[2]WA-Res-Cust Growth'!SQ$3:SQ22)</f>
        <v>120014.48056747977</v>
      </c>
      <c r="AM21" s="9">
        <f>'[2]WA-Res-Existing Cust'!SP23+SUM('[2]WA-Res-Cust Growth'!SR$3:SR22)</f>
        <v>120014.48056747977</v>
      </c>
      <c r="AN21" s="9">
        <f>'[2]WA-Res-Existing Cust'!SQ23+SUM('[2]WA-Res-Cust Growth'!SS$3:SS22)</f>
        <v>120014.48056747977</v>
      </c>
      <c r="AO21" s="9">
        <f>'[2]WA-Res-Existing Cust'!SR23+SUM('[2]WA-Res-Cust Growth'!ST$3:ST22)</f>
        <v>120014.48056747977</v>
      </c>
      <c r="AP21" s="9">
        <f>'[2]WA-Res-Existing Cust'!SS23+SUM('[2]WA-Res-Cust Growth'!SU$3:SU22)</f>
        <v>89414.480567479768</v>
      </c>
      <c r="AQ21" s="9">
        <f>'[2]WA-Res-Existing Cust'!ST23+SUM('[2]WA-Res-Cust Growth'!SV$3:SV22)</f>
        <v>62091.483894452176</v>
      </c>
      <c r="AR21" s="9">
        <f>'[2]WA-Res-Existing Cust'!SU23+SUM('[2]WA-Res-Cust Growth'!SW$3:SW22)</f>
        <v>27333.826274839477</v>
      </c>
      <c r="AS21" s="9">
        <f>'[2]WA-Res-Existing Cust'!SV23+SUM('[2]WA-Res-Cust Growth'!SX$3:SX22)</f>
        <v>120014.48056747977</v>
      </c>
      <c r="AT21" s="9">
        <f>'[2]WA-Res-Existing Cust'!SW23+SUM('[2]WA-Res-Cust Growth'!SY$3:SY22)</f>
        <v>120014.48056747977</v>
      </c>
      <c r="AU21" s="9">
        <f>'[2]WA-Res-Existing Cust'!SX23+SUM('[2]WA-Res-Cust Growth'!SZ$3:SZ22)</f>
        <v>120014.48056747977</v>
      </c>
      <c r="AV21" s="9"/>
      <c r="AW21">
        <v>2041</v>
      </c>
      <c r="AX21" s="9">
        <f>'[2]WA-Com-Existing Cust'!SO23+SUM('[2]WA-Com-Cust Growth'!SQ$3:SQ22)</f>
        <v>10717.36257940573</v>
      </c>
      <c r="AY21" s="9">
        <f>'[2]WA-Com-Existing Cust'!SP23+SUM('[2]WA-Com-Cust Growth'!SR$3:SR22)</f>
        <v>10717.36257940573</v>
      </c>
      <c r="AZ21" s="9">
        <f>'[2]WA-Com-Existing Cust'!SQ23+SUM('[2]WA-Com-Cust Growth'!SS$3:SS22)</f>
        <v>10717.36257940573</v>
      </c>
      <c r="BA21" s="9">
        <f>'[2]WA-Com-Existing Cust'!SR23+SUM('[2]WA-Com-Cust Growth'!ST$3:ST22)</f>
        <v>10717.36257940573</v>
      </c>
      <c r="BB21" s="9">
        <f>'[2]WA-Com-Existing Cust'!SS23+SUM('[2]WA-Com-Cust Growth'!SU$3:SU22)</f>
        <v>7523.9743376075703</v>
      </c>
      <c r="BC21" s="9">
        <f>'[2]WA-Com-Existing Cust'!ST23+SUM('[2]WA-Com-Cust Growth'!SV$3:SV22)</f>
        <v>5334.867920656342</v>
      </c>
      <c r="BD21" s="9">
        <f>'[2]WA-Com-Existing Cust'!SU23+SUM('[2]WA-Com-Cust Growth'!SW$3:SW22)</f>
        <v>2332.1838780061348</v>
      </c>
      <c r="BE21" s="9">
        <f>'[2]WA-Com-Existing Cust'!SV23+SUM('[2]WA-Com-Cust Growth'!SX$3:SX22)</f>
        <v>10717.36257940573</v>
      </c>
      <c r="BF21" s="9">
        <f>'[2]WA-Com-Existing Cust'!SW23+SUM('[2]WA-Com-Cust Growth'!SY$3:SY22)</f>
        <v>10717.36257940573</v>
      </c>
      <c r="BG21" s="9">
        <f>'[2]WA-Com-Existing Cust'!SX23+SUM('[2]WA-Com-Cust Growth'!SZ$3:SZ22)</f>
        <v>10717.36257940573</v>
      </c>
    </row>
    <row r="22" spans="2:59" x14ac:dyDescent="0.25">
      <c r="B22">
        <v>2042</v>
      </c>
      <c r="C22" s="187">
        <v>429612.62888331269</v>
      </c>
      <c r="D22" s="187">
        <v>40257.20898105728</v>
      </c>
      <c r="E22" s="187">
        <f t="shared" si="0"/>
        <v>469869.83786436997</v>
      </c>
      <c r="F22" s="187">
        <v>60435.261118232971</v>
      </c>
      <c r="G22" s="187">
        <v>5191.4427400378017</v>
      </c>
      <c r="H22" s="187">
        <f t="shared" si="1"/>
        <v>65626.703858270776</v>
      </c>
      <c r="I22" s="9">
        <f t="shared" si="2"/>
        <v>1003332.3333807004</v>
      </c>
      <c r="K22">
        <v>2042</v>
      </c>
      <c r="M22" s="9">
        <f>'[2]OR-Res-Existing Cust'!SO24+SUM('[2]OR-Res-Cust Growth'!SQ$3:SQ23)</f>
        <v>798524.66911093018</v>
      </c>
      <c r="N22" s="9">
        <f>'[2]OR-Res-Existing Cust'!SP24+SUM('[2]OR-Res-Cust Growth'!SR$3:SR23)</f>
        <v>798524.66911093018</v>
      </c>
      <c r="O22" s="9">
        <f>'[2]OR-Res-Existing Cust'!SQ24+SUM('[2]OR-Res-Cust Growth'!SS$3:SS23)</f>
        <v>798524.66911093018</v>
      </c>
      <c r="P22" s="9">
        <f>'[2]OR-Res-Existing Cust'!SR24+SUM('[2]OR-Res-Cust Growth'!ST$3:ST23)</f>
        <v>798524.66911093018</v>
      </c>
      <c r="Q22" s="9">
        <f>'[2]OR-Res-Existing Cust'!SS24+SUM('[2]OR-Res-Cust Growth'!SU$3:SU23)</f>
        <v>635664.87284563936</v>
      </c>
      <c r="R22" s="9">
        <f>'[2]OR-Res-Existing Cust'!ST24+SUM('[2]OR-Res-Cust Growth'!SV$3:SV23)</f>
        <v>429612.62888331269</v>
      </c>
      <c r="S22" s="9">
        <f>'[2]OR-Res-Existing Cust'!SU24+SUM('[2]OR-Res-Cust Growth'!SW$3:SW23)</f>
        <v>157903.96802998829</v>
      </c>
      <c r="T22" s="9">
        <f>'[2]OR-Res-Existing Cust'!SV24+SUM('[2]OR-Res-Cust Growth'!SX$3:SX23)</f>
        <v>798524.66911093018</v>
      </c>
      <c r="U22" s="9">
        <f>'[2]OR-Res-Existing Cust'!SW24+SUM('[2]OR-Res-Cust Growth'!SY$3:SY23)</f>
        <v>798524.66911093018</v>
      </c>
      <c r="V22" s="9">
        <f>'[2]OR-Res-Existing Cust'!SX24+SUM('[2]OR-Res-Cust Growth'!SZ$3:SZ23)</f>
        <v>798524.66911093018</v>
      </c>
      <c r="W22" s="9"/>
      <c r="X22">
        <v>2042</v>
      </c>
      <c r="Y22" s="9">
        <f>'[2]OR-Com-Existing Cust'!SO24+SUM('[2]OR-Com-Cust Growth'!SQ$3:SQ23)</f>
        <v>72168.133994072181</v>
      </c>
      <c r="Z22" s="9">
        <f>'[2]OR-Com-Existing Cust'!SP24+SUM('[2]OR-Com-Cust Growth'!SR$3:SR23)</f>
        <v>72168.133994072181</v>
      </c>
      <c r="AA22" s="9">
        <f>'[2]OR-Com-Existing Cust'!SQ24+SUM('[2]OR-Com-Cust Growth'!SS$3:SS23)</f>
        <v>72168.133994072181</v>
      </c>
      <c r="AB22" s="9">
        <f>'[2]OR-Com-Existing Cust'!SR24+SUM('[2]OR-Com-Cust Growth'!ST$3:ST23)</f>
        <v>72168.133994072181</v>
      </c>
      <c r="AC22" s="9">
        <f>'[2]OR-Com-Existing Cust'!SS24+SUM('[2]OR-Com-Cust Growth'!SU$3:SU23)</f>
        <v>58398.370925121599</v>
      </c>
      <c r="AD22" s="9">
        <f>'[2]OR-Com-Existing Cust'!ST24+SUM('[2]OR-Com-Cust Growth'!SV$3:SV23)</f>
        <v>40257.20898105728</v>
      </c>
      <c r="AE22" s="9">
        <f>'[2]OR-Com-Existing Cust'!SU24+SUM('[2]OR-Com-Cust Growth'!SW$3:SW23)</f>
        <v>14531.245834291789</v>
      </c>
      <c r="AF22" s="9">
        <f>'[2]OR-Com-Existing Cust'!SV24+SUM('[2]OR-Com-Cust Growth'!SX$3:SX23)</f>
        <v>72168.133994072181</v>
      </c>
      <c r="AG22" s="9">
        <f>'[2]OR-Com-Existing Cust'!SW24+SUM('[2]OR-Com-Cust Growth'!SY$3:SY23)</f>
        <v>72168.133994072181</v>
      </c>
      <c r="AH22" s="9">
        <f>'[2]OR-Com-Existing Cust'!SX24+SUM('[2]OR-Com-Cust Growth'!SZ$3:SZ23)</f>
        <v>72168.133994072181</v>
      </c>
      <c r="AJ22">
        <v>2042</v>
      </c>
      <c r="AL22" s="9">
        <f>'[2]WA-Res-Existing Cust'!SO24+SUM('[2]WA-Res-Cust Growth'!SQ$3:SQ23)</f>
        <v>121759.19225818776</v>
      </c>
      <c r="AM22" s="9">
        <f>'[2]WA-Res-Existing Cust'!SP24+SUM('[2]WA-Res-Cust Growth'!SR$3:SR23)</f>
        <v>121759.19225818776</v>
      </c>
      <c r="AN22" s="9">
        <f>'[2]WA-Res-Existing Cust'!SQ24+SUM('[2]WA-Res-Cust Growth'!SS$3:SS23)</f>
        <v>121759.19225818776</v>
      </c>
      <c r="AO22" s="9">
        <f>'[2]WA-Res-Existing Cust'!SR24+SUM('[2]WA-Res-Cust Growth'!ST$3:ST23)</f>
        <v>121759.19225818776</v>
      </c>
      <c r="AP22" s="9">
        <f>'[2]WA-Res-Existing Cust'!SS24+SUM('[2]WA-Res-Cust Growth'!SU$3:SU23)</f>
        <v>89359.192258187759</v>
      </c>
      <c r="AQ22" s="9">
        <f>'[2]WA-Res-Existing Cust'!ST24+SUM('[2]WA-Res-Cust Growth'!SV$3:SV23)</f>
        <v>60435.261118232971</v>
      </c>
      <c r="AR22" s="9">
        <f>'[2]WA-Res-Existing Cust'!SU24+SUM('[2]WA-Res-Cust Growth'!SW$3:SW23)</f>
        <v>24017.543942235974</v>
      </c>
      <c r="AS22" s="9">
        <f>'[2]WA-Res-Existing Cust'!SV24+SUM('[2]WA-Res-Cust Growth'!SX$3:SX23)</f>
        <v>121759.19225818776</v>
      </c>
      <c r="AT22" s="9">
        <f>'[2]WA-Res-Existing Cust'!SW24+SUM('[2]WA-Res-Cust Growth'!SY$3:SY23)</f>
        <v>121759.19225818776</v>
      </c>
      <c r="AU22" s="9">
        <f>'[2]WA-Res-Existing Cust'!SX24+SUM('[2]WA-Res-Cust Growth'!SZ$3:SZ23)</f>
        <v>121759.19225818776</v>
      </c>
      <c r="AV22" s="9"/>
      <c r="AW22">
        <v>2042</v>
      </c>
      <c r="AX22" s="9">
        <f>'[2]WA-Com-Existing Cust'!SO24+SUM('[2]WA-Com-Cust Growth'!SQ$3:SQ23)</f>
        <v>10880.338017510261</v>
      </c>
      <c r="AY22" s="9">
        <f>'[2]WA-Com-Existing Cust'!SP24+SUM('[2]WA-Com-Cust Growth'!SR$3:SR23)</f>
        <v>10880.338017510261</v>
      </c>
      <c r="AZ22" s="9">
        <f>'[2]WA-Com-Existing Cust'!SQ24+SUM('[2]WA-Com-Cust Growth'!SS$3:SS23)</f>
        <v>10880.338017510261</v>
      </c>
      <c r="BA22" s="9">
        <f>'[2]WA-Com-Existing Cust'!SR24+SUM('[2]WA-Com-Cust Growth'!ST$3:ST23)</f>
        <v>10880.338017510261</v>
      </c>
      <c r="BB22" s="9">
        <f>'[2]WA-Com-Existing Cust'!SS24+SUM('[2]WA-Com-Cust Growth'!SU$3:SU23)</f>
        <v>7510.2417188552026</v>
      </c>
      <c r="BC22" s="9">
        <f>'[2]WA-Com-Existing Cust'!ST24+SUM('[2]WA-Com-Cust Growth'!SV$3:SV23)</f>
        <v>5191.4427400378017</v>
      </c>
      <c r="BD22" s="9">
        <f>'[2]WA-Com-Existing Cust'!SU24+SUM('[2]WA-Com-Cust Growth'!SW$3:SW23)</f>
        <v>2043.7927250458606</v>
      </c>
      <c r="BE22" s="9">
        <f>'[2]WA-Com-Existing Cust'!SV24+SUM('[2]WA-Com-Cust Growth'!SX$3:SX23)</f>
        <v>10880.338017510261</v>
      </c>
      <c r="BF22" s="9">
        <f>'[2]WA-Com-Existing Cust'!SW24+SUM('[2]WA-Com-Cust Growth'!SY$3:SY23)</f>
        <v>10880.338017510261</v>
      </c>
      <c r="BG22" s="9">
        <f>'[2]WA-Com-Existing Cust'!SX24+SUM('[2]WA-Com-Cust Growth'!SZ$3:SZ23)</f>
        <v>10880.338017510261</v>
      </c>
    </row>
    <row r="23" spans="2:59" x14ac:dyDescent="0.25">
      <c r="B23">
        <v>2043</v>
      </c>
      <c r="C23" s="187">
        <v>417242.79941658297</v>
      </c>
      <c r="D23" s="187">
        <v>39083.746741941468</v>
      </c>
      <c r="E23" s="187">
        <f t="shared" si="0"/>
        <v>456326.54615852446</v>
      </c>
      <c r="F23" s="187">
        <v>58779.038342013766</v>
      </c>
      <c r="G23" s="187">
        <v>5048.0175594192615</v>
      </c>
      <c r="H23" s="187">
        <f t="shared" si="1"/>
        <v>63827.055901433028</v>
      </c>
      <c r="I23" s="9">
        <f t="shared" si="2"/>
        <v>1011629.986562119</v>
      </c>
      <c r="K23">
        <v>2043</v>
      </c>
      <c r="M23" s="9">
        <f>'[2]OR-Res-Existing Cust'!SO25+SUM('[2]OR-Res-Cust Growth'!SQ$3:SQ24)</f>
        <v>804419.26577844226</v>
      </c>
      <c r="N23" s="9">
        <f>'[2]OR-Res-Existing Cust'!SP25+SUM('[2]OR-Res-Cust Growth'!SR$3:SR24)</f>
        <v>804419.26577844226</v>
      </c>
      <c r="O23" s="9">
        <f>'[2]OR-Res-Existing Cust'!SQ25+SUM('[2]OR-Res-Cust Growth'!SS$3:SS24)</f>
        <v>804419.26577844226</v>
      </c>
      <c r="P23" s="9">
        <f>'[2]OR-Res-Existing Cust'!SR25+SUM('[2]OR-Res-Cust Growth'!ST$3:ST24)</f>
        <v>804419.26577844226</v>
      </c>
      <c r="Q23" s="9">
        <f>'[2]OR-Res-Existing Cust'!SS25+SUM('[2]OR-Res-Cust Growth'!SU$3:SU24)</f>
        <v>634849.1874893253</v>
      </c>
      <c r="R23" s="9">
        <f>'[2]OR-Res-Existing Cust'!ST25+SUM('[2]OR-Res-Cust Growth'!SV$3:SV24)</f>
        <v>417242.79941658297</v>
      </c>
      <c r="S23" s="9">
        <f>'[2]OR-Res-Existing Cust'!SU25+SUM('[2]OR-Res-Cust Growth'!SW$3:SW24)</f>
        <v>133078.79161358287</v>
      </c>
      <c r="T23" s="9">
        <f>'[2]OR-Res-Existing Cust'!SV25+SUM('[2]OR-Res-Cust Growth'!SX$3:SX24)</f>
        <v>804419.26577844226</v>
      </c>
      <c r="U23" s="9">
        <f>'[2]OR-Res-Existing Cust'!SW25+SUM('[2]OR-Res-Cust Growth'!SY$3:SY24)</f>
        <v>804419.26577844226</v>
      </c>
      <c r="V23" s="9">
        <f>'[2]OR-Res-Existing Cust'!SX25+SUM('[2]OR-Res-Cust Growth'!SZ$3:SZ24)</f>
        <v>804419.26577844226</v>
      </c>
      <c r="W23" s="9"/>
      <c r="X23">
        <v>2043</v>
      </c>
      <c r="Y23" s="9">
        <f>'[2]OR-Com-Existing Cust'!SO25+SUM('[2]OR-Com-Cust Growth'!SQ$3:SQ24)</f>
        <v>72662.765059408237</v>
      </c>
      <c r="Z23" s="9">
        <f>'[2]OR-Com-Existing Cust'!SP25+SUM('[2]OR-Com-Cust Growth'!SR$3:SR24)</f>
        <v>72662.765059408237</v>
      </c>
      <c r="AA23" s="9">
        <f>'[2]OR-Com-Existing Cust'!SQ25+SUM('[2]OR-Com-Cust Growth'!SS$3:SS24)</f>
        <v>72662.765059408237</v>
      </c>
      <c r="AB23" s="9">
        <f>'[2]OR-Com-Existing Cust'!SR25+SUM('[2]OR-Com-Cust Growth'!ST$3:ST24)</f>
        <v>72662.765059408237</v>
      </c>
      <c r="AC23" s="9">
        <f>'[2]OR-Com-Existing Cust'!SS25+SUM('[2]OR-Com-Cust Growth'!SU$3:SU24)</f>
        <v>58261.845361751009</v>
      </c>
      <c r="AD23" s="9">
        <f>'[2]OR-Com-Existing Cust'!ST25+SUM('[2]OR-Com-Cust Growth'!SV$3:SV24)</f>
        <v>39083.746741941468</v>
      </c>
      <c r="AE23" s="9">
        <f>'[2]OR-Com-Existing Cust'!SU25+SUM('[2]OR-Com-Cust Growth'!SW$3:SW24)</f>
        <v>12166.280133303677</v>
      </c>
      <c r="AF23" s="9">
        <f>'[2]OR-Com-Existing Cust'!SV25+SUM('[2]OR-Com-Cust Growth'!SX$3:SX24)</f>
        <v>72662.765059408237</v>
      </c>
      <c r="AG23" s="9">
        <f>'[2]OR-Com-Existing Cust'!SW25+SUM('[2]OR-Com-Cust Growth'!SY$3:SY24)</f>
        <v>72662.765059408237</v>
      </c>
      <c r="AH23" s="9">
        <f>'[2]OR-Com-Existing Cust'!SX25+SUM('[2]OR-Com-Cust Growth'!SZ$3:SZ24)</f>
        <v>72662.765059408237</v>
      </c>
      <c r="AJ23">
        <v>2043</v>
      </c>
      <c r="AL23" s="9">
        <f>'[2]WA-Res-Existing Cust'!SO25+SUM('[2]WA-Res-Cust Growth'!SQ$3:SQ24)</f>
        <v>123503.01546217939</v>
      </c>
      <c r="AM23" s="9">
        <f>'[2]WA-Res-Existing Cust'!SP25+SUM('[2]WA-Res-Cust Growth'!SR$3:SR24)</f>
        <v>123503.01546217939</v>
      </c>
      <c r="AN23" s="9">
        <f>'[2]WA-Res-Existing Cust'!SQ25+SUM('[2]WA-Res-Cust Growth'!SS$3:SS24)</f>
        <v>123503.01546217939</v>
      </c>
      <c r="AO23" s="9">
        <f>'[2]WA-Res-Existing Cust'!SR25+SUM('[2]WA-Res-Cust Growth'!ST$3:ST24)</f>
        <v>123503.01546217939</v>
      </c>
      <c r="AP23" s="9">
        <f>'[2]WA-Res-Existing Cust'!SS25+SUM('[2]WA-Res-Cust Growth'!SU$3:SU24)</f>
        <v>89303.015462179392</v>
      </c>
      <c r="AQ23" s="9">
        <f>'[2]WA-Res-Existing Cust'!ST25+SUM('[2]WA-Res-Cust Growth'!SV$3:SV24)</f>
        <v>58779.038342013766</v>
      </c>
      <c r="AR23" s="9">
        <f>'[2]WA-Res-Existing Cust'!SU25+SUM('[2]WA-Res-Cust Growth'!SW$3:SW24)</f>
        <v>20701.261609632471</v>
      </c>
      <c r="AS23" s="9">
        <f>'[2]WA-Res-Existing Cust'!SV25+SUM('[2]WA-Res-Cust Growth'!SX$3:SX24)</f>
        <v>123503.01546217939</v>
      </c>
      <c r="AT23" s="9">
        <f>'[2]WA-Res-Existing Cust'!SW25+SUM('[2]WA-Res-Cust Growth'!SY$3:SY24)</f>
        <v>123503.01546217939</v>
      </c>
      <c r="AU23" s="9">
        <f>'[2]WA-Res-Existing Cust'!SX25+SUM('[2]WA-Res-Cust Growth'!SZ$3:SZ24)</f>
        <v>123503.01546217939</v>
      </c>
      <c r="AV23" s="9"/>
      <c r="AW23">
        <v>2043</v>
      </c>
      <c r="AX23" s="9">
        <f>'[2]WA-Com-Existing Cust'!SO25+SUM('[2]WA-Com-Cust Growth'!SQ$3:SQ24)</f>
        <v>11044.940262089043</v>
      </c>
      <c r="AY23" s="9">
        <f>'[2]WA-Com-Existing Cust'!SP25+SUM('[2]WA-Com-Cust Growth'!SR$3:SR24)</f>
        <v>11044.940262089043</v>
      </c>
      <c r="AZ23" s="9">
        <f>'[2]WA-Com-Existing Cust'!SQ25+SUM('[2]WA-Com-Cust Growth'!SS$3:SS24)</f>
        <v>11044.940262089043</v>
      </c>
      <c r="BA23" s="9">
        <f>'[2]WA-Com-Existing Cust'!SR25+SUM('[2]WA-Com-Cust Growth'!ST$3:ST24)</f>
        <v>11044.940262089043</v>
      </c>
      <c r="BB23" s="9">
        <f>'[2]WA-Com-Existing Cust'!SS25+SUM('[2]WA-Com-Cust Growth'!SU$3:SU24)</f>
        <v>7496.3711822252108</v>
      </c>
      <c r="BC23" s="9">
        <f>'[2]WA-Com-Existing Cust'!ST25+SUM('[2]WA-Com-Cust Growth'!SV$3:SV24)</f>
        <v>5048.0175594192615</v>
      </c>
      <c r="BD23" s="9">
        <f>'[2]WA-Com-Existing Cust'!SU25+SUM('[2]WA-Com-Cust Growth'!SW$3:SW24)</f>
        <v>1755.4015720855864</v>
      </c>
      <c r="BE23" s="9">
        <f>'[2]WA-Com-Existing Cust'!SV25+SUM('[2]WA-Com-Cust Growth'!SX$3:SX24)</f>
        <v>11044.940262089043</v>
      </c>
      <c r="BF23" s="9">
        <f>'[2]WA-Com-Existing Cust'!SW25+SUM('[2]WA-Com-Cust Growth'!SY$3:SY24)</f>
        <v>11044.940262089043</v>
      </c>
      <c r="BG23" s="9">
        <f>'[2]WA-Com-Existing Cust'!SX25+SUM('[2]WA-Com-Cust Growth'!SZ$3:SZ24)</f>
        <v>11044.940262089043</v>
      </c>
    </row>
    <row r="24" spans="2:59" x14ac:dyDescent="0.25">
      <c r="B24">
        <v>2044</v>
      </c>
      <c r="C24" s="187">
        <v>404872.96994985326</v>
      </c>
      <c r="D24" s="187">
        <v>37910.284502825656</v>
      </c>
      <c r="E24" s="187">
        <f t="shared" si="0"/>
        <v>442783.2544526789</v>
      </c>
      <c r="F24" s="187">
        <v>57122.815565794561</v>
      </c>
      <c r="G24" s="187">
        <v>4904.5923788007212</v>
      </c>
      <c r="H24" s="187">
        <f t="shared" si="1"/>
        <v>62027.407944595281</v>
      </c>
      <c r="I24" s="9">
        <f t="shared" si="2"/>
        <v>1019798.9119379279</v>
      </c>
      <c r="K24">
        <v>2044</v>
      </c>
      <c r="M24" s="9">
        <f>'[2]OR-Res-Existing Cust'!SO26+SUM('[2]OR-Res-Cust Growth'!SQ$3:SQ25)</f>
        <v>810179.42431593628</v>
      </c>
      <c r="N24" s="9">
        <f>'[2]OR-Res-Existing Cust'!SP26+SUM('[2]OR-Res-Cust Growth'!SR$3:SR25)</f>
        <v>810179.42431593628</v>
      </c>
      <c r="O24" s="9">
        <f>'[2]OR-Res-Existing Cust'!SQ26+SUM('[2]OR-Res-Cust Growth'!SS$3:SS25)</f>
        <v>810179.42431593628</v>
      </c>
      <c r="P24" s="9">
        <f>'[2]OR-Res-Existing Cust'!SR26+SUM('[2]OR-Res-Cust Growth'!ST$3:ST25)</f>
        <v>810179.42431593628</v>
      </c>
      <c r="Q24" s="9">
        <f>'[2]OR-Res-Existing Cust'!SS26+SUM('[2]OR-Res-Cust Growth'!SU$3:SU25)</f>
        <v>634031.06211092696</v>
      </c>
      <c r="R24" s="9">
        <f>'[2]OR-Res-Existing Cust'!ST26+SUM('[2]OR-Res-Cust Growth'!SV$3:SV25)</f>
        <v>404872.96994985326</v>
      </c>
      <c r="S24" s="9">
        <f>'[2]OR-Res-Existing Cust'!SU26+SUM('[2]OR-Res-Cust Growth'!SW$3:SW25)</f>
        <v>108253.61519717742</v>
      </c>
      <c r="T24" s="9">
        <f>'[2]OR-Res-Existing Cust'!SV26+SUM('[2]OR-Res-Cust Growth'!SX$3:SX25)</f>
        <v>810179.42431593628</v>
      </c>
      <c r="U24" s="9">
        <f>'[2]OR-Res-Existing Cust'!SW26+SUM('[2]OR-Res-Cust Growth'!SY$3:SY25)</f>
        <v>810179.42431593628</v>
      </c>
      <c r="V24" s="9">
        <f>'[2]OR-Res-Existing Cust'!SX26+SUM('[2]OR-Res-Cust Growth'!SZ$3:SZ25)</f>
        <v>810179.42431593628</v>
      </c>
      <c r="W24" s="9"/>
      <c r="X24">
        <v>2044</v>
      </c>
      <c r="Y24" s="9">
        <f>'[2]OR-Com-Existing Cust'!SO26+SUM('[2]OR-Com-Cust Growth'!SQ$3:SQ25)</f>
        <v>73162.969104257048</v>
      </c>
      <c r="Z24" s="9">
        <f>'[2]OR-Com-Existing Cust'!SP26+SUM('[2]OR-Com-Cust Growth'!SR$3:SR25)</f>
        <v>73162.969104257048</v>
      </c>
      <c r="AA24" s="9">
        <f>'[2]OR-Com-Existing Cust'!SQ26+SUM('[2]OR-Com-Cust Growth'!SS$3:SS25)</f>
        <v>73162.969104257048</v>
      </c>
      <c r="AB24" s="9">
        <f>'[2]OR-Com-Existing Cust'!SR26+SUM('[2]OR-Com-Cust Growth'!ST$3:ST25)</f>
        <v>73162.969104257048</v>
      </c>
      <c r="AC24" s="9">
        <f>'[2]OR-Com-Existing Cust'!SS26+SUM('[2]OR-Com-Cust Growth'!SU$3:SU25)</f>
        <v>58123.831645366343</v>
      </c>
      <c r="AD24" s="9">
        <f>'[2]OR-Com-Existing Cust'!ST26+SUM('[2]OR-Com-Cust Growth'!SV$3:SV25)</f>
        <v>37910.284502825656</v>
      </c>
      <c r="AE24" s="9">
        <f>'[2]OR-Com-Existing Cust'!SU26+SUM('[2]OR-Com-Cust Growth'!SW$3:SW25)</f>
        <v>9801.3144323155648</v>
      </c>
      <c r="AF24" s="9">
        <f>'[2]OR-Com-Existing Cust'!SV26+SUM('[2]OR-Com-Cust Growth'!SX$3:SX25)</f>
        <v>73162.969104257048</v>
      </c>
      <c r="AG24" s="9">
        <f>'[2]OR-Com-Existing Cust'!SW26+SUM('[2]OR-Com-Cust Growth'!SY$3:SY25)</f>
        <v>73162.969104257048</v>
      </c>
      <c r="AH24" s="9">
        <f>'[2]OR-Com-Existing Cust'!SX26+SUM('[2]OR-Com-Cust Growth'!SZ$3:SZ25)</f>
        <v>73162.969104257048</v>
      </c>
      <c r="AJ24">
        <v>2044</v>
      </c>
      <c r="AL24" s="9">
        <f>'[2]WA-Res-Existing Cust'!SO26+SUM('[2]WA-Res-Cust Growth'!SQ$3:SQ25)</f>
        <v>125245.92860090977</v>
      </c>
      <c r="AM24" s="9">
        <f>'[2]WA-Res-Existing Cust'!SP26+SUM('[2]WA-Res-Cust Growth'!SR$3:SR25)</f>
        <v>125245.92860090977</v>
      </c>
      <c r="AN24" s="9">
        <f>'[2]WA-Res-Existing Cust'!SQ26+SUM('[2]WA-Res-Cust Growth'!SS$3:SS25)</f>
        <v>125245.92860090977</v>
      </c>
      <c r="AO24" s="9">
        <f>'[2]WA-Res-Existing Cust'!SR26+SUM('[2]WA-Res-Cust Growth'!ST$3:ST25)</f>
        <v>125245.92860090977</v>
      </c>
      <c r="AP24" s="9">
        <f>'[2]WA-Res-Existing Cust'!SS26+SUM('[2]WA-Res-Cust Growth'!SU$3:SU25)</f>
        <v>89245.92860090977</v>
      </c>
      <c r="AQ24" s="9">
        <f>'[2]WA-Res-Existing Cust'!ST26+SUM('[2]WA-Res-Cust Growth'!SV$3:SV25)</f>
        <v>57122.815565794561</v>
      </c>
      <c r="AR24" s="9">
        <f>'[2]WA-Res-Existing Cust'!SU26+SUM('[2]WA-Res-Cust Growth'!SW$3:SW25)</f>
        <v>17384.979277028968</v>
      </c>
      <c r="AS24" s="9">
        <f>'[2]WA-Res-Existing Cust'!SV26+SUM('[2]WA-Res-Cust Growth'!SX$3:SX25)</f>
        <v>125245.92860090977</v>
      </c>
      <c r="AT24" s="9">
        <f>'[2]WA-Res-Existing Cust'!SW26+SUM('[2]WA-Res-Cust Growth'!SY$3:SY25)</f>
        <v>125245.92860090977</v>
      </c>
      <c r="AU24" s="9">
        <f>'[2]WA-Res-Existing Cust'!SX26+SUM('[2]WA-Res-Cust Growth'!SZ$3:SZ25)</f>
        <v>125245.92860090977</v>
      </c>
      <c r="AV24" s="9"/>
      <c r="AW24">
        <v>2044</v>
      </c>
      <c r="AX24" s="9">
        <f>'[2]WA-Com-Existing Cust'!SO26+SUM('[2]WA-Com-Cust Growth'!SQ$3:SQ25)</f>
        <v>11210.589916824843</v>
      </c>
      <c r="AY24" s="9">
        <f>'[2]WA-Com-Existing Cust'!SP26+SUM('[2]WA-Com-Cust Growth'!SR$3:SR25)</f>
        <v>11210.589916824843</v>
      </c>
      <c r="AZ24" s="9">
        <f>'[2]WA-Com-Existing Cust'!SQ26+SUM('[2]WA-Com-Cust Growth'!SS$3:SS25)</f>
        <v>11210.589916824843</v>
      </c>
      <c r="BA24" s="9">
        <f>'[2]WA-Com-Existing Cust'!SR26+SUM('[2]WA-Com-Cust Growth'!ST$3:ST25)</f>
        <v>11210.589916824843</v>
      </c>
      <c r="BB24" s="9">
        <f>'[2]WA-Com-Existing Cust'!SS26+SUM('[2]WA-Com-Cust Growth'!SU$3:SU25)</f>
        <v>7482.4117849618424</v>
      </c>
      <c r="BC24" s="9">
        <f>'[2]WA-Com-Existing Cust'!ST26+SUM('[2]WA-Com-Cust Growth'!SV$3:SV25)</f>
        <v>4904.5923788007212</v>
      </c>
      <c r="BD24" s="9">
        <f>'[2]WA-Com-Existing Cust'!SU26+SUM('[2]WA-Com-Cust Growth'!SW$3:SW25)</f>
        <v>1467.0104191253122</v>
      </c>
      <c r="BE24" s="9">
        <f>'[2]WA-Com-Existing Cust'!SV26+SUM('[2]WA-Com-Cust Growth'!SX$3:SX25)</f>
        <v>11210.589916824843</v>
      </c>
      <c r="BF24" s="9">
        <f>'[2]WA-Com-Existing Cust'!SW26+SUM('[2]WA-Com-Cust Growth'!SY$3:SY25)</f>
        <v>11210.589916824843</v>
      </c>
      <c r="BG24" s="9">
        <f>'[2]WA-Com-Existing Cust'!SX26+SUM('[2]WA-Com-Cust Growth'!SZ$3:SZ25)</f>
        <v>11210.589916824843</v>
      </c>
    </row>
    <row r="25" spans="2:59" x14ac:dyDescent="0.25">
      <c r="B25">
        <v>2045</v>
      </c>
      <c r="C25" s="187">
        <v>392503.14048312354</v>
      </c>
      <c r="D25" s="187">
        <v>36736.822263709844</v>
      </c>
      <c r="E25" s="187">
        <f t="shared" si="0"/>
        <v>429239.96274683339</v>
      </c>
      <c r="F25" s="187">
        <v>55466.592789575356</v>
      </c>
      <c r="G25" s="187">
        <v>4761.167198182181</v>
      </c>
      <c r="H25" s="187">
        <f t="shared" si="1"/>
        <v>60227.759987757534</v>
      </c>
      <c r="I25" s="9">
        <f t="shared" si="2"/>
        <v>1027833.4047786167</v>
      </c>
      <c r="K25">
        <v>2045</v>
      </c>
      <c r="M25" s="9">
        <f>'[2]OR-Res-Existing Cust'!SO27+SUM('[2]OR-Res-Cust Growth'!SQ$3:SQ26)</f>
        <v>815806.62736868463</v>
      </c>
      <c r="N25" s="9">
        <f>'[2]OR-Res-Existing Cust'!SP27+SUM('[2]OR-Res-Cust Growth'!SR$3:SR26)</f>
        <v>815806.62736868463</v>
      </c>
      <c r="O25" s="9">
        <f>'[2]OR-Res-Existing Cust'!SQ27+SUM('[2]OR-Res-Cust Growth'!SS$3:SS26)</f>
        <v>815806.62736868463</v>
      </c>
      <c r="P25" s="9">
        <f>'[2]OR-Res-Existing Cust'!SR27+SUM('[2]OR-Res-Cust Growth'!ST$3:ST26)</f>
        <v>815806.62736868463</v>
      </c>
      <c r="Q25" s="9">
        <f>'[2]OR-Res-Existing Cust'!SS27+SUM('[2]OR-Res-Cust Growth'!SU$3:SU26)</f>
        <v>633210.28435565846</v>
      </c>
      <c r="R25" s="9">
        <f>'[2]OR-Res-Existing Cust'!ST27+SUM('[2]OR-Res-Cust Growth'!SV$3:SV26)</f>
        <v>392503.14048312354</v>
      </c>
      <c r="S25" s="9">
        <f>'[2]OR-Res-Existing Cust'!SU27+SUM('[2]OR-Res-Cust Growth'!SW$3:SW26)</f>
        <v>83428.438780772005</v>
      </c>
      <c r="T25" s="9">
        <f>'[2]OR-Res-Existing Cust'!SV27+SUM('[2]OR-Res-Cust Growth'!SX$3:SX26)</f>
        <v>815806.62736868463</v>
      </c>
      <c r="U25" s="9">
        <f>'[2]OR-Res-Existing Cust'!SW27+SUM('[2]OR-Res-Cust Growth'!SY$3:SY26)</f>
        <v>815806.62736868463</v>
      </c>
      <c r="V25" s="9">
        <f>'[2]OR-Res-Existing Cust'!SX27+SUM('[2]OR-Res-Cust Growth'!SZ$3:SZ26)</f>
        <v>815806.62736868463</v>
      </c>
      <c r="W25" s="9"/>
      <c r="X25">
        <v>2045</v>
      </c>
      <c r="Y25" s="9">
        <f>'[2]OR-Com-Existing Cust'!SO27+SUM('[2]OR-Com-Cust Growth'!SQ$3:SQ26)</f>
        <v>73661.896172399982</v>
      </c>
      <c r="Z25" s="9">
        <f>'[2]OR-Com-Existing Cust'!SP27+SUM('[2]OR-Com-Cust Growth'!SR$3:SR26)</f>
        <v>73661.896172399982</v>
      </c>
      <c r="AA25" s="9">
        <f>'[2]OR-Com-Existing Cust'!SQ27+SUM('[2]OR-Com-Cust Growth'!SS$3:SS26)</f>
        <v>73661.896172399982</v>
      </c>
      <c r="AB25" s="9">
        <f>'[2]OR-Com-Existing Cust'!SR27+SUM('[2]OR-Com-Cust Growth'!ST$3:ST26)</f>
        <v>73661.896172399982</v>
      </c>
      <c r="AC25" s="9">
        <f>'[2]OR-Com-Existing Cust'!SS27+SUM('[2]OR-Com-Cust Growth'!SU$3:SU26)</f>
        <v>57986.170265798486</v>
      </c>
      <c r="AD25" s="9">
        <f>'[2]OR-Com-Existing Cust'!ST27+SUM('[2]OR-Com-Cust Growth'!SV$3:SV26)</f>
        <v>36736.822263709844</v>
      </c>
      <c r="AE25" s="9">
        <f>'[2]OR-Com-Existing Cust'!SU27+SUM('[2]OR-Com-Cust Growth'!SW$3:SW26)</f>
        <v>7436.3487313274527</v>
      </c>
      <c r="AF25" s="9">
        <f>'[2]OR-Com-Existing Cust'!SV27+SUM('[2]OR-Com-Cust Growth'!SX$3:SX26)</f>
        <v>73661.896172399982</v>
      </c>
      <c r="AG25" s="9">
        <f>'[2]OR-Com-Existing Cust'!SW27+SUM('[2]OR-Com-Cust Growth'!SY$3:SY26)</f>
        <v>73661.896172399982</v>
      </c>
      <c r="AH25" s="9">
        <f>'[2]OR-Com-Existing Cust'!SX27+SUM('[2]OR-Com-Cust Growth'!SZ$3:SZ26)</f>
        <v>73661.896172399982</v>
      </c>
      <c r="AJ25">
        <v>2045</v>
      </c>
      <c r="AL25" s="9">
        <f>'[2]WA-Res-Existing Cust'!SO27+SUM('[2]WA-Res-Cust Growth'!SQ$3:SQ26)</f>
        <v>126987.79213073768</v>
      </c>
      <c r="AM25" s="9">
        <f>'[2]WA-Res-Existing Cust'!SP27+SUM('[2]WA-Res-Cust Growth'!SR$3:SR26)</f>
        <v>126987.79213073768</v>
      </c>
      <c r="AN25" s="9">
        <f>'[2]WA-Res-Existing Cust'!SQ27+SUM('[2]WA-Res-Cust Growth'!SS$3:SS26)</f>
        <v>126987.79213073768</v>
      </c>
      <c r="AO25" s="9">
        <f>'[2]WA-Res-Existing Cust'!SR27+SUM('[2]WA-Res-Cust Growth'!ST$3:ST26)</f>
        <v>126987.79213073768</v>
      </c>
      <c r="AP25" s="9">
        <f>'[2]WA-Res-Existing Cust'!SS27+SUM('[2]WA-Res-Cust Growth'!SU$3:SU26)</f>
        <v>89187.792130737682</v>
      </c>
      <c r="AQ25" s="9">
        <f>'[2]WA-Res-Existing Cust'!ST27+SUM('[2]WA-Res-Cust Growth'!SV$3:SV26)</f>
        <v>55466.592789575356</v>
      </c>
      <c r="AR25" s="9">
        <f>'[2]WA-Res-Existing Cust'!SU27+SUM('[2]WA-Res-Cust Growth'!SW$3:SW26)</f>
        <v>14068.696944425465</v>
      </c>
      <c r="AS25" s="9">
        <f>'[2]WA-Res-Existing Cust'!SV27+SUM('[2]WA-Res-Cust Growth'!SX$3:SX26)</f>
        <v>126987.79213073768</v>
      </c>
      <c r="AT25" s="9">
        <f>'[2]WA-Res-Existing Cust'!SW27+SUM('[2]WA-Res-Cust Growth'!SY$3:SY26)</f>
        <v>126987.79213073768</v>
      </c>
      <c r="AU25" s="9">
        <f>'[2]WA-Res-Existing Cust'!SX27+SUM('[2]WA-Res-Cust Growth'!SZ$3:SZ26)</f>
        <v>126987.79213073768</v>
      </c>
      <c r="AV25" s="9"/>
      <c r="AW25">
        <v>2045</v>
      </c>
      <c r="AX25" s="9">
        <f>'[2]WA-Com-Existing Cust'!SO27+SUM('[2]WA-Com-Cust Growth'!SQ$3:SQ26)</f>
        <v>11377.089106794414</v>
      </c>
      <c r="AY25" s="9">
        <f>'[2]WA-Com-Existing Cust'!SP27+SUM('[2]WA-Com-Cust Growth'!SR$3:SR26)</f>
        <v>11377.089106794414</v>
      </c>
      <c r="AZ25" s="9">
        <f>'[2]WA-Com-Existing Cust'!SQ27+SUM('[2]WA-Com-Cust Growth'!SS$3:SS26)</f>
        <v>11377.089106794414</v>
      </c>
      <c r="BA25" s="9">
        <f>'[2]WA-Com-Existing Cust'!SR27+SUM('[2]WA-Com-Cust Growth'!ST$3:ST26)</f>
        <v>11377.089106794414</v>
      </c>
      <c r="BB25" s="9">
        <f>'[2]WA-Com-Existing Cust'!SS27+SUM('[2]WA-Com-Cust Growth'!SU$3:SU26)</f>
        <v>7468.3804915248866</v>
      </c>
      <c r="BC25" s="9">
        <f>'[2]WA-Com-Existing Cust'!ST27+SUM('[2]WA-Com-Cust Growth'!SV$3:SV26)</f>
        <v>4761.167198182181</v>
      </c>
      <c r="BD25" s="9">
        <f>'[2]WA-Com-Existing Cust'!SU27+SUM('[2]WA-Com-Cust Growth'!SW$3:SW26)</f>
        <v>1178.619266165038</v>
      </c>
      <c r="BE25" s="9">
        <f>'[2]WA-Com-Existing Cust'!SV27+SUM('[2]WA-Com-Cust Growth'!SX$3:SX26)</f>
        <v>11377.089106794414</v>
      </c>
      <c r="BF25" s="9">
        <f>'[2]WA-Com-Existing Cust'!SW27+SUM('[2]WA-Com-Cust Growth'!SY$3:SY26)</f>
        <v>11377.089106794414</v>
      </c>
      <c r="BG25" s="9">
        <f>'[2]WA-Com-Existing Cust'!SX27+SUM('[2]WA-Com-Cust Growth'!SZ$3:SZ26)</f>
        <v>11377.089106794414</v>
      </c>
    </row>
    <row r="26" spans="2:59" x14ac:dyDescent="0.25">
      <c r="B26">
        <v>2046</v>
      </c>
      <c r="C26" s="187">
        <v>380133.31101639383</v>
      </c>
      <c r="D26" s="187">
        <v>35563.360024594032</v>
      </c>
      <c r="E26" s="187">
        <f t="shared" si="0"/>
        <v>415696.67104098783</v>
      </c>
      <c r="F26" s="187">
        <v>53810.370013356151</v>
      </c>
      <c r="G26" s="187">
        <v>4617.7420175636398</v>
      </c>
      <c r="H26" s="187">
        <f t="shared" si="1"/>
        <v>58428.112030919787</v>
      </c>
      <c r="I26" s="9">
        <f t="shared" si="2"/>
        <v>1035734.0553945448</v>
      </c>
      <c r="K26">
        <v>2046</v>
      </c>
      <c r="M26" s="9">
        <f>'[2]OR-Res-Existing Cust'!SO28+SUM('[2]OR-Res-Cust Growth'!SQ$3:SQ27)</f>
        <v>821299.74555369909</v>
      </c>
      <c r="N26" s="9">
        <f>'[2]OR-Res-Existing Cust'!SP28+SUM('[2]OR-Res-Cust Growth'!SR$3:SR27)</f>
        <v>821299.74555369909</v>
      </c>
      <c r="O26" s="9">
        <f>'[2]OR-Res-Existing Cust'!SQ28+SUM('[2]OR-Res-Cust Growth'!SS$3:SS27)</f>
        <v>821299.74555369909</v>
      </c>
      <c r="P26" s="9">
        <f>'[2]OR-Res-Existing Cust'!SR28+SUM('[2]OR-Res-Cust Growth'!ST$3:ST27)</f>
        <v>821299.74555369909</v>
      </c>
      <c r="Q26" s="9">
        <f>'[2]OR-Res-Existing Cust'!SS28+SUM('[2]OR-Res-Cust Growth'!SU$3:SU27)</f>
        <v>632387.01972669561</v>
      </c>
      <c r="R26" s="9">
        <f>'[2]OR-Res-Existing Cust'!ST28+SUM('[2]OR-Res-Cust Growth'!SV$3:SV27)</f>
        <v>380133.31101639383</v>
      </c>
      <c r="S26" s="9">
        <f>'[2]OR-Res-Existing Cust'!SU28+SUM('[2]OR-Res-Cust Growth'!SW$3:SW27)</f>
        <v>64809.556468467927</v>
      </c>
      <c r="T26" s="9">
        <f>'[2]OR-Res-Existing Cust'!SV28+SUM('[2]OR-Res-Cust Growth'!SX$3:SX27)</f>
        <v>821299.74555369909</v>
      </c>
      <c r="U26" s="9">
        <f>'[2]OR-Res-Existing Cust'!SW28+SUM('[2]OR-Res-Cust Growth'!SY$3:SY27)</f>
        <v>821299.74555369909</v>
      </c>
      <c r="V26" s="9">
        <f>'[2]OR-Res-Existing Cust'!SX28+SUM('[2]OR-Res-Cust Growth'!SZ$3:SZ27)</f>
        <v>821299.74555369909</v>
      </c>
      <c r="W26" s="9"/>
      <c r="X26">
        <v>2046</v>
      </c>
      <c r="Y26" s="9">
        <f>'[2]OR-Com-Existing Cust'!SO28+SUM('[2]OR-Com-Cust Growth'!SQ$3:SQ27)</f>
        <v>74161.46172889584</v>
      </c>
      <c r="Z26" s="9">
        <f>'[2]OR-Com-Existing Cust'!SP28+SUM('[2]OR-Com-Cust Growth'!SR$3:SR27)</f>
        <v>74161.46172889584</v>
      </c>
      <c r="AA26" s="9">
        <f>'[2]OR-Com-Existing Cust'!SQ28+SUM('[2]OR-Com-Cust Growth'!SS$3:SS27)</f>
        <v>74161.46172889584</v>
      </c>
      <c r="AB26" s="9">
        <f>'[2]OR-Com-Existing Cust'!SR28+SUM('[2]OR-Com-Cust Growth'!ST$3:ST27)</f>
        <v>74161.46172889584</v>
      </c>
      <c r="AC26" s="9">
        <f>'[2]OR-Com-Existing Cust'!SS28+SUM('[2]OR-Com-Cust Growth'!SU$3:SU27)</f>
        <v>57848.332717822246</v>
      </c>
      <c r="AD26" s="9">
        <f>'[2]OR-Com-Existing Cust'!ST28+SUM('[2]OR-Com-Cust Growth'!SV$3:SV27)</f>
        <v>35563.360024594032</v>
      </c>
      <c r="AE26" s="9">
        <f>'[2]OR-Com-Existing Cust'!SU28+SUM('[2]OR-Com-Cust Growth'!SW$3:SW27)</f>
        <v>5662.6244555863614</v>
      </c>
      <c r="AF26" s="9">
        <f>'[2]OR-Com-Existing Cust'!SV28+SUM('[2]OR-Com-Cust Growth'!SX$3:SX27)</f>
        <v>74161.46172889584</v>
      </c>
      <c r="AG26" s="9">
        <f>'[2]OR-Com-Existing Cust'!SW28+SUM('[2]OR-Com-Cust Growth'!SY$3:SY27)</f>
        <v>74161.46172889584</v>
      </c>
      <c r="AH26" s="9">
        <f>'[2]OR-Com-Existing Cust'!SX28+SUM('[2]OR-Com-Cust Growth'!SZ$3:SZ27)</f>
        <v>74161.46172889584</v>
      </c>
      <c r="AJ26">
        <v>2046</v>
      </c>
      <c r="AL26" s="9">
        <f>'[2]WA-Res-Existing Cust'!SO28+SUM('[2]WA-Res-Cust Growth'!SQ$3:SQ27)</f>
        <v>128728.77883077625</v>
      </c>
      <c r="AM26" s="9">
        <f>'[2]WA-Res-Existing Cust'!SP28+SUM('[2]WA-Res-Cust Growth'!SR$3:SR27)</f>
        <v>128728.77883077625</v>
      </c>
      <c r="AN26" s="9">
        <f>'[2]WA-Res-Existing Cust'!SQ28+SUM('[2]WA-Res-Cust Growth'!SS$3:SS27)</f>
        <v>128728.77883077625</v>
      </c>
      <c r="AO26" s="9">
        <f>'[2]WA-Res-Existing Cust'!SR28+SUM('[2]WA-Res-Cust Growth'!ST$3:ST27)</f>
        <v>128728.77883077625</v>
      </c>
      <c r="AP26" s="9">
        <f>'[2]WA-Res-Existing Cust'!SS28+SUM('[2]WA-Res-Cust Growth'!SU$3:SU27)</f>
        <v>89128.778830776253</v>
      </c>
      <c r="AQ26" s="9">
        <f>'[2]WA-Res-Existing Cust'!ST28+SUM('[2]WA-Res-Cust Growth'!SV$3:SV27)</f>
        <v>53810.370013356151</v>
      </c>
      <c r="AR26" s="9">
        <f>'[2]WA-Res-Existing Cust'!SU28+SUM('[2]WA-Res-Cust Growth'!SW$3:SW27)</f>
        <v>11581.4851949728</v>
      </c>
      <c r="AS26" s="9">
        <f>'[2]WA-Res-Existing Cust'!SV28+SUM('[2]WA-Res-Cust Growth'!SX$3:SX27)</f>
        <v>128728.77883077625</v>
      </c>
      <c r="AT26" s="9">
        <f>'[2]WA-Res-Existing Cust'!SW28+SUM('[2]WA-Res-Cust Growth'!SY$3:SY27)</f>
        <v>128728.77883077625</v>
      </c>
      <c r="AU26" s="9">
        <f>'[2]WA-Res-Existing Cust'!SX28+SUM('[2]WA-Res-Cust Growth'!SZ$3:SZ27)</f>
        <v>128728.77883077625</v>
      </c>
      <c r="AV26" s="9"/>
      <c r="AW26">
        <v>2046</v>
      </c>
      <c r="AX26" s="9">
        <f>'[2]WA-Com-Existing Cust'!SO28+SUM('[2]WA-Com-Cust Growth'!SQ$3:SQ27)</f>
        <v>11544.069281173732</v>
      </c>
      <c r="AY26" s="9">
        <f>'[2]WA-Com-Existing Cust'!SP28+SUM('[2]WA-Com-Cust Growth'!SR$3:SR27)</f>
        <v>11544.069281173732</v>
      </c>
      <c r="AZ26" s="9">
        <f>'[2]WA-Com-Existing Cust'!SQ28+SUM('[2]WA-Com-Cust Growth'!SS$3:SS27)</f>
        <v>11544.069281173732</v>
      </c>
      <c r="BA26" s="9">
        <f>'[2]WA-Com-Existing Cust'!SR28+SUM('[2]WA-Com-Cust Growth'!ST$3:ST27)</f>
        <v>11544.069281173732</v>
      </c>
      <c r="BB26" s="9">
        <f>'[2]WA-Com-Existing Cust'!SS28+SUM('[2]WA-Com-Cust Growth'!SU$3:SU27)</f>
        <v>7454.308358063081</v>
      </c>
      <c r="BC26" s="9">
        <f>'[2]WA-Com-Existing Cust'!ST28+SUM('[2]WA-Com-Cust Growth'!SV$3:SV27)</f>
        <v>4617.7420175636398</v>
      </c>
      <c r="BD26" s="9">
        <f>'[2]WA-Com-Existing Cust'!SU28+SUM('[2]WA-Com-Cust Growth'!SW$3:SW27)</f>
        <v>962.32590144483561</v>
      </c>
      <c r="BE26" s="9">
        <f>'[2]WA-Com-Existing Cust'!SV28+SUM('[2]WA-Com-Cust Growth'!SX$3:SX27)</f>
        <v>11544.069281173732</v>
      </c>
      <c r="BF26" s="9">
        <f>'[2]WA-Com-Existing Cust'!SW28+SUM('[2]WA-Com-Cust Growth'!SY$3:SY27)</f>
        <v>11544.069281173732</v>
      </c>
      <c r="BG26" s="9">
        <f>'[2]WA-Com-Existing Cust'!SX28+SUM('[2]WA-Com-Cust Growth'!SZ$3:SZ27)</f>
        <v>11544.069281173732</v>
      </c>
    </row>
    <row r="27" spans="2:59" x14ac:dyDescent="0.25">
      <c r="B27">
        <v>2047</v>
      </c>
      <c r="C27" s="187">
        <v>367763.48154966411</v>
      </c>
      <c r="D27" s="187">
        <v>34389.897785478221</v>
      </c>
      <c r="E27" s="187">
        <f t="shared" si="0"/>
        <v>402153.37933514232</v>
      </c>
      <c r="F27" s="187">
        <v>52154.147237136945</v>
      </c>
      <c r="G27" s="187">
        <v>4474.3168369450996</v>
      </c>
      <c r="H27" s="187">
        <f t="shared" si="1"/>
        <v>56628.464074082047</v>
      </c>
      <c r="I27" s="9">
        <f t="shared" si="2"/>
        <v>1043500.9562537975</v>
      </c>
      <c r="K27">
        <v>2047</v>
      </c>
      <c r="M27" s="9">
        <f>'[2]OR-Res-Existing Cust'!SO29+SUM('[2]OR-Res-Cust Growth'!SQ$3:SQ28)</f>
        <v>826659.39299408044</v>
      </c>
      <c r="N27" s="9">
        <f>'[2]OR-Res-Existing Cust'!SP29+SUM('[2]OR-Res-Cust Growth'!SR$3:SR28)</f>
        <v>826659.39299408044</v>
      </c>
      <c r="O27" s="9">
        <f>'[2]OR-Res-Existing Cust'!SQ29+SUM('[2]OR-Res-Cust Growth'!SS$3:SS28)</f>
        <v>826659.39299408044</v>
      </c>
      <c r="P27" s="9">
        <f>'[2]OR-Res-Existing Cust'!SR29+SUM('[2]OR-Res-Cust Growth'!ST$3:ST28)</f>
        <v>826659.39299408044</v>
      </c>
      <c r="Q27" s="9">
        <f>'[2]OR-Res-Existing Cust'!SS29+SUM('[2]OR-Res-Cust Growth'!SU$3:SU28)</f>
        <v>631561.18153624306</v>
      </c>
      <c r="R27" s="9">
        <f>'[2]OR-Res-Existing Cust'!ST29+SUM('[2]OR-Res-Cust Growth'!SV$3:SV28)</f>
        <v>367763.48154966411</v>
      </c>
      <c r="S27" s="9">
        <f>'[2]OR-Res-Existing Cust'!SU29+SUM('[2]OR-Res-Cust Growth'!SW$3:SW28)</f>
        <v>64809.556468467927</v>
      </c>
      <c r="T27" s="9">
        <f>'[2]OR-Res-Existing Cust'!SV29+SUM('[2]OR-Res-Cust Growth'!SX$3:SX28)</f>
        <v>826659.39299408044</v>
      </c>
      <c r="U27" s="9">
        <f>'[2]OR-Res-Existing Cust'!SW29+SUM('[2]OR-Res-Cust Growth'!SY$3:SY28)</f>
        <v>826659.39299408044</v>
      </c>
      <c r="V27" s="9">
        <f>'[2]OR-Res-Existing Cust'!SX29+SUM('[2]OR-Res-Cust Growth'!SZ$3:SZ28)</f>
        <v>826659.39299408044</v>
      </c>
      <c r="W27" s="9"/>
      <c r="X27">
        <v>2047</v>
      </c>
      <c r="Y27" s="9">
        <f>'[2]OR-Com-Existing Cust'!SO29+SUM('[2]OR-Com-Cust Growth'!SQ$3:SQ28)</f>
        <v>74661.027285391654</v>
      </c>
      <c r="Z27" s="9">
        <f>'[2]OR-Com-Existing Cust'!SP29+SUM('[2]OR-Com-Cust Growth'!SR$3:SR28)</f>
        <v>74661.027285391654</v>
      </c>
      <c r="AA27" s="9">
        <f>'[2]OR-Com-Existing Cust'!SQ29+SUM('[2]OR-Com-Cust Growth'!SS$3:SS28)</f>
        <v>74661.027285391654</v>
      </c>
      <c r="AB27" s="9">
        <f>'[2]OR-Com-Existing Cust'!SR29+SUM('[2]OR-Com-Cust Growth'!ST$3:ST28)</f>
        <v>74661.027285391654</v>
      </c>
      <c r="AC27" s="9">
        <f>'[2]OR-Com-Existing Cust'!SS29+SUM('[2]OR-Com-Cust Growth'!SU$3:SU28)</f>
        <v>57710.49516984597</v>
      </c>
      <c r="AD27" s="9">
        <f>'[2]OR-Com-Existing Cust'!ST29+SUM('[2]OR-Com-Cust Growth'!SV$3:SV28)</f>
        <v>34389.897785478221</v>
      </c>
      <c r="AE27" s="9">
        <f>'[2]OR-Com-Existing Cust'!SU29+SUM('[2]OR-Com-Cust Growth'!SW$3:SW28)</f>
        <v>5662.6244555863614</v>
      </c>
      <c r="AF27" s="9">
        <f>'[2]OR-Com-Existing Cust'!SV29+SUM('[2]OR-Com-Cust Growth'!SX$3:SX28)</f>
        <v>74661.027285391654</v>
      </c>
      <c r="AG27" s="9">
        <f>'[2]OR-Com-Existing Cust'!SW29+SUM('[2]OR-Com-Cust Growth'!SY$3:SY28)</f>
        <v>74661.027285391654</v>
      </c>
      <c r="AH27" s="9">
        <f>'[2]OR-Com-Existing Cust'!SX29+SUM('[2]OR-Com-Cust Growth'!SZ$3:SZ28)</f>
        <v>74661.027285391654</v>
      </c>
      <c r="AJ27">
        <v>2047</v>
      </c>
      <c r="AL27" s="9">
        <f>'[2]WA-Res-Existing Cust'!SO29+SUM('[2]WA-Res-Cust Growth'!SQ$3:SQ28)</f>
        <v>130468.87679407564</v>
      </c>
      <c r="AM27" s="9">
        <f>'[2]WA-Res-Existing Cust'!SP29+SUM('[2]WA-Res-Cust Growth'!SR$3:SR28)</f>
        <v>130468.87679407564</v>
      </c>
      <c r="AN27" s="9">
        <f>'[2]WA-Res-Existing Cust'!SQ29+SUM('[2]WA-Res-Cust Growth'!SS$3:SS28)</f>
        <v>130468.87679407564</v>
      </c>
      <c r="AO27" s="9">
        <f>'[2]WA-Res-Existing Cust'!SR29+SUM('[2]WA-Res-Cust Growth'!ST$3:ST28)</f>
        <v>130468.87679407564</v>
      </c>
      <c r="AP27" s="9">
        <f>'[2]WA-Res-Existing Cust'!SS29+SUM('[2]WA-Res-Cust Growth'!SU$3:SU28)</f>
        <v>89068.876794075637</v>
      </c>
      <c r="AQ27" s="9">
        <f>'[2]WA-Res-Existing Cust'!ST29+SUM('[2]WA-Res-Cust Growth'!SV$3:SV28)</f>
        <v>52154.147237136945</v>
      </c>
      <c r="AR27" s="9">
        <f>'[2]WA-Res-Existing Cust'!SU29+SUM('[2]WA-Res-Cust Growth'!SW$3:SW28)</f>
        <v>11581.4851949728</v>
      </c>
      <c r="AS27" s="9">
        <f>'[2]WA-Res-Existing Cust'!SV29+SUM('[2]WA-Res-Cust Growth'!SX$3:SX28)</f>
        <v>130468.87679407564</v>
      </c>
      <c r="AT27" s="9">
        <f>'[2]WA-Res-Existing Cust'!SW29+SUM('[2]WA-Res-Cust Growth'!SY$3:SY28)</f>
        <v>130468.87679407564</v>
      </c>
      <c r="AU27" s="9">
        <f>'[2]WA-Res-Existing Cust'!SX29+SUM('[2]WA-Res-Cust Growth'!SZ$3:SZ28)</f>
        <v>130468.87679407564</v>
      </c>
      <c r="AV27" s="9"/>
      <c r="AW27">
        <v>2047</v>
      </c>
      <c r="AX27" s="9">
        <f>'[2]WA-Com-Existing Cust'!SO29+SUM('[2]WA-Com-Cust Growth'!SQ$3:SQ28)</f>
        <v>11711.659180249841</v>
      </c>
      <c r="AY27" s="9">
        <f>'[2]WA-Com-Existing Cust'!SP29+SUM('[2]WA-Com-Cust Growth'!SR$3:SR28)</f>
        <v>11711.659180249841</v>
      </c>
      <c r="AZ27" s="9">
        <f>'[2]WA-Com-Existing Cust'!SQ29+SUM('[2]WA-Com-Cust Growth'!SS$3:SS28)</f>
        <v>11711.659180249841</v>
      </c>
      <c r="BA27" s="9">
        <f>'[2]WA-Com-Existing Cust'!SR29+SUM('[2]WA-Com-Cust Growth'!ST$3:ST28)</f>
        <v>11711.659180249841</v>
      </c>
      <c r="BB27" s="9">
        <f>'[2]WA-Com-Existing Cust'!SS29+SUM('[2]WA-Com-Cust Growth'!SU$3:SU28)</f>
        <v>7440.1845331816412</v>
      </c>
      <c r="BC27" s="9">
        <f>'[2]WA-Com-Existing Cust'!ST29+SUM('[2]WA-Com-Cust Growth'!SV$3:SV28)</f>
        <v>4474.3168369450996</v>
      </c>
      <c r="BD27" s="9">
        <f>'[2]WA-Com-Existing Cust'!SU29+SUM('[2]WA-Com-Cust Growth'!SW$3:SW28)</f>
        <v>962.32590144483561</v>
      </c>
      <c r="BE27" s="9">
        <f>'[2]WA-Com-Existing Cust'!SV29+SUM('[2]WA-Com-Cust Growth'!SX$3:SX28)</f>
        <v>11711.659180249841</v>
      </c>
      <c r="BF27" s="9">
        <f>'[2]WA-Com-Existing Cust'!SW29+SUM('[2]WA-Com-Cust Growth'!SY$3:SY28)</f>
        <v>11711.659180249841</v>
      </c>
      <c r="BG27" s="9">
        <f>'[2]WA-Com-Existing Cust'!SX29+SUM('[2]WA-Com-Cust Growth'!SZ$3:SZ28)</f>
        <v>11711.659180249841</v>
      </c>
    </row>
    <row r="28" spans="2:59" x14ac:dyDescent="0.25">
      <c r="B28">
        <v>2048</v>
      </c>
      <c r="C28" s="187">
        <v>355393.65208293439</v>
      </c>
      <c r="D28" s="187">
        <v>33216.435546362409</v>
      </c>
      <c r="E28" s="187">
        <f t="shared" si="0"/>
        <v>388610.08762929682</v>
      </c>
      <c r="F28" s="187">
        <v>50497.92446091774</v>
      </c>
      <c r="G28" s="187">
        <v>4330.8916563265593</v>
      </c>
      <c r="H28" s="187">
        <f t="shared" si="1"/>
        <v>54828.8161172443</v>
      </c>
      <c r="I28" s="9">
        <f t="shared" si="2"/>
        <v>1051134.4329828476</v>
      </c>
      <c r="K28">
        <v>2048</v>
      </c>
      <c r="M28" s="9">
        <f>'[2]OR-Res-Existing Cust'!SO30+SUM('[2]OR-Res-Cust Growth'!SQ$3:SQ29)</f>
        <v>831885.35502739507</v>
      </c>
      <c r="N28" s="9">
        <f>'[2]OR-Res-Existing Cust'!SP30+SUM('[2]OR-Res-Cust Growth'!SR$3:SR29)</f>
        <v>831885.35502739507</v>
      </c>
      <c r="O28" s="9">
        <f>'[2]OR-Res-Existing Cust'!SQ30+SUM('[2]OR-Res-Cust Growth'!SS$3:SS29)</f>
        <v>831885.35502739507</v>
      </c>
      <c r="P28" s="9">
        <f>'[2]OR-Res-Existing Cust'!SR30+SUM('[2]OR-Res-Cust Growth'!ST$3:ST29)</f>
        <v>831885.35502739507</v>
      </c>
      <c r="Q28" s="9">
        <f>'[2]OR-Res-Existing Cust'!SS30+SUM('[2]OR-Res-Cust Growth'!SU$3:SU29)</f>
        <v>630732.80972533615</v>
      </c>
      <c r="R28" s="9">
        <f>'[2]OR-Res-Existing Cust'!ST30+SUM('[2]OR-Res-Cust Growth'!SV$3:SV29)</f>
        <v>355393.65208293439</v>
      </c>
      <c r="S28" s="9">
        <f>'[2]OR-Res-Existing Cust'!SU30+SUM('[2]OR-Res-Cust Growth'!SW$3:SW29)</f>
        <v>64809.556468467927</v>
      </c>
      <c r="T28" s="9">
        <f>'[2]OR-Res-Existing Cust'!SV30+SUM('[2]OR-Res-Cust Growth'!SX$3:SX29)</f>
        <v>831885.35502739507</v>
      </c>
      <c r="U28" s="9">
        <f>'[2]OR-Res-Existing Cust'!SW30+SUM('[2]OR-Res-Cust Growth'!SY$3:SY29)</f>
        <v>831885.35502739507</v>
      </c>
      <c r="V28" s="9">
        <f>'[2]OR-Res-Existing Cust'!SX30+SUM('[2]OR-Res-Cust Growth'!SZ$3:SZ29)</f>
        <v>831885.35502739507</v>
      </c>
      <c r="W28" s="9"/>
      <c r="X28">
        <v>2048</v>
      </c>
      <c r="Y28" s="9">
        <f>'[2]OR-Com-Existing Cust'!SO30+SUM('[2]OR-Com-Cust Growth'!SQ$3:SQ29)</f>
        <v>75161.231330240422</v>
      </c>
      <c r="Z28" s="9">
        <f>'[2]OR-Com-Existing Cust'!SP30+SUM('[2]OR-Com-Cust Growth'!SR$3:SR29)</f>
        <v>75161.231330240422</v>
      </c>
      <c r="AA28" s="9">
        <f>'[2]OR-Com-Existing Cust'!SQ30+SUM('[2]OR-Com-Cust Growth'!SS$3:SS29)</f>
        <v>75161.231330240422</v>
      </c>
      <c r="AB28" s="9">
        <f>'[2]OR-Com-Existing Cust'!SR30+SUM('[2]OR-Com-Cust Growth'!ST$3:ST29)</f>
        <v>75161.231330240422</v>
      </c>
      <c r="AC28" s="9">
        <f>'[2]OR-Com-Existing Cust'!SS30+SUM('[2]OR-Com-Cust Growth'!SU$3:SU29)</f>
        <v>57572.481453461296</v>
      </c>
      <c r="AD28" s="9">
        <f>'[2]OR-Com-Existing Cust'!ST30+SUM('[2]OR-Com-Cust Growth'!SV$3:SV29)</f>
        <v>33216.435546362409</v>
      </c>
      <c r="AE28" s="9">
        <f>'[2]OR-Com-Existing Cust'!SU30+SUM('[2]OR-Com-Cust Growth'!SW$3:SW29)</f>
        <v>5662.6244555863614</v>
      </c>
      <c r="AF28" s="9">
        <f>'[2]OR-Com-Existing Cust'!SV30+SUM('[2]OR-Com-Cust Growth'!SX$3:SX29)</f>
        <v>75161.231330240422</v>
      </c>
      <c r="AG28" s="9">
        <f>'[2]OR-Com-Existing Cust'!SW30+SUM('[2]OR-Com-Cust Growth'!SY$3:SY29)</f>
        <v>75161.231330240422</v>
      </c>
      <c r="AH28" s="9">
        <f>'[2]OR-Com-Existing Cust'!SX30+SUM('[2]OR-Com-Cust Growth'!SZ$3:SZ29)</f>
        <v>75161.231330240422</v>
      </c>
      <c r="AJ28">
        <v>2048</v>
      </c>
      <c r="AL28" s="9">
        <f>'[2]WA-Res-Existing Cust'!SO30+SUM('[2]WA-Res-Cust Growth'!SQ$3:SQ29)</f>
        <v>132208.10950408014</v>
      </c>
      <c r="AM28" s="9">
        <f>'[2]WA-Res-Existing Cust'!SP30+SUM('[2]WA-Res-Cust Growth'!SR$3:SR29)</f>
        <v>132208.10950408014</v>
      </c>
      <c r="AN28" s="9">
        <f>'[2]WA-Res-Existing Cust'!SQ30+SUM('[2]WA-Res-Cust Growth'!SS$3:SS29)</f>
        <v>132208.10950408014</v>
      </c>
      <c r="AO28" s="9">
        <f>'[2]WA-Res-Existing Cust'!SR30+SUM('[2]WA-Res-Cust Growth'!ST$3:ST29)</f>
        <v>132208.10950408014</v>
      </c>
      <c r="AP28" s="9">
        <f>'[2]WA-Res-Existing Cust'!SS30+SUM('[2]WA-Res-Cust Growth'!SU$3:SU29)</f>
        <v>89008.109504080159</v>
      </c>
      <c r="AQ28" s="9">
        <f>'[2]WA-Res-Existing Cust'!ST30+SUM('[2]WA-Res-Cust Growth'!SV$3:SV29)</f>
        <v>50497.92446091774</v>
      </c>
      <c r="AR28" s="9">
        <f>'[2]WA-Res-Existing Cust'!SU30+SUM('[2]WA-Res-Cust Growth'!SW$3:SW29)</f>
        <v>11581.4851949728</v>
      </c>
      <c r="AS28" s="9">
        <f>'[2]WA-Res-Existing Cust'!SV30+SUM('[2]WA-Res-Cust Growth'!SX$3:SX29)</f>
        <v>132208.10950408014</v>
      </c>
      <c r="AT28" s="9">
        <f>'[2]WA-Res-Existing Cust'!SW30+SUM('[2]WA-Res-Cust Growth'!SY$3:SY29)</f>
        <v>132208.10950408014</v>
      </c>
      <c r="AU28" s="9">
        <f>'[2]WA-Res-Existing Cust'!SX30+SUM('[2]WA-Res-Cust Growth'!SZ$3:SZ29)</f>
        <v>132208.10950408014</v>
      </c>
      <c r="AV28" s="9"/>
      <c r="AW28">
        <v>2048</v>
      </c>
      <c r="AX28" s="9">
        <f>'[2]WA-Com-Existing Cust'!SO30+SUM('[2]WA-Com-Cust Growth'!SQ$3:SQ29)</f>
        <v>11879.737121132002</v>
      </c>
      <c r="AY28" s="9">
        <f>'[2]WA-Com-Existing Cust'!SP30+SUM('[2]WA-Com-Cust Growth'!SR$3:SR29)</f>
        <v>11879.737121132002</v>
      </c>
      <c r="AZ28" s="9">
        <f>'[2]WA-Com-Existing Cust'!SQ30+SUM('[2]WA-Com-Cust Growth'!SS$3:SS29)</f>
        <v>11879.737121132002</v>
      </c>
      <c r="BA28" s="9">
        <f>'[2]WA-Com-Existing Cust'!SR30+SUM('[2]WA-Com-Cust Growth'!ST$3:ST29)</f>
        <v>11879.737121132002</v>
      </c>
      <c r="BB28" s="9">
        <f>'[2]WA-Com-Existing Cust'!SS30+SUM('[2]WA-Com-Cust Growth'!SU$3:SU29)</f>
        <v>7426.0192699613408</v>
      </c>
      <c r="BC28" s="9">
        <f>'[2]WA-Com-Existing Cust'!ST30+SUM('[2]WA-Com-Cust Growth'!SV$3:SV29)</f>
        <v>4330.8916563265593</v>
      </c>
      <c r="BD28" s="9">
        <f>'[2]WA-Com-Existing Cust'!SU30+SUM('[2]WA-Com-Cust Growth'!SW$3:SW29)</f>
        <v>962.32590144483561</v>
      </c>
      <c r="BE28" s="9">
        <f>'[2]WA-Com-Existing Cust'!SV30+SUM('[2]WA-Com-Cust Growth'!SX$3:SX29)</f>
        <v>11879.737121132002</v>
      </c>
      <c r="BF28" s="9">
        <f>'[2]WA-Com-Existing Cust'!SW30+SUM('[2]WA-Com-Cust Growth'!SY$3:SY29)</f>
        <v>11879.737121132002</v>
      </c>
      <c r="BG28" s="9">
        <f>'[2]WA-Com-Existing Cust'!SX30+SUM('[2]WA-Com-Cust Growth'!SZ$3:SZ29)</f>
        <v>11879.737121132002</v>
      </c>
    </row>
    <row r="29" spans="2:59" x14ac:dyDescent="0.25">
      <c r="B29">
        <v>2049</v>
      </c>
      <c r="C29" s="187">
        <v>343023.82261620468</v>
      </c>
      <c r="D29" s="187">
        <v>32042.973307246597</v>
      </c>
      <c r="E29" s="187">
        <f t="shared" si="0"/>
        <v>375066.79592345125</v>
      </c>
      <c r="F29" s="187">
        <v>48841.701684698535</v>
      </c>
      <c r="G29" s="187">
        <v>4187.4664757080182</v>
      </c>
      <c r="H29" s="187">
        <f t="shared" si="1"/>
        <v>53029.168160406552</v>
      </c>
      <c r="I29" s="9">
        <f t="shared" si="2"/>
        <v>1058634.1371535107</v>
      </c>
      <c r="K29">
        <v>2049</v>
      </c>
      <c r="M29" s="9">
        <f>'[2]OR-Res-Existing Cust'!SO31+SUM('[2]OR-Res-Cust Growth'!SQ$3:SQ30)</f>
        <v>836978.99646084977</v>
      </c>
      <c r="N29" s="9">
        <f>'[2]OR-Res-Existing Cust'!SP31+SUM('[2]OR-Res-Cust Growth'!SR$3:SR30)</f>
        <v>836978.99646084977</v>
      </c>
      <c r="O29" s="9">
        <f>'[2]OR-Res-Existing Cust'!SQ31+SUM('[2]OR-Res-Cust Growth'!SS$3:SS30)</f>
        <v>836978.99646084977</v>
      </c>
      <c r="P29" s="9">
        <f>'[2]OR-Res-Existing Cust'!SR31+SUM('[2]OR-Res-Cust Growth'!ST$3:ST30)</f>
        <v>836978.99646084977</v>
      </c>
      <c r="Q29" s="9">
        <f>'[2]OR-Res-Existing Cust'!SS31+SUM('[2]OR-Res-Cust Growth'!SU$3:SU30)</f>
        <v>629901.68887171999</v>
      </c>
      <c r="R29" s="9">
        <f>'[2]OR-Res-Existing Cust'!ST31+SUM('[2]OR-Res-Cust Growth'!SV$3:SV30)</f>
        <v>343023.82261620468</v>
      </c>
      <c r="S29" s="9">
        <f>'[2]OR-Res-Existing Cust'!SU31+SUM('[2]OR-Res-Cust Growth'!SW$3:SW30)</f>
        <v>64809.556468467927</v>
      </c>
      <c r="T29" s="9">
        <f>'[2]OR-Res-Existing Cust'!SV31+SUM('[2]OR-Res-Cust Growth'!SX$3:SX30)</f>
        <v>836978.99646084977</v>
      </c>
      <c r="U29" s="9">
        <f>'[2]OR-Res-Existing Cust'!SW31+SUM('[2]OR-Res-Cust Growth'!SY$3:SY30)</f>
        <v>836978.99646084977</v>
      </c>
      <c r="V29" s="9">
        <f>'[2]OR-Res-Existing Cust'!SX31+SUM('[2]OR-Res-Cust Growth'!SZ$3:SZ30)</f>
        <v>836978.99646084977</v>
      </c>
      <c r="W29" s="9"/>
      <c r="X29">
        <v>2049</v>
      </c>
      <c r="Y29" s="9">
        <f>'[2]OR-Com-Existing Cust'!SO31+SUM('[2]OR-Com-Cust Growth'!SQ$3:SQ30)</f>
        <v>75660.158398383239</v>
      </c>
      <c r="Z29" s="9">
        <f>'[2]OR-Com-Existing Cust'!SP31+SUM('[2]OR-Com-Cust Growth'!SR$3:SR30)</f>
        <v>75660.158398383239</v>
      </c>
      <c r="AA29" s="9">
        <f>'[2]OR-Com-Existing Cust'!SQ31+SUM('[2]OR-Com-Cust Growth'!SS$3:SS30)</f>
        <v>75660.158398383239</v>
      </c>
      <c r="AB29" s="9">
        <f>'[2]OR-Com-Existing Cust'!SR31+SUM('[2]OR-Com-Cust Growth'!ST$3:ST30)</f>
        <v>75660.158398383239</v>
      </c>
      <c r="AC29" s="9">
        <f>'[2]OR-Com-Existing Cust'!SS31+SUM('[2]OR-Com-Cust Growth'!SU$3:SU30)</f>
        <v>57434.820073893439</v>
      </c>
      <c r="AD29" s="9">
        <f>'[2]OR-Com-Existing Cust'!ST31+SUM('[2]OR-Com-Cust Growth'!SV$3:SV30)</f>
        <v>32042.973307246597</v>
      </c>
      <c r="AE29" s="9">
        <f>'[2]OR-Com-Existing Cust'!SU31+SUM('[2]OR-Com-Cust Growth'!SW$3:SW30)</f>
        <v>5662.6244555863614</v>
      </c>
      <c r="AF29" s="9">
        <f>'[2]OR-Com-Existing Cust'!SV31+SUM('[2]OR-Com-Cust Growth'!SX$3:SX30)</f>
        <v>75660.158398383239</v>
      </c>
      <c r="AG29" s="9">
        <f>'[2]OR-Com-Existing Cust'!SW31+SUM('[2]OR-Com-Cust Growth'!SY$3:SY30)</f>
        <v>75660.158398383239</v>
      </c>
      <c r="AH29" s="9">
        <f>'[2]OR-Com-Existing Cust'!SX31+SUM('[2]OR-Com-Cust Growth'!SZ$3:SZ30)</f>
        <v>75660.158398383239</v>
      </c>
      <c r="AJ29">
        <v>2049</v>
      </c>
      <c r="AL29" s="9">
        <f>'[2]WA-Res-Existing Cust'!SO31+SUM('[2]WA-Res-Cust Growth'!SQ$3:SQ30)</f>
        <v>133946.29627760703</v>
      </c>
      <c r="AM29" s="9">
        <f>'[2]WA-Res-Existing Cust'!SP31+SUM('[2]WA-Res-Cust Growth'!SR$3:SR30)</f>
        <v>133946.29627760703</v>
      </c>
      <c r="AN29" s="9">
        <f>'[2]WA-Res-Existing Cust'!SQ31+SUM('[2]WA-Res-Cust Growth'!SS$3:SS30)</f>
        <v>133946.29627760703</v>
      </c>
      <c r="AO29" s="9">
        <f>'[2]WA-Res-Existing Cust'!SR31+SUM('[2]WA-Res-Cust Growth'!ST$3:ST30)</f>
        <v>133946.29627760703</v>
      </c>
      <c r="AP29" s="9">
        <f>'[2]WA-Res-Existing Cust'!SS31+SUM('[2]WA-Res-Cust Growth'!SU$3:SU30)</f>
        <v>88946.296277607049</v>
      </c>
      <c r="AQ29" s="9">
        <f>'[2]WA-Res-Existing Cust'!ST31+SUM('[2]WA-Res-Cust Growth'!SV$3:SV30)</f>
        <v>48841.701684698535</v>
      </c>
      <c r="AR29" s="9">
        <f>'[2]WA-Res-Existing Cust'!SU31+SUM('[2]WA-Res-Cust Growth'!SW$3:SW30)</f>
        <v>11581.4851949728</v>
      </c>
      <c r="AS29" s="9">
        <f>'[2]WA-Res-Existing Cust'!SV31+SUM('[2]WA-Res-Cust Growth'!SX$3:SX30)</f>
        <v>133946.29627760703</v>
      </c>
      <c r="AT29" s="9">
        <f>'[2]WA-Res-Existing Cust'!SW31+SUM('[2]WA-Res-Cust Growth'!SY$3:SY30)</f>
        <v>133946.29627760703</v>
      </c>
      <c r="AU29" s="9">
        <f>'[2]WA-Res-Existing Cust'!SX31+SUM('[2]WA-Res-Cust Growth'!SZ$3:SZ30)</f>
        <v>133946.29627760703</v>
      </c>
      <c r="AV29" s="9"/>
      <c r="AW29">
        <v>2049</v>
      </c>
      <c r="AX29" s="9">
        <f>'[2]WA-Com-Existing Cust'!SO31+SUM('[2]WA-Com-Cust Growth'!SQ$3:SQ30)</f>
        <v>12048.686016670676</v>
      </c>
      <c r="AY29" s="9">
        <f>'[2]WA-Com-Existing Cust'!SP31+SUM('[2]WA-Com-Cust Growth'!SR$3:SR30)</f>
        <v>12048.686016670676</v>
      </c>
      <c r="AZ29" s="9">
        <f>'[2]WA-Com-Existing Cust'!SQ31+SUM('[2]WA-Com-Cust Growth'!SS$3:SS30)</f>
        <v>12048.686016670676</v>
      </c>
      <c r="BA29" s="9">
        <f>'[2]WA-Com-Existing Cust'!SR31+SUM('[2]WA-Com-Cust Growth'!ST$3:ST30)</f>
        <v>12048.686016670676</v>
      </c>
      <c r="BB29" s="9">
        <f>'[2]WA-Com-Existing Cust'!SS31+SUM('[2]WA-Com-Cust Growth'!SU$3:SU30)</f>
        <v>7411.7802946653374</v>
      </c>
      <c r="BC29" s="9">
        <f>'[2]WA-Com-Existing Cust'!ST31+SUM('[2]WA-Com-Cust Growth'!SV$3:SV30)</f>
        <v>4187.4664757080182</v>
      </c>
      <c r="BD29" s="9">
        <f>'[2]WA-Com-Existing Cust'!SU31+SUM('[2]WA-Com-Cust Growth'!SW$3:SW30)</f>
        <v>962.32590144483561</v>
      </c>
      <c r="BE29" s="9">
        <f>'[2]WA-Com-Existing Cust'!SV31+SUM('[2]WA-Com-Cust Growth'!SX$3:SX30)</f>
        <v>12048.686016670676</v>
      </c>
      <c r="BF29" s="9">
        <f>'[2]WA-Com-Existing Cust'!SW31+SUM('[2]WA-Com-Cust Growth'!SY$3:SY30)</f>
        <v>12048.686016670676</v>
      </c>
      <c r="BG29" s="9">
        <f>'[2]WA-Com-Existing Cust'!SX31+SUM('[2]WA-Com-Cust Growth'!SZ$3:SZ30)</f>
        <v>12048.686016670676</v>
      </c>
    </row>
    <row r="30" spans="2:59" x14ac:dyDescent="0.25">
      <c r="B30">
        <v>2050</v>
      </c>
      <c r="C30" s="187">
        <v>330653.99314947496</v>
      </c>
      <c r="D30" s="187">
        <v>30869.511068130785</v>
      </c>
      <c r="E30" s="187">
        <f t="shared" si="0"/>
        <v>361523.50421760575</v>
      </c>
      <c r="F30" s="187">
        <v>47185.47890847933</v>
      </c>
      <c r="G30" s="187">
        <v>4044.0412950894774</v>
      </c>
      <c r="H30" s="187">
        <f t="shared" si="1"/>
        <v>51229.520203568805</v>
      </c>
      <c r="I30" s="9">
        <f t="shared" si="2"/>
        <v>1066000.7623186475</v>
      </c>
      <c r="K30">
        <v>2050</v>
      </c>
      <c r="M30" s="9">
        <f>'[2]OR-Res-Existing Cust'!SO32+SUM('[2]OR-Res-Cust Growth'!SQ$3:SQ31)</f>
        <v>841939.3161946421</v>
      </c>
      <c r="N30" s="9">
        <f>'[2]OR-Res-Existing Cust'!SP32+SUM('[2]OR-Res-Cust Growth'!SR$3:SR31)</f>
        <v>841939.3161946421</v>
      </c>
      <c r="O30" s="9">
        <f>'[2]OR-Res-Existing Cust'!SQ32+SUM('[2]OR-Res-Cust Growth'!SS$3:SS31)</f>
        <v>841939.3161946421</v>
      </c>
      <c r="P30" s="9">
        <f>'[2]OR-Res-Existing Cust'!SR32+SUM('[2]OR-Res-Cust Growth'!ST$3:ST31)</f>
        <v>841939.3161946421</v>
      </c>
      <c r="Q30" s="9">
        <f>'[2]OR-Res-Existing Cust'!SS32+SUM('[2]OR-Res-Cust Growth'!SU$3:SU31)</f>
        <v>629067.98616074945</v>
      </c>
      <c r="R30" s="9">
        <f>'[2]OR-Res-Existing Cust'!ST32+SUM('[2]OR-Res-Cust Growth'!SV$3:SV31)</f>
        <v>330653.99314947496</v>
      </c>
      <c r="S30" s="9">
        <f>'[2]OR-Res-Existing Cust'!SU32+SUM('[2]OR-Res-Cust Growth'!SW$3:SW31)</f>
        <v>64809.556468467927</v>
      </c>
      <c r="T30" s="9">
        <f>'[2]OR-Res-Existing Cust'!SV32+SUM('[2]OR-Res-Cust Growth'!SX$3:SX31)</f>
        <v>841939.3161946421</v>
      </c>
      <c r="U30" s="9">
        <f>'[2]OR-Res-Existing Cust'!SW32+SUM('[2]OR-Res-Cust Growth'!SY$3:SY31)</f>
        <v>841939.3161946421</v>
      </c>
      <c r="V30" s="9">
        <f>'[2]OR-Res-Existing Cust'!SX32+SUM('[2]OR-Res-Cust Growth'!SZ$3:SZ31)</f>
        <v>841939.3161946421</v>
      </c>
      <c r="W30" s="9"/>
      <c r="X30">
        <v>2050</v>
      </c>
      <c r="Y30" s="9">
        <f>'[2]OR-Com-Existing Cust'!SO32+SUM('[2]OR-Com-Cust Growth'!SQ$3:SQ31)</f>
        <v>76159.723954879039</v>
      </c>
      <c r="Z30" s="9">
        <f>'[2]OR-Com-Existing Cust'!SP32+SUM('[2]OR-Com-Cust Growth'!SR$3:SR31)</f>
        <v>76159.723954879039</v>
      </c>
      <c r="AA30" s="9">
        <f>'[2]OR-Com-Existing Cust'!SQ32+SUM('[2]OR-Com-Cust Growth'!SS$3:SS31)</f>
        <v>76159.723954879039</v>
      </c>
      <c r="AB30" s="9">
        <f>'[2]OR-Com-Existing Cust'!SR32+SUM('[2]OR-Com-Cust Growth'!ST$3:ST31)</f>
        <v>76159.723954879039</v>
      </c>
      <c r="AC30" s="9">
        <f>'[2]OR-Com-Existing Cust'!SS32+SUM('[2]OR-Com-Cust Growth'!SU$3:SU31)</f>
        <v>57296.982525917185</v>
      </c>
      <c r="AD30" s="9">
        <f>'[2]OR-Com-Existing Cust'!ST32+SUM('[2]OR-Com-Cust Growth'!SV$3:SV31)</f>
        <v>30869.511068130785</v>
      </c>
      <c r="AE30" s="9">
        <f>'[2]OR-Com-Existing Cust'!SU32+SUM('[2]OR-Com-Cust Growth'!SW$3:SW31)</f>
        <v>5662.6244555863614</v>
      </c>
      <c r="AF30" s="9">
        <f>'[2]OR-Com-Existing Cust'!SV32+SUM('[2]OR-Com-Cust Growth'!SX$3:SX31)</f>
        <v>76159.723954879039</v>
      </c>
      <c r="AG30" s="9">
        <f>'[2]OR-Com-Existing Cust'!SW32+SUM('[2]OR-Com-Cust Growth'!SY$3:SY31)</f>
        <v>76159.723954879039</v>
      </c>
      <c r="AH30" s="9">
        <f>'[2]OR-Com-Existing Cust'!SX32+SUM('[2]OR-Com-Cust Growth'!SZ$3:SZ31)</f>
        <v>76159.723954879039</v>
      </c>
      <c r="AJ30">
        <v>2050</v>
      </c>
      <c r="AL30" s="9">
        <f>'[2]WA-Res-Existing Cust'!SO32+SUM('[2]WA-Res-Cust Growth'!SQ$3:SQ31)</f>
        <v>135683.59020130089</v>
      </c>
      <c r="AM30" s="9">
        <f>'[2]WA-Res-Existing Cust'!SP32+SUM('[2]WA-Res-Cust Growth'!SR$3:SR31)</f>
        <v>135683.59020130089</v>
      </c>
      <c r="AN30" s="9">
        <f>'[2]WA-Res-Existing Cust'!SQ32+SUM('[2]WA-Res-Cust Growth'!SS$3:SS31)</f>
        <v>135683.59020130089</v>
      </c>
      <c r="AO30" s="9">
        <f>'[2]WA-Res-Existing Cust'!SR32+SUM('[2]WA-Res-Cust Growth'!ST$3:ST31)</f>
        <v>135683.59020130089</v>
      </c>
      <c r="AP30" s="9">
        <f>'[2]WA-Res-Existing Cust'!SS32+SUM('[2]WA-Res-Cust Growth'!SU$3:SU31)</f>
        <v>88883.590201300889</v>
      </c>
      <c r="AQ30" s="9">
        <f>'[2]WA-Res-Existing Cust'!ST32+SUM('[2]WA-Res-Cust Growth'!SV$3:SV31)</f>
        <v>47185.47890847933</v>
      </c>
      <c r="AR30" s="9">
        <f>'[2]WA-Res-Existing Cust'!SU32+SUM('[2]WA-Res-Cust Growth'!SW$3:SW31)</f>
        <v>11581.4851949728</v>
      </c>
      <c r="AS30" s="9">
        <f>'[2]WA-Res-Existing Cust'!SV32+SUM('[2]WA-Res-Cust Growth'!SX$3:SX31)</f>
        <v>135683.59020130089</v>
      </c>
      <c r="AT30" s="9">
        <f>'[2]WA-Res-Existing Cust'!SW32+SUM('[2]WA-Res-Cust Growth'!SY$3:SY31)</f>
        <v>135683.59020130089</v>
      </c>
      <c r="AU30" s="9">
        <f>'[2]WA-Res-Existing Cust'!SX32+SUM('[2]WA-Res-Cust Growth'!SZ$3:SZ31)</f>
        <v>135683.59020130089</v>
      </c>
      <c r="AV30" s="9"/>
      <c r="AW30">
        <v>2050</v>
      </c>
      <c r="AX30" s="9">
        <f>'[2]WA-Com-Existing Cust'!SO32+SUM('[2]WA-Com-Cust Growth'!SQ$3:SQ31)</f>
        <v>12218.13196782564</v>
      </c>
      <c r="AY30" s="9">
        <f>'[2]WA-Com-Existing Cust'!SP32+SUM('[2]WA-Com-Cust Growth'!SR$3:SR31)</f>
        <v>12218.13196782564</v>
      </c>
      <c r="AZ30" s="9">
        <f>'[2]WA-Com-Existing Cust'!SQ32+SUM('[2]WA-Com-Cust Growth'!SS$3:SS31)</f>
        <v>12218.13196782564</v>
      </c>
      <c r="BA30" s="9">
        <f>'[2]WA-Com-Existing Cust'!SR32+SUM('[2]WA-Com-Cust Growth'!ST$3:ST31)</f>
        <v>12218.13196782564</v>
      </c>
      <c r="BB30" s="9">
        <f>'[2]WA-Com-Existing Cust'!SS32+SUM('[2]WA-Com-Cust Growth'!SU$3:SU31)</f>
        <v>7397.4991168550232</v>
      </c>
      <c r="BC30" s="9">
        <f>'[2]WA-Com-Existing Cust'!ST32+SUM('[2]WA-Com-Cust Growth'!SV$3:SV31)</f>
        <v>4044.0412950894774</v>
      </c>
      <c r="BD30" s="9">
        <f>'[2]WA-Com-Existing Cust'!SU32+SUM('[2]WA-Com-Cust Growth'!SW$3:SW31)</f>
        <v>962.32590144483561</v>
      </c>
      <c r="BE30" s="9">
        <f>'[2]WA-Com-Existing Cust'!SV32+SUM('[2]WA-Com-Cust Growth'!SX$3:SX31)</f>
        <v>12218.13196782564</v>
      </c>
      <c r="BF30" s="9">
        <f>'[2]WA-Com-Existing Cust'!SW32+SUM('[2]WA-Com-Cust Growth'!SY$3:SY31)</f>
        <v>12218.13196782564</v>
      </c>
      <c r="BG30" s="9">
        <f>'[2]WA-Com-Existing Cust'!SX32+SUM('[2]WA-Com-Cust Growth'!SZ$3:SZ31)</f>
        <v>12218.13196782564</v>
      </c>
    </row>
    <row r="31" spans="2:59" x14ac:dyDescent="0.25">
      <c r="N31" s="9"/>
      <c r="AM31" s="9"/>
    </row>
    <row r="32" spans="2:59" x14ac:dyDescent="0.25">
      <c r="N32" s="9"/>
      <c r="AM32"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4FD22-A1E7-417A-B8C6-6F34BD68F02C}">
  <sheetPr>
    <tabColor rgb="FFFFFF00"/>
  </sheetPr>
  <dimension ref="A1:DS102"/>
  <sheetViews>
    <sheetView showGridLines="0" tabSelected="1" topLeftCell="O34" zoomScale="145" zoomScaleNormal="145" workbookViewId="0">
      <selection activeCell="L72" sqref="L72"/>
    </sheetView>
  </sheetViews>
  <sheetFormatPr defaultRowHeight="15" x14ac:dyDescent="0.25"/>
  <cols>
    <col min="2" max="9" width="16.7109375" customWidth="1"/>
    <col min="10" max="10" width="23.7109375" customWidth="1"/>
    <col min="11" max="56" width="16.7109375" customWidth="1"/>
    <col min="57" max="57" width="2.7109375" customWidth="1"/>
    <col min="58" max="58" width="18.42578125" customWidth="1"/>
    <col min="59" max="59" width="1.5703125" customWidth="1"/>
    <col min="60" max="60" width="16.42578125" customWidth="1"/>
    <col min="61" max="70" width="16.7109375" customWidth="1"/>
    <col min="71" max="74" width="21" customWidth="1"/>
    <col min="75" max="79" width="18.42578125" customWidth="1"/>
    <col min="80" max="84" width="17.7109375" style="25" customWidth="1"/>
    <col min="85" max="118" width="16.7109375" customWidth="1"/>
    <col min="119" max="119" width="2.5703125" customWidth="1"/>
    <col min="120" max="120" width="16.7109375" customWidth="1"/>
    <col min="121" max="121" width="1" customWidth="1"/>
    <col min="122" max="122" width="2.28515625" style="76" customWidth="1"/>
    <col min="123" max="123" width="16.7109375" customWidth="1"/>
  </cols>
  <sheetData>
    <row r="1" spans="1:123" ht="15.75" thickBot="1" x14ac:dyDescent="0.3">
      <c r="B1" t="str">
        <f>VLOOKUP('Scenario Selection and Summary'!B3,'Notes and Scenario Inputs'!$B$17:$C$28,2,FALSE)</f>
        <v>Sample 6</v>
      </c>
      <c r="C1" s="41" t="s">
        <v>10</v>
      </c>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36"/>
      <c r="BH1" s="50" t="s">
        <v>80</v>
      </c>
      <c r="BI1" s="30"/>
      <c r="BJ1" s="51"/>
      <c r="BK1" s="51"/>
      <c r="BL1" s="51"/>
      <c r="BM1" s="51"/>
      <c r="BN1" s="51"/>
      <c r="BO1" s="51"/>
      <c r="BP1" s="51"/>
      <c r="BQ1" s="51"/>
      <c r="BR1" s="51"/>
      <c r="BS1" s="51"/>
      <c r="BT1" s="51"/>
      <c r="BU1" s="51"/>
      <c r="BV1" s="51"/>
      <c r="BW1" s="51"/>
      <c r="BX1" s="51"/>
      <c r="BY1" s="51"/>
      <c r="BZ1" s="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31"/>
      <c r="DR1" s="61"/>
      <c r="DS1" s="31"/>
    </row>
    <row r="2" spans="1:123" ht="91.15" customHeight="1" x14ac:dyDescent="0.25">
      <c r="B2" s="32" t="s">
        <v>0</v>
      </c>
      <c r="C2" s="149" t="s">
        <v>25</v>
      </c>
      <c r="D2" s="148" t="s">
        <v>26</v>
      </c>
      <c r="E2" s="302" t="s">
        <v>116</v>
      </c>
      <c r="F2" s="303"/>
      <c r="G2" s="304"/>
      <c r="H2" s="303" t="s">
        <v>82</v>
      </c>
      <c r="I2" s="303"/>
      <c r="J2" s="304"/>
      <c r="K2" s="302" t="s">
        <v>83</v>
      </c>
      <c r="L2" s="303"/>
      <c r="M2" s="303"/>
      <c r="N2" s="303"/>
      <c r="O2" s="304"/>
      <c r="P2" s="302" t="s">
        <v>84</v>
      </c>
      <c r="Q2" s="303"/>
      <c r="R2" s="303"/>
      <c r="S2" s="303"/>
      <c r="T2" s="304"/>
      <c r="U2" s="302" t="s">
        <v>13</v>
      </c>
      <c r="V2" s="303"/>
      <c r="W2" s="303"/>
      <c r="X2" s="303"/>
      <c r="Y2" s="304"/>
      <c r="Z2" s="302" t="s">
        <v>85</v>
      </c>
      <c r="AA2" s="303"/>
      <c r="AB2" s="303"/>
      <c r="AC2" s="303"/>
      <c r="AD2" s="303"/>
      <c r="AE2" s="18" t="s">
        <v>407</v>
      </c>
      <c r="AF2" s="19" t="s">
        <v>13</v>
      </c>
      <c r="AG2" s="19" t="s">
        <v>85</v>
      </c>
      <c r="AH2" s="19" t="s">
        <v>372</v>
      </c>
      <c r="AI2" s="19" t="s">
        <v>432</v>
      </c>
      <c r="AJ2" s="123" t="s">
        <v>366</v>
      </c>
      <c r="AK2" s="158" t="s">
        <v>316</v>
      </c>
      <c r="AL2" s="147" t="s">
        <v>317</v>
      </c>
      <c r="AM2" s="147" t="s">
        <v>318</v>
      </c>
      <c r="AN2" s="147" t="s">
        <v>319</v>
      </c>
      <c r="AO2" s="138" t="s">
        <v>367</v>
      </c>
      <c r="AP2" s="18" t="s">
        <v>81</v>
      </c>
      <c r="AQ2" s="20" t="s">
        <v>117</v>
      </c>
      <c r="AR2" s="19" t="s">
        <v>418</v>
      </c>
      <c r="AS2" s="20" t="s">
        <v>22</v>
      </c>
      <c r="AT2" s="20" t="s">
        <v>91</v>
      </c>
      <c r="AU2" s="111" t="s">
        <v>376</v>
      </c>
      <c r="AV2" s="20" t="s">
        <v>400</v>
      </c>
      <c r="AW2" s="20" t="s">
        <v>377</v>
      </c>
      <c r="AX2" s="20" t="s">
        <v>401</v>
      </c>
      <c r="AY2" s="20" t="s">
        <v>378</v>
      </c>
      <c r="AZ2" s="21" t="s">
        <v>402</v>
      </c>
      <c r="BA2" s="20" t="s">
        <v>368</v>
      </c>
      <c r="BB2" s="122" t="s">
        <v>361</v>
      </c>
      <c r="BC2" s="303" t="s">
        <v>86</v>
      </c>
      <c r="BD2" s="303"/>
      <c r="BE2" s="20"/>
      <c r="BF2" s="108" t="s">
        <v>118</v>
      </c>
      <c r="BG2" s="31"/>
      <c r="BH2" s="32" t="s">
        <v>0</v>
      </c>
      <c r="BI2" s="149" t="s">
        <v>25</v>
      </c>
      <c r="BJ2" s="150" t="s">
        <v>26</v>
      </c>
      <c r="BK2" s="302" t="s">
        <v>116</v>
      </c>
      <c r="BL2" s="303"/>
      <c r="BM2" s="304"/>
      <c r="BN2" s="302" t="s">
        <v>93</v>
      </c>
      <c r="BO2" s="303"/>
      <c r="BP2" s="303"/>
      <c r="BQ2" s="304"/>
      <c r="BR2" s="302" t="s">
        <v>87</v>
      </c>
      <c r="BS2" s="303"/>
      <c r="BT2" s="304"/>
      <c r="BU2" s="302" t="s">
        <v>83</v>
      </c>
      <c r="BV2" s="303"/>
      <c r="BW2" s="303"/>
      <c r="BX2" s="303"/>
      <c r="BY2" s="304"/>
      <c r="BZ2" s="302" t="s">
        <v>84</v>
      </c>
      <c r="CA2" s="303"/>
      <c r="CB2" s="303"/>
      <c r="CC2" s="303"/>
      <c r="CD2" s="304"/>
      <c r="CE2" s="302" t="s">
        <v>13</v>
      </c>
      <c r="CF2" s="303"/>
      <c r="CG2" s="303"/>
      <c r="CH2" s="303"/>
      <c r="CI2" s="304"/>
      <c r="CJ2" s="302" t="s">
        <v>85</v>
      </c>
      <c r="CK2" s="303"/>
      <c r="CL2" s="303"/>
      <c r="CM2" s="303"/>
      <c r="CN2" s="304"/>
      <c r="CO2" s="18" t="s">
        <v>407</v>
      </c>
      <c r="CP2" s="19" t="s">
        <v>13</v>
      </c>
      <c r="CQ2" s="19" t="s">
        <v>85</v>
      </c>
      <c r="CR2" s="19" t="s">
        <v>431</v>
      </c>
      <c r="CS2" s="123" t="s">
        <v>430</v>
      </c>
      <c r="CT2" s="111" t="s">
        <v>372</v>
      </c>
      <c r="CU2" s="20" t="s">
        <v>371</v>
      </c>
      <c r="CV2" s="21" t="s">
        <v>88</v>
      </c>
      <c r="CW2" s="103" t="s">
        <v>316</v>
      </c>
      <c r="CX2" s="147" t="s">
        <v>317</v>
      </c>
      <c r="CY2" s="147" t="s">
        <v>318</v>
      </c>
      <c r="CZ2" s="147" t="s">
        <v>319</v>
      </c>
      <c r="DA2" s="138" t="s">
        <v>367</v>
      </c>
      <c r="DB2" s="18" t="s">
        <v>81</v>
      </c>
      <c r="DC2" s="20" t="s">
        <v>89</v>
      </c>
      <c r="DD2" s="20" t="s">
        <v>92</v>
      </c>
      <c r="DE2" s="111" t="s">
        <v>373</v>
      </c>
      <c r="DF2" s="20" t="s">
        <v>404</v>
      </c>
      <c r="DG2" s="20" t="s">
        <v>375</v>
      </c>
      <c r="DH2" s="20" t="s">
        <v>405</v>
      </c>
      <c r="DI2" s="20" t="s">
        <v>374</v>
      </c>
      <c r="DJ2" s="20" t="s">
        <v>406</v>
      </c>
      <c r="DK2" s="20" t="s">
        <v>368</v>
      </c>
      <c r="DL2" s="126" t="s">
        <v>361</v>
      </c>
      <c r="DM2" s="305" t="s">
        <v>90</v>
      </c>
      <c r="DN2" s="305"/>
      <c r="DO2" s="20"/>
      <c r="DP2" s="123" t="s">
        <v>320</v>
      </c>
      <c r="DQ2" s="32"/>
      <c r="DR2" s="61"/>
    </row>
    <row r="3" spans="1:123" ht="28.5" customHeight="1" x14ac:dyDescent="0.25">
      <c r="A3" s="32" t="s">
        <v>362</v>
      </c>
      <c r="B3" s="32"/>
      <c r="C3" s="78" t="s">
        <v>2</v>
      </c>
      <c r="D3" s="79" t="s">
        <v>2</v>
      </c>
      <c r="E3" s="78" t="s">
        <v>2</v>
      </c>
      <c r="F3" s="79" t="s">
        <v>241</v>
      </c>
      <c r="G3" s="80" t="s">
        <v>363</v>
      </c>
      <c r="H3" s="79" t="s">
        <v>2</v>
      </c>
      <c r="I3" s="79" t="s">
        <v>241</v>
      </c>
      <c r="J3" s="80" t="s">
        <v>363</v>
      </c>
      <c r="K3" s="78" t="s">
        <v>2</v>
      </c>
      <c r="L3" s="79" t="s">
        <v>364</v>
      </c>
      <c r="M3" s="79" t="s">
        <v>241</v>
      </c>
      <c r="N3" s="79" t="s">
        <v>365</v>
      </c>
      <c r="O3" s="80" t="s">
        <v>363</v>
      </c>
      <c r="P3" s="78" t="s">
        <v>2</v>
      </c>
      <c r="Q3" s="79" t="s">
        <v>364</v>
      </c>
      <c r="R3" s="79" t="s">
        <v>241</v>
      </c>
      <c r="S3" s="79" t="s">
        <v>365</v>
      </c>
      <c r="T3" s="80" t="s">
        <v>363</v>
      </c>
      <c r="U3" s="78" t="s">
        <v>2</v>
      </c>
      <c r="V3" s="79" t="s">
        <v>364</v>
      </c>
      <c r="W3" s="79" t="s">
        <v>241</v>
      </c>
      <c r="X3" s="79" t="s">
        <v>365</v>
      </c>
      <c r="Y3" s="80" t="s">
        <v>363</v>
      </c>
      <c r="Z3" s="78" t="s">
        <v>2</v>
      </c>
      <c r="AA3" s="79" t="s">
        <v>364</v>
      </c>
      <c r="AB3" s="79" t="s">
        <v>241</v>
      </c>
      <c r="AC3" s="79" t="s">
        <v>365</v>
      </c>
      <c r="AD3" s="79" t="s">
        <v>363</v>
      </c>
      <c r="AE3" s="78" t="s">
        <v>379</v>
      </c>
      <c r="AF3" s="79" t="s">
        <v>379</v>
      </c>
      <c r="AG3" s="79" t="s">
        <v>379</v>
      </c>
      <c r="AH3" s="79" t="s">
        <v>2</v>
      </c>
      <c r="AI3" s="79" t="s">
        <v>379</v>
      </c>
      <c r="AJ3" s="80" t="s">
        <v>2</v>
      </c>
      <c r="AK3" s="79" t="s">
        <v>2</v>
      </c>
      <c r="AL3" s="79" t="s">
        <v>2</v>
      </c>
      <c r="AM3" s="79" t="s">
        <v>2</v>
      </c>
      <c r="AN3" s="79" t="s">
        <v>2</v>
      </c>
      <c r="AO3" s="80" t="s">
        <v>363</v>
      </c>
      <c r="AP3" s="78" t="s">
        <v>2</v>
      </c>
      <c r="AQ3" s="79" t="s">
        <v>2</v>
      </c>
      <c r="AR3" s="79" t="s">
        <v>2</v>
      </c>
      <c r="AS3" s="79" t="s">
        <v>2</v>
      </c>
      <c r="AT3" s="79" t="s">
        <v>2</v>
      </c>
      <c r="AU3" s="78" t="s">
        <v>369</v>
      </c>
      <c r="AV3" s="79" t="s">
        <v>403</v>
      </c>
      <c r="AW3" s="79" t="s">
        <v>369</v>
      </c>
      <c r="AX3" s="79" t="s">
        <v>403</v>
      </c>
      <c r="AY3" s="79" t="s">
        <v>369</v>
      </c>
      <c r="AZ3" s="80" t="s">
        <v>403</v>
      </c>
      <c r="BA3" s="79" t="s">
        <v>369</v>
      </c>
      <c r="BB3" s="80" t="s">
        <v>370</v>
      </c>
      <c r="BC3" s="79" t="s">
        <v>23</v>
      </c>
      <c r="BD3" s="89" t="s">
        <v>24</v>
      </c>
      <c r="BE3" s="89"/>
      <c r="BF3" s="109" t="s">
        <v>24</v>
      </c>
      <c r="BG3" s="31"/>
      <c r="BH3" s="32"/>
      <c r="BI3" s="78" t="s">
        <v>2</v>
      </c>
      <c r="BJ3" s="80" t="s">
        <v>2</v>
      </c>
      <c r="BK3" s="78" t="s">
        <v>2</v>
      </c>
      <c r="BL3" s="79" t="s">
        <v>241</v>
      </c>
      <c r="BM3" s="80" t="s">
        <v>363</v>
      </c>
      <c r="BN3" s="78" t="s">
        <v>2</v>
      </c>
      <c r="BO3" s="79" t="s">
        <v>416</v>
      </c>
      <c r="BP3" s="79" t="s">
        <v>417</v>
      </c>
      <c r="BQ3" s="80" t="s">
        <v>363</v>
      </c>
      <c r="BR3" s="78" t="s">
        <v>2</v>
      </c>
      <c r="BS3" s="79" t="s">
        <v>241</v>
      </c>
      <c r="BT3" s="80" t="s">
        <v>363</v>
      </c>
      <c r="BU3" s="78" t="s">
        <v>2</v>
      </c>
      <c r="BV3" s="79" t="s">
        <v>364</v>
      </c>
      <c r="BW3" s="79" t="s">
        <v>241</v>
      </c>
      <c r="BX3" s="79" t="s">
        <v>365</v>
      </c>
      <c r="BY3" s="80" t="s">
        <v>363</v>
      </c>
      <c r="BZ3" s="78" t="s">
        <v>2</v>
      </c>
      <c r="CA3" s="79" t="s">
        <v>364</v>
      </c>
      <c r="CB3" s="79" t="s">
        <v>241</v>
      </c>
      <c r="CC3" s="79" t="s">
        <v>365</v>
      </c>
      <c r="CD3" s="80" t="s">
        <v>363</v>
      </c>
      <c r="CE3" s="78" t="s">
        <v>2</v>
      </c>
      <c r="CF3" s="79" t="s">
        <v>364</v>
      </c>
      <c r="CG3" s="79" t="s">
        <v>241</v>
      </c>
      <c r="CH3" s="79" t="s">
        <v>365</v>
      </c>
      <c r="CI3" s="80" t="s">
        <v>363</v>
      </c>
      <c r="CJ3" s="78" t="s">
        <v>2</v>
      </c>
      <c r="CK3" s="79" t="s">
        <v>364</v>
      </c>
      <c r="CL3" s="79" t="s">
        <v>241</v>
      </c>
      <c r="CM3" s="79" t="s">
        <v>365</v>
      </c>
      <c r="CN3" s="80" t="s">
        <v>363</v>
      </c>
      <c r="CO3" s="78" t="s">
        <v>379</v>
      </c>
      <c r="CP3" s="79" t="s">
        <v>379</v>
      </c>
      <c r="CQ3" s="79" t="s">
        <v>379</v>
      </c>
      <c r="CR3" s="79" t="s">
        <v>379</v>
      </c>
      <c r="CS3" s="80" t="s">
        <v>2</v>
      </c>
      <c r="CT3" s="78" t="s">
        <v>2</v>
      </c>
      <c r="CU3" s="79" t="s">
        <v>2</v>
      </c>
      <c r="CV3" s="80" t="s">
        <v>2</v>
      </c>
      <c r="CW3" s="78" t="s">
        <v>2</v>
      </c>
      <c r="CX3" s="79" t="s">
        <v>2</v>
      </c>
      <c r="CY3" s="79" t="s">
        <v>2</v>
      </c>
      <c r="CZ3" s="79" t="s">
        <v>2</v>
      </c>
      <c r="DA3" s="80" t="s">
        <v>363</v>
      </c>
      <c r="DB3" s="78" t="s">
        <v>2</v>
      </c>
      <c r="DC3" s="79" t="s">
        <v>2</v>
      </c>
      <c r="DD3" s="79" t="s">
        <v>2</v>
      </c>
      <c r="DE3" s="78" t="s">
        <v>369</v>
      </c>
      <c r="DF3" s="79" t="s">
        <v>370</v>
      </c>
      <c r="DG3" s="79" t="s">
        <v>369</v>
      </c>
      <c r="DH3" s="79" t="s">
        <v>370</v>
      </c>
      <c r="DI3" s="79" t="s">
        <v>369</v>
      </c>
      <c r="DJ3" s="79" t="s">
        <v>370</v>
      </c>
      <c r="DK3" s="79" t="s">
        <v>369</v>
      </c>
      <c r="DL3" s="80" t="s">
        <v>370</v>
      </c>
      <c r="DM3" s="79" t="s">
        <v>23</v>
      </c>
      <c r="DN3" s="89" t="s">
        <v>24</v>
      </c>
      <c r="DO3" s="89"/>
      <c r="DP3" s="109" t="s">
        <v>24</v>
      </c>
      <c r="DQ3" s="31"/>
    </row>
    <row r="4" spans="1:123" x14ac:dyDescent="0.25">
      <c r="A4">
        <v>365</v>
      </c>
      <c r="B4">
        <v>2022</v>
      </c>
      <c r="C4" s="92" cm="1">
        <f t="array" aca="1" ref="C4" ca="1">INDIRECT("'Demand by State by ST'!H"&amp;MATCH($B$1,'Demand by State by ST'!$E:$E,0)+($B4-2022))</f>
        <v>72207.812998559995</v>
      </c>
      <c r="D4" s="100" cm="1">
        <f t="array" aca="1" ref="D4" ca="1">INDIRECT("'Demand by State by ST'!J"&amp;MATCH($B$1,'Demand by State by ST'!$E:$E,0)+($B4-2022))</f>
        <v>35984.105004719997</v>
      </c>
      <c r="E4" s="96" cm="1">
        <f t="array" aca="1" ref="E4" ca="1">INDIRECT("'Gas Flow by State'!H"&amp;MATCH($B$1,'Demand by State by ST'!$E:$E,0)+($B4-2022))</f>
        <v>108736.54076424</v>
      </c>
      <c r="F4" s="98">
        <f ca="1">VLOOKUP($B4,'WACOG Calc'!$B$49:$L$78,VALUE(RIGHT($B$1,LEN($B$1)-7))+1,FALSE)</f>
        <v>4.5056423782424764</v>
      </c>
      <c r="G4" s="90">
        <f t="shared" ref="G4:G32" ca="1" si="0">E4*F4*1000</f>
        <v>489927966.13085026</v>
      </c>
      <c r="H4" s="82" cm="1">
        <f t="array" aca="1" ref="H4" ca="1">INDIRECT("'Compliance Resources by State'!H"&amp;MATCH($B$1,'Demand by State by ST'!$E:$E,0)+($B4-2022))</f>
        <v>0</v>
      </c>
      <c r="I4" s="83" cm="1">
        <f t="array" aca="1" ref="I4" ca="1">INDIRECT("'OR CCI Price'!C"&amp;MATCH($B4,'OR CCI Price'!$A:$A,0))</f>
        <v>5.7331799999999999</v>
      </c>
      <c r="J4" s="84">
        <f t="shared" ref="J4:J32" ca="1" si="1">H4*I4*1000</f>
        <v>0</v>
      </c>
      <c r="K4" s="81" cm="1">
        <f t="array" aca="1" ref="K4" ca="1">INDIRECT("'Compliance Resources by State'!J"&amp;MATCH($B$1,'Demand by State by ST'!$E:$E,0)+($B4-2022))</f>
        <v>1801.964412</v>
      </c>
      <c r="L4" s="82">
        <f t="shared" ref="L4:L32" ca="1" si="2">IF($B4=2022,(K4*1000)/$A4,(K4*1000/$A4)-(K3*1000/$A3))</f>
        <v>4936.8887999999997</v>
      </c>
      <c r="M4" s="83" cm="1">
        <f t="array" aca="1" ref="M4" ca="1">INDIRECT("'MC_Supply Price "&amp;K$2&amp;"'!D"&amp;MATCH($B4,'MC_Supply Price RNG Tranche 1'!$A:$A,0)+VALUE(RIGHT($B$1,LEN($B$1)-7))-1)</f>
        <v>9.1859999999999999</v>
      </c>
      <c r="N4" s="82">
        <f t="shared" ref="N4:N32" ca="1" si="3">L4*M4*$A4</f>
        <v>16552845.088631997</v>
      </c>
      <c r="O4" s="84">
        <f ca="1">SUM(N$4:N4)</f>
        <v>16552845.088631997</v>
      </c>
      <c r="P4" s="81" cm="1">
        <f t="array" aca="1" ref="P4" ca="1">INDIRECT("'Compliance Resources by State'!K"&amp;MATCH($B$1,'Demand by State by ST'!$E:$E,0)+($B4-2022))</f>
        <v>0</v>
      </c>
      <c r="Q4" s="82">
        <f t="shared" ref="Q4:Q32" ca="1" si="4">IF($B4=2022,(P4*1000)/$A4,(P4*1000/$A4)-(P3*1000/$A3))</f>
        <v>0</v>
      </c>
      <c r="R4" s="83" cm="1">
        <f t="array" aca="1" ref="R4" ca="1">INDIRECT("'MC_Supply Price "&amp;P$2&amp;"'!D"&amp;MATCH($B4,'MC_Supply Price RNG Tranche 2'!$A:$A,0)+VALUE(RIGHT($B$1,LEN($B$1)-7))-1)</f>
        <v>14.186</v>
      </c>
      <c r="S4" s="82">
        <f t="shared" ref="S4:S32" ca="1" si="5">Q4*R4*$A4</f>
        <v>0</v>
      </c>
      <c r="T4" s="84">
        <f ca="1">SUM(S$4:S4)</f>
        <v>0</v>
      </c>
      <c r="U4" s="81" cm="1">
        <f t="array" aca="1" ref="U4" ca="1">INDIRECT("'Compliance Resources by State'!I"&amp;MATCH($B$1,'Demand by State by ST'!$E:$E,0)+($B4-2022))</f>
        <v>0</v>
      </c>
      <c r="V4" s="82">
        <f t="shared" ref="V4:V32" ca="1" si="6">IF($B4=2022,(U4*1000)/$A4,(U4*1000/$A4)-(U3*1000/$A3))</f>
        <v>0</v>
      </c>
      <c r="W4" s="83" cm="1">
        <f t="array" aca="1" ref="W4" ca="1">INDIRECT("'MC_Supply Price "&amp;U$2&amp;"'!D"&amp;MATCH($B4,'MC_Supply Price Hydrogen'!$A:$A,0)+VALUE(RIGHT($B$1,LEN($B$1)-7))-1)</f>
        <v>18.425999999999998</v>
      </c>
      <c r="X4" s="82">
        <f t="shared" ref="X4:X32" ca="1" si="7">V4*W4*$A4</f>
        <v>0</v>
      </c>
      <c r="Y4" s="90">
        <f ca="1">SUM(X$4:X4)</f>
        <v>0</v>
      </c>
      <c r="Z4" s="81" cm="1">
        <f t="array" aca="1" ref="Z4" ca="1">INDIRECT("'Compliance Resources by State'!L"&amp;MATCH($B$1,'Demand by State by ST'!$E:$E,0)+($B4-2022))</f>
        <v>0</v>
      </c>
      <c r="AA4" s="82">
        <f t="shared" ref="AA4:AA32" ca="1" si="8">IF($B4=2022,(Z4*1000)/$A4,(Z4*1000/$A4)-(Z3*1000/$A3))</f>
        <v>0</v>
      </c>
      <c r="AB4" s="83" cm="1">
        <f t="array" aca="1" ref="AB4" ca="1">INDIRECT("'MC_Supply Price Synthetic Metha'!D"&amp;MATCH($B4,'MC_Supply Price Synthetic Metha'!$A:$A,0)+VALUE(RIGHT($B$1,LEN($B$1)-7))-1)</f>
        <v>25.797000000000001</v>
      </c>
      <c r="AC4" s="82">
        <f t="shared" ref="AC4:AC32" ca="1" si="9">AA4*AB4*$A4</f>
        <v>0</v>
      </c>
      <c r="AD4" s="82">
        <f ca="1">SUM(AC$4:AC4)</f>
        <v>0</v>
      </c>
      <c r="AE4" s="127">
        <f t="shared" ref="AE4:AE32" ca="1" si="10">(K4+P4+AR4)/AP4</f>
        <v>2.0022146041761897E-2</v>
      </c>
      <c r="AF4" s="128">
        <f t="shared" ref="AF4:AF32" ca="1" si="11">U4/AP4</f>
        <v>0</v>
      </c>
      <c r="AG4" s="128">
        <f t="shared" ref="AG4:AG32" ca="1" si="12">Z4/AP4</f>
        <v>0</v>
      </c>
      <c r="AH4" s="82">
        <f t="shared" ref="AH4:AH32" ca="1" si="13">Z4+U4+P4+K4</f>
        <v>1801.964412</v>
      </c>
      <c r="AI4" s="156">
        <f t="shared" ref="AI4:AI32" ca="1" si="14">AJ4/AP4</f>
        <v>2.0022146107911015E-2</v>
      </c>
      <c r="AJ4" s="90">
        <f ca="1">VLOOKUP('Compliance Data'!$B4,'Notes and Scenario Inputs'!$B$57:$C$86,2,FALSE)*'Compliance Data'!C4</f>
        <v>2166.2343899568</v>
      </c>
      <c r="AK4" s="105">
        <f>IF(VALUE(RIGHT($B$1,LEN($B$1)-7))=1,0,VLOOKUP($B4,'Load Reductions'!$1:$30,VALUE(RIGHT($B$1,LEN($B$1)-7)),FALSE))</f>
        <v>-58.214662500000003</v>
      </c>
      <c r="AL4" s="105">
        <f>IF(VALUE(RIGHT($B$1,LEN($B$1)-7))=1,0,VLOOKUP($B4,'Load Reductions'!$1:$30,VALUE(RIGHT($B$1,LEN($B$1)-7)+9),FALSE))</f>
        <v>0</v>
      </c>
      <c r="AM4" s="155">
        <f>IF(VALUE(RIGHT($B$1,LEN($B$1)-7))=1,0,VLOOKUP($B4,'Load Reductions'!$1:$30,VALUE(RIGHT($B$1,LEN($B$1)-7)+18),FALSE))</f>
        <v>0</v>
      </c>
      <c r="AN4" s="105">
        <f>IF(VALUE(RIGHT($B$1,LEN($B$1)-7))=1,0,VLOOKUP($B4,'Load Reductions'!$1:$30,VALUE(RIGHT($B$1,LEN($B$1)-7)+27),FALSE))</f>
        <v>0</v>
      </c>
      <c r="AO4" s="135">
        <f>VLOOKUP($B4,'Oregon DSM Scenario Costs'!$A$1:$BN$30,RIGHT($B$1,LEN($B$1)-7)+56,FALSE)</f>
        <v>0</v>
      </c>
      <c r="AP4" s="96">
        <f t="shared" ref="AP4:AP32" ca="1" si="15">C4+D4</f>
        <v>108191.91800327999</v>
      </c>
      <c r="AQ4" s="105">
        <f>'Fixed Contracts'!C4</f>
        <v>773.99997000000008</v>
      </c>
      <c r="AR4" s="82">
        <f>'Fixed Contracts'!B4</f>
        <v>364.26997080000001</v>
      </c>
      <c r="AS4" s="82">
        <f ca="1">(AQ4+E4)-K4-P4-U4-Z4-H4-AR4</f>
        <v>107344.30635144</v>
      </c>
      <c r="AT4" s="82">
        <f t="shared" ref="AT4:AT32" ca="1" si="16">AP4-H4-K4-P4-U4-Z4-AR4</f>
        <v>106025.68362047999</v>
      </c>
      <c r="AU4" s="113">
        <f t="shared" ref="AU4:AU32" ca="1" si="17">AD4+Y4+T4+O4</f>
        <v>16552845.088631997</v>
      </c>
      <c r="AV4" s="139">
        <f t="shared" ref="AV4:AV32" ca="1" si="18">AU4/(AP4*1000)</f>
        <v>0.15299520883001791</v>
      </c>
      <c r="AW4" s="116">
        <f t="shared" ref="AW4:AW32" ca="1" si="19">J4</f>
        <v>0</v>
      </c>
      <c r="AX4" s="139">
        <f t="shared" ref="AX4:AX32" ca="1" si="20">AW4/(AP4*1000)</f>
        <v>0</v>
      </c>
      <c r="AY4" s="116">
        <f t="shared" ref="AY4:AY32" si="21">AO4</f>
        <v>0</v>
      </c>
      <c r="AZ4" s="141">
        <f t="shared" ref="AZ4:AZ32" ca="1" si="22">AY4/(AP4*1000)</f>
        <v>0</v>
      </c>
      <c r="BA4" s="116">
        <f t="shared" ref="BA4:BA32" ca="1" si="23">AO4+AD4+Y4+T4+O4+J4</f>
        <v>16552845.088631997</v>
      </c>
      <c r="BB4" s="112">
        <f t="shared" ref="BB4:BB32" ca="1" si="24">BA4/(AP4*1000)</f>
        <v>0.15299520883001791</v>
      </c>
      <c r="BC4" s="102" cm="1">
        <f t="array" aca="1" ref="BC4" ca="1">INDIRECT("'Emissions by State'!H"&amp;MATCH($B$1,'Demand by State by ST'!$E:$E,0)+($B4-2022))</f>
        <v>6216210.4071955802</v>
      </c>
      <c r="BD4" s="82">
        <f t="shared" ref="BD4:BD32" ca="1" si="25">BC4*$F$39</f>
        <v>5639252.838251723</v>
      </c>
      <c r="BE4" s="82"/>
      <c r="BF4" s="90">
        <v>5931657</v>
      </c>
      <c r="BG4" s="4">
        <f t="shared" ref="BG4:BG32" ca="1" si="26">(BF4-BD4)/$H$39</f>
        <v>5509744.1288332175</v>
      </c>
      <c r="BH4">
        <v>2022</v>
      </c>
      <c r="BI4" s="92" cm="1">
        <f t="array" aca="1" ref="BI4" ca="1">INDIRECT("'Demand by State by ST'!I"&amp;MATCH($B$1,'Demand by State by ST'!$E:$E,0)+($B4-2022))</f>
        <v>8611.1450003999998</v>
      </c>
      <c r="BJ4" s="93" cm="1">
        <f t="array" aca="1" ref="BJ4" ca="1">INDIRECT("'Demand by State by ST'!K"&amp;MATCH($B$1,'Demand by State by ST'!$E:$E,0)+($B4-2022))</f>
        <v>1723.2829999200001</v>
      </c>
      <c r="BK4" s="96" cm="1">
        <f t="array" aca="1" ref="BK4" ca="1">INDIRECT("'Gas Flow by State'!I"&amp;MATCH($B$1,'Demand by State by ST'!$E:$E,0)+($B4-2022))</f>
        <v>10334.428001759999</v>
      </c>
      <c r="BL4" s="118">
        <f t="shared" ref="BL4:BL32" ca="1" si="27">F4</f>
        <v>4.5056423782424764</v>
      </c>
      <c r="BM4" s="93">
        <f t="shared" ref="BM4:BM32" ca="1" si="28">BK4*BL4*1000</f>
        <v>46563236.759625562</v>
      </c>
      <c r="BN4" s="81" cm="1">
        <f t="array" aca="1" ref="BN4" ca="1">INDIRECT("'Compliance Resources by State'!M"&amp;MATCH($B$1,'Demand by State by ST'!$E:$E,0)+($B4-2022))</f>
        <v>0</v>
      </c>
      <c r="BO4" s="83"/>
      <c r="BP4" s="83"/>
      <c r="BQ4" s="90">
        <f t="shared" ref="BQ4:BQ32" ca="1" si="29">BN4*BO4*1000</f>
        <v>0</v>
      </c>
      <c r="BR4" s="81" cm="1">
        <f t="array" aca="1" ref="BR4" ca="1">INDIRECT("'Compliance Resources by State'!O"&amp;MATCH($B$1,'Demand by State by ST'!$E:$E,0)+($B4-2022))</f>
        <v>0</v>
      </c>
      <c r="BS4" s="83"/>
      <c r="BT4" s="84">
        <f t="shared" ref="BT4:BT32" ca="1" si="30">BR4*BS4*1000</f>
        <v>0</v>
      </c>
      <c r="BU4" s="81" cm="1">
        <f t="array" aca="1" ref="BU4" ca="1">INDIRECT("'Compliance Resources by State'!P"&amp;MATCH($B$1,'Demand by State by ST'!$E:$E,0)+($B4-2022))</f>
        <v>258.33432720000002</v>
      </c>
      <c r="BV4" s="82">
        <f t="shared" ref="BV4:BV32" ca="1" si="31">IF($B4=2022,(BU4*1000)/$A4,(BU4*1000/$A4)-(BU3*1000/$A3))</f>
        <v>707.76528000000008</v>
      </c>
      <c r="BW4" s="83">
        <f t="shared" ref="BW4:BW32" ca="1" si="32">M4</f>
        <v>9.1859999999999999</v>
      </c>
      <c r="BX4" s="82">
        <f t="shared" ref="BX4:BX32" ca="1" si="33">BV4*BW4*$A4</f>
        <v>2373059.1296592001</v>
      </c>
      <c r="BY4" s="84">
        <f ca="1">SUM(BX$4:BX4)</f>
        <v>2373059.1296592001</v>
      </c>
      <c r="BZ4" s="81" cm="1">
        <f t="array" aca="1" ref="BZ4" ca="1">INDIRECT("'Compliance Resources by State'!Q"&amp;MATCH($B$1,'Demand by State by ST'!$E:$E,0)+($B4-2022))</f>
        <v>0</v>
      </c>
      <c r="CA4" s="82">
        <f t="shared" ref="CA4:CA32" ca="1" si="34">IF($B4=2022,(BZ4*1000)/$A4,(BZ4*1000/$A4)-(BZ3*1000/$A3))</f>
        <v>0</v>
      </c>
      <c r="CB4" s="83">
        <f t="shared" ref="CB4:CB32" ca="1" si="35">R4</f>
        <v>14.186</v>
      </c>
      <c r="CC4" s="82">
        <f t="shared" ref="CC4:CC32" ca="1" si="36">CA4*CB4*$A4</f>
        <v>0</v>
      </c>
      <c r="CD4" s="84">
        <f ca="1">SUM(CC$4:CC4)</f>
        <v>0</v>
      </c>
      <c r="CE4" s="81" cm="1">
        <f t="array" aca="1" ref="CE4" ca="1">INDIRECT("'Compliance Resources by State'!N"&amp;MATCH($B$1,'Demand by State by ST'!$E:$E,0)+($B4-2022))</f>
        <v>0</v>
      </c>
      <c r="CF4" s="82">
        <f t="shared" ref="CF4:CF32" ca="1" si="37">IF($B4=2022,(CE4*1000)/$A4,(CE4*1000/$A4)-(CE3*1000/$A3))</f>
        <v>0</v>
      </c>
      <c r="CG4" s="83">
        <f t="shared" ref="CG4:CG32" ca="1" si="38">W4</f>
        <v>18.425999999999998</v>
      </c>
      <c r="CH4" s="82">
        <f t="shared" ref="CH4:CH32" ca="1" si="39">CF4*CG4*$A4</f>
        <v>0</v>
      </c>
      <c r="CI4" s="84">
        <f ca="1">SUM(CH$4:CH4)</f>
        <v>0</v>
      </c>
      <c r="CJ4" s="81" cm="1">
        <f t="array" aca="1" ref="CJ4" ca="1">INDIRECT("'Compliance Resources by State'!R"&amp;MATCH($B$1,'Demand by State by ST'!$E:$E,0)+($B4-2022))</f>
        <v>0</v>
      </c>
      <c r="CK4" s="82">
        <f t="shared" ref="CK4:CK32" ca="1" si="40">IF($B4=2022,(CJ4*1000)/$A4,(CJ4*1000/$A4)-(CJ3*1000/$A3))</f>
        <v>0</v>
      </c>
      <c r="CL4" s="83">
        <f t="shared" ref="CL4:CL32" ca="1" si="41">AB4</f>
        <v>25.797000000000001</v>
      </c>
      <c r="CM4" s="82">
        <f t="shared" ref="CM4:CM32" ca="1" si="42">CK4*CL4*$A4</f>
        <v>0</v>
      </c>
      <c r="CN4" s="84">
        <f ca="1">SUM(CM$4:CM4)</f>
        <v>0</v>
      </c>
      <c r="CO4" s="127">
        <f t="shared" ref="CO4:CO32" ca="1" si="43">(BU4+BZ4)/DB4</f>
        <v>2.4997448063114942E-2</v>
      </c>
      <c r="CP4" s="128">
        <f t="shared" ref="CP4:CP32" ca="1" si="44">CE4/DB4</f>
        <v>0</v>
      </c>
      <c r="CQ4" s="128">
        <f t="shared" ref="CQ4:CQ32" ca="1" si="45">CJ4/DB4</f>
        <v>0</v>
      </c>
      <c r="CR4" s="128">
        <f t="shared" ref="CR4:CR32" ca="1" si="46">CS4/DB4</f>
        <v>2.4997450270494E-2</v>
      </c>
      <c r="CS4" s="159">
        <f ca="1">VLOOKUP('Compliance Data'!$B4,'Notes and Scenario Inputs'!$B$57:$C$86,2,FALSE)*BI4</f>
        <v>258.33435001199996</v>
      </c>
      <c r="CT4" s="120">
        <f t="shared" ref="CT4:CT32" ca="1" si="47">CJ4+CE4+BZ4+BU4</f>
        <v>258.33432720000002</v>
      </c>
      <c r="CU4" s="83">
        <f ca="1">'Notes and Scenario Inputs'!C58*'Compliance Data'!BI4-'Compliance Data'!CV4</f>
        <v>219.27021217079036</v>
      </c>
      <c r="CV4" s="90">
        <f t="shared" ref="CV4:CV32" ca="1" si="48">DB4*0.00378</f>
        <v>39.0641378412096</v>
      </c>
      <c r="CW4" s="104">
        <f>IF(VALUE(RIGHT($B$1,LEN($B$1)-7))=1,0,VLOOKUP($B4,'Load Reductions'!$1:$30,VALUE(RIGHT($B$1,LEN($B$1)-7)+39),FALSE))</f>
        <v>0</v>
      </c>
      <c r="CX4" s="105">
        <f>IF(VALUE(RIGHT($B$1,LEN($B$1)-7))=1,0,VLOOKUP($B4,'Load Reductions'!$1:$30,VALUE(RIGHT($B$1,LEN($B$1)-7)+48),FALSE))</f>
        <v>0</v>
      </c>
      <c r="CY4" s="105">
        <f>IF(VALUE(RIGHT($B$1,LEN($B$1)-7))=1,0,VLOOKUP($B4,'Load Reductions'!$1:$30,VALUE(RIGHT($B$1,LEN($B$1)-7)+57),FALSE))</f>
        <v>0</v>
      </c>
      <c r="CZ4" s="105">
        <f>IF(VALUE(RIGHT($B$1,LEN($B$1)-7))=1,0,VLOOKUP($B4,'Load Reductions'!$1:$30,VALUE(RIGHT($B$1,LEN($B$1)-7)+66),FALSE))</f>
        <v>0</v>
      </c>
      <c r="DA4" s="136">
        <f>IF(AND($B4 = 2022, $B$1&lt;&gt;"Sample 3"), 0, VLOOKUP($B4,'Washington DSM Scenario Costs'!$A$1:$BN$30,RIGHT($B$1,LEN($B$1)-7)+56,FALSE))</f>
        <v>0</v>
      </c>
      <c r="DB4" s="96">
        <f t="shared" ref="DB4:DB32" ca="1" si="49">BI4+BJ4</f>
        <v>10334.42800032</v>
      </c>
      <c r="DC4" s="82">
        <f t="shared" ref="DC4:DC32" ca="1" si="50">BK4-BN4-BR4-BU4-BZ4-CE4-CJ4</f>
        <v>10076.093674559999</v>
      </c>
      <c r="DD4" s="82">
        <f t="shared" ref="DD4:DD32" ca="1" si="51">DB4-BN4-BR4-BU4-BZ4-CE4-CJ4</f>
        <v>10076.09367312</v>
      </c>
      <c r="DE4" s="81">
        <f t="shared" ref="DE4:DE32" ca="1" si="52">CN4+CI4+CD4+BY4</f>
        <v>2373059.1296592001</v>
      </c>
      <c r="DF4" s="143">
        <f t="shared" ref="DF4:DF32" ca="1" si="53">DE4/($DB4*1000)</f>
        <v>0.22962655790777384</v>
      </c>
      <c r="DG4" s="82">
        <f t="shared" ref="DG4:DG32" ca="1" si="54">BQ4+BT4</f>
        <v>0</v>
      </c>
      <c r="DH4" s="145">
        <f t="shared" ref="DH4:DH32" ca="1" si="55">DG4/($DB4*1000)</f>
        <v>0</v>
      </c>
      <c r="DI4" s="82">
        <f>DA4</f>
        <v>0</v>
      </c>
      <c r="DJ4" s="143">
        <f t="shared" ref="DJ4:DJ32" ca="1" si="56">DI4/($DB4*1000)</f>
        <v>0</v>
      </c>
      <c r="DK4" s="116">
        <f t="shared" ref="DK4:DK32" ca="1" si="57">DA4+CN4+CI4+CD4+BY4+BT4+BQ4</f>
        <v>2373059.1296592001</v>
      </c>
      <c r="DL4" s="112">
        <f t="shared" ref="DL4:DL32" ca="1" si="58">DK4/(DB4*1000)</f>
        <v>0.22962655790777384</v>
      </c>
      <c r="DM4" s="102" cm="1">
        <f t="array" aca="1" ref="DM4" ca="1">INDIRECT("'Emissions by State'!I"&amp;MATCH($B$1,'Demand by State by ST'!$E:$E,0)+($B4-2022))</f>
        <v>590760.85055259999</v>
      </c>
      <c r="DN4" s="82">
        <f t="shared" ref="DN4:DN32" ca="1" si="59">DM4*$F$39</f>
        <v>535929.38220856048</v>
      </c>
      <c r="DO4" s="124"/>
      <c r="DP4" s="90">
        <f ca="1">DN4</f>
        <v>535929.38220856048</v>
      </c>
      <c r="DQ4" s="4">
        <f t="shared" ref="DQ4:DQ32" ca="1" si="60">(DP4-DN4)/$H$39</f>
        <v>0</v>
      </c>
    </row>
    <row r="5" spans="1:123" x14ac:dyDescent="0.25">
      <c r="A5">
        <v>365</v>
      </c>
      <c r="B5">
        <v>2023</v>
      </c>
      <c r="C5" s="92" cm="1">
        <f t="array" aca="1" ref="C5" ca="1">INDIRECT("'Demand by State by ST'!H"&amp;MATCH($B$1,'Demand by State by ST'!$E:$E,0)+($B5-2022))</f>
        <v>72705.115001040002</v>
      </c>
      <c r="D5" s="100" cm="1">
        <f t="array" aca="1" ref="D5" ca="1">INDIRECT("'Demand by State by ST'!J"&amp;MATCH($B$1,'Demand by State by ST'!$E:$E,0)+($B5-2022))</f>
        <v>35202.920002320003</v>
      </c>
      <c r="E5" s="96" cm="1">
        <f t="array" aca="1" ref="E5" ca="1">INDIRECT("'Gas Flow by State'!H"&amp;MATCH($B$1,'Demand by State by ST'!$E:$E,0)+($B5-2022))</f>
        <v>109433.25346055999</v>
      </c>
      <c r="F5" s="98">
        <f ca="1">VLOOKUP($B5,'WACOG Calc'!$B$49:$L$78,VALUE(RIGHT($B$1,LEN($B$1)-7))+1,FALSE)</f>
        <v>4.128230896009244</v>
      </c>
      <c r="G5" s="90">
        <f t="shared" ca="1" si="0"/>
        <v>451765737.98669428</v>
      </c>
      <c r="H5" s="82" cm="1">
        <f t="array" aca="1" ref="H5" ca="1">INDIRECT("'Compliance Resources by State'!H"&amp;MATCH($B$1,'Demand by State by ST'!$E:$E,0)+($B5-2022))</f>
        <v>0</v>
      </c>
      <c r="I5" s="83" cm="1">
        <f t="array" aca="1" ref="I5" ca="1">INDIRECT("'OR CCI Price'!C"&amp;MATCH($B5,'OR CCI Price'!$A:$A,0))</f>
        <v>5.7862650000000002</v>
      </c>
      <c r="J5" s="84">
        <f t="shared" ca="1" si="1"/>
        <v>0</v>
      </c>
      <c r="K5" s="81" cm="1">
        <f t="array" aca="1" ref="K5" ca="1">INDIRECT("'Compliance Resources by State'!J"&amp;MATCH($B$1,'Demand by State by ST'!$E:$E,0)+($B5-2022))</f>
        <v>4166.4454788000003</v>
      </c>
      <c r="L5" s="82">
        <f t="shared" ca="1" si="2"/>
        <v>6478.0303200000008</v>
      </c>
      <c r="M5" s="83" cm="1">
        <f t="array" aca="1" ref="M5" ca="1">INDIRECT("'MC_Supply Price "&amp;K$2&amp;"'!D"&amp;MATCH($B5,'MC_Supply Price RNG Tranche 1'!$A:$A,0)+VALUE(RIGHT($B$1,LEN($B$1)-7))-1)</f>
        <v>10.097</v>
      </c>
      <c r="N5" s="82">
        <f t="shared" ca="1" si="3"/>
        <v>23874165.331479602</v>
      </c>
      <c r="O5" s="84">
        <f ca="1">SUM(N$4:N5)</f>
        <v>40427010.420111597</v>
      </c>
      <c r="P5" s="81" cm="1">
        <f t="array" aca="1" ref="P5" ca="1">INDIRECT("'Compliance Resources by State'!K"&amp;MATCH($B$1,'Demand by State by ST'!$E:$E,0)+($B5-2022))</f>
        <v>0</v>
      </c>
      <c r="Q5" s="82">
        <f t="shared" ca="1" si="4"/>
        <v>0</v>
      </c>
      <c r="R5" s="83" cm="1">
        <f t="array" aca="1" ref="R5" ca="1">INDIRECT("'MC_Supply Price "&amp;P$2&amp;"'!D"&amp;MATCH($B5,'MC_Supply Price RNG Tranche 2'!$A:$A,0)+VALUE(RIGHT($B$1,LEN($B$1)-7))-1)</f>
        <v>15.097</v>
      </c>
      <c r="S5" s="82">
        <f t="shared" ca="1" si="5"/>
        <v>0</v>
      </c>
      <c r="T5" s="84">
        <f ca="1">SUM(S$4:S5)</f>
        <v>0</v>
      </c>
      <c r="U5" s="81" cm="1">
        <f t="array" aca="1" ref="U5" ca="1">INDIRECT("'Compliance Resources by State'!I"&amp;MATCH($B$1,'Demand by State by ST'!$E:$E,0)+($B5-2022))</f>
        <v>0</v>
      </c>
      <c r="V5" s="82">
        <f t="shared" ca="1" si="6"/>
        <v>0</v>
      </c>
      <c r="W5" s="83" cm="1">
        <f t="array" aca="1" ref="W5" ca="1">INDIRECT("'MC_Supply Price "&amp;U$2&amp;"'!D"&amp;MATCH($B5,'MC_Supply Price Hydrogen'!$A:$A,0)+VALUE(RIGHT($B$1,LEN($B$1)-7))-1)</f>
        <v>17.887</v>
      </c>
      <c r="X5" s="82">
        <f t="shared" ca="1" si="7"/>
        <v>0</v>
      </c>
      <c r="Y5" s="90">
        <f ca="1">SUM(X$4:X5)</f>
        <v>0</v>
      </c>
      <c r="Z5" s="81" cm="1">
        <f t="array" aca="1" ref="Z5" ca="1">INDIRECT("'Compliance Resources by State'!L"&amp;MATCH($B$1,'Demand by State by ST'!$E:$E,0)+($B5-2022))</f>
        <v>0</v>
      </c>
      <c r="AA5" s="82">
        <f t="shared" ca="1" si="8"/>
        <v>0</v>
      </c>
      <c r="AB5" s="83" cm="1">
        <f t="array" aca="1" ref="AB5" ca="1">INDIRECT("'MC_Supply Price Synthetic Metha'!D"&amp;MATCH($B5,'MC_Supply Price Synthetic Metha'!$A:$A,0)+VALUE(RIGHT($B$1,LEN($B$1)-7))-1)</f>
        <v>25.146000000000001</v>
      </c>
      <c r="AC5" s="82">
        <f t="shared" ca="1" si="9"/>
        <v>0</v>
      </c>
      <c r="AD5" s="82">
        <f ca="1">SUM(AC$4:AC5)</f>
        <v>0</v>
      </c>
      <c r="AE5" s="127">
        <f t="shared" ca="1" si="10"/>
        <v>4.9732769933516975E-2</v>
      </c>
      <c r="AF5" s="128">
        <f t="shared" ca="1" si="11"/>
        <v>0</v>
      </c>
      <c r="AG5" s="128">
        <f t="shared" ca="1" si="12"/>
        <v>0</v>
      </c>
      <c r="AH5" s="82">
        <f t="shared" ca="1" si="13"/>
        <v>4166.4454788000003</v>
      </c>
      <c r="AI5" s="156">
        <f t="shared" ca="1" si="14"/>
        <v>3.3688462123685287E-2</v>
      </c>
      <c r="AJ5" s="90">
        <f ca="1">VLOOKUP('Compliance Data'!$B5,'Notes and Scenario Inputs'!$B$57:$C$86,2,FALSE)*'Compliance Data'!C5</f>
        <v>3635.2557500520002</v>
      </c>
      <c r="AK5" s="105">
        <f>IF(VALUE(RIGHT($B$1,LEN($B$1)-7))=1,0,VLOOKUP($B5,'Load Reductions'!$1:$30,VALUE(RIGHT($B$1,LEN($B$1)-7)),FALSE))</f>
        <v>-203.78678593750001</v>
      </c>
      <c r="AL5" s="105">
        <f>IF(VALUE(RIGHT($B$1,LEN($B$1)-7))=1,0,VLOOKUP($B5,'Load Reductions'!$1:$30,VALUE(RIGHT($B$1,LEN($B$1)-7)+9),FALSE))</f>
        <v>0</v>
      </c>
      <c r="AM5" s="155">
        <f>IF(VALUE(RIGHT($B$1,LEN($B$1)-7))=1,0,VLOOKUP($B5,'Load Reductions'!$1:$30,VALUE(RIGHT($B$1,LEN($B$1)-7)+18),FALSE))</f>
        <v>343.81080937500002</v>
      </c>
      <c r="AN5" s="105">
        <f>IF(VALUE(RIGHT($B$1,LEN($B$1)-7))=1,0,VLOOKUP($B5,'Load Reductions'!$1:$30,VALUE(RIGHT($B$1,LEN($B$1)-7)+27),FALSE))</f>
        <v>772.05213749999996</v>
      </c>
      <c r="AO5" s="135">
        <f>VLOOKUP($B5,'Oregon DSM Scenario Costs'!$A$1:$BN$30,RIGHT($B$1,LEN($B$1)-7)+56,FALSE)</f>
        <v>0</v>
      </c>
      <c r="AP5" s="96">
        <f t="shared" ca="1" si="15"/>
        <v>107908.03500336001</v>
      </c>
      <c r="AQ5" s="105">
        <f>'Fixed Contracts'!C5</f>
        <v>788.99997000000008</v>
      </c>
      <c r="AR5" s="82">
        <f>'Fixed Contracts'!B5</f>
        <v>1200.1199999999999</v>
      </c>
      <c r="AS5" s="82">
        <f t="shared" ref="AS5:AS32" ca="1" si="61">(AQ5+E5)--K5-P5-U5-Z5-H5</f>
        <v>114388.69890936</v>
      </c>
      <c r="AT5" s="82">
        <f t="shared" ca="1" si="16"/>
        <v>102541.46952456002</v>
      </c>
      <c r="AU5" s="113">
        <f t="shared" ca="1" si="17"/>
        <v>40427010.420111597</v>
      </c>
      <c r="AV5" s="139">
        <f t="shared" ca="1" si="18"/>
        <v>0.37464318962765647</v>
      </c>
      <c r="AW5" s="116">
        <f t="shared" ca="1" si="19"/>
        <v>0</v>
      </c>
      <c r="AX5" s="139">
        <f t="shared" ca="1" si="20"/>
        <v>0</v>
      </c>
      <c r="AY5" s="116">
        <f t="shared" si="21"/>
        <v>0</v>
      </c>
      <c r="AZ5" s="141">
        <f t="shared" ca="1" si="22"/>
        <v>0</v>
      </c>
      <c r="BA5" s="116">
        <f t="shared" ca="1" si="23"/>
        <v>40427010.420111597</v>
      </c>
      <c r="BB5" s="112">
        <f t="shared" ca="1" si="24"/>
        <v>0.37464318962765647</v>
      </c>
      <c r="BC5" s="102" cm="1">
        <f t="array" aca="1" ref="BC5" ca="1">INDIRECT("'Emissions by State'!H"&amp;MATCH($B$1,'Demand by State by ST'!$E:$E,0)+($B5-2022))</f>
        <v>6012347.91636186</v>
      </c>
      <c r="BD5" s="82">
        <f t="shared" ca="1" si="25"/>
        <v>5454311.8445047345</v>
      </c>
      <c r="BE5" s="82"/>
      <c r="BF5" s="90">
        <v>5703516.346153846</v>
      </c>
      <c r="BG5" s="4">
        <f t="shared" ca="1" si="26"/>
        <v>4695736.9950911468</v>
      </c>
      <c r="BH5">
        <v>2023</v>
      </c>
      <c r="BI5" s="92" cm="1">
        <f t="array" aca="1" ref="BI5" ca="1">INDIRECT("'Demand by State by ST'!I"&amp;MATCH($B$1,'Demand by State by ST'!$E:$E,0)+($B5-2022))</f>
        <v>8766.3530006399997</v>
      </c>
      <c r="BJ5" s="93" cm="1">
        <f t="array" aca="1" ref="BJ5" ca="1">INDIRECT("'Demand by State by ST'!K"&amp;MATCH($B$1,'Demand by State by ST'!$E:$E,0)+($B5-2022))</f>
        <v>1692.046002</v>
      </c>
      <c r="BK5" s="96" cm="1">
        <f t="array" aca="1" ref="BK5" ca="1">INDIRECT("'Gas Flow by State'!I"&amp;MATCH($B$1,'Demand by State by ST'!$E:$E,0)+($B5-2022))</f>
        <v>10458.398999999999</v>
      </c>
      <c r="BL5" s="118">
        <f t="shared" ca="1" si="27"/>
        <v>4.128230896009244</v>
      </c>
      <c r="BM5" s="93">
        <f t="shared" ca="1" si="28"/>
        <v>43174685.874592178</v>
      </c>
      <c r="BN5" s="81" cm="1">
        <f t="array" aca="1" ref="BN5" ca="1">INDIRECT("'Compliance Resources by State'!M"&amp;MATCH($B$1,'Demand by State by ST'!$E:$E,0)+($B5-2022))</f>
        <v>0</v>
      </c>
      <c r="BO5" s="83">
        <f>VLOOKUP(DATE($BH5,1,1),'MC_Allowance Price'!$A:$K,VALUE(RIGHT($B$1,LEN($B$1)-7))+1,FALSE)</f>
        <v>1.6672001480120395</v>
      </c>
      <c r="BP5">
        <v>5.22</v>
      </c>
      <c r="BQ5" s="90">
        <f t="shared" ca="1" si="29"/>
        <v>0</v>
      </c>
      <c r="BR5" s="81" cm="1">
        <f t="array" aca="1" ref="BR5" ca="1">INDIRECT("'Compliance Resources by State'!O"&amp;MATCH($B$1,'Demand by State by ST'!$E:$E,0)+($B5-2022))</f>
        <v>897.83990519999998</v>
      </c>
      <c r="BS5" s="83">
        <f>VLOOKUP(DATE($BH5,1,1),'MC_Supply Price Offsets'!$A:$K,VALUE(RIGHT($B$1,LEN($B$1)-7))+1,FALSE)</f>
        <v>0.63</v>
      </c>
      <c r="BT5" s="90">
        <f t="shared" ca="1" si="30"/>
        <v>565639.14027600002</v>
      </c>
      <c r="BU5" s="81" cm="1">
        <f t="array" aca="1" ref="BU5" ca="1">INDIRECT("'Compliance Resources by State'!P"&amp;MATCH($B$1,'Demand by State by ST'!$E:$E,0)+($B5-2022))</f>
        <v>874.69721279999999</v>
      </c>
      <c r="BV5" s="82">
        <f t="shared" ca="1" si="31"/>
        <v>1688.6654399999998</v>
      </c>
      <c r="BW5" s="83">
        <f t="shared" ca="1" si="32"/>
        <v>10.097</v>
      </c>
      <c r="BX5" s="82">
        <f t="shared" ca="1" si="33"/>
        <v>6223416.0559031991</v>
      </c>
      <c r="BY5" s="84">
        <f ca="1">SUM(BX$4:BX5)</f>
        <v>8596475.1855623983</v>
      </c>
      <c r="BZ5" s="81" cm="1">
        <f t="array" aca="1" ref="BZ5" ca="1">INDIRECT("'Compliance Resources by State'!Q"&amp;MATCH($B$1,'Demand by State by ST'!$E:$E,0)+($B5-2022))</f>
        <v>0</v>
      </c>
      <c r="CA5" s="82">
        <f t="shared" ca="1" si="34"/>
        <v>0</v>
      </c>
      <c r="CB5" s="83">
        <f t="shared" ca="1" si="35"/>
        <v>15.097</v>
      </c>
      <c r="CC5" s="82">
        <f t="shared" ca="1" si="36"/>
        <v>0</v>
      </c>
      <c r="CD5" s="84">
        <f ca="1">SUM(CC$4:CC5)</f>
        <v>0</v>
      </c>
      <c r="CE5" s="81" cm="1">
        <f t="array" aca="1" ref="CE5" ca="1">INDIRECT("'Compliance Resources by State'!N"&amp;MATCH($B$1,'Demand by State by ST'!$E:$E,0)+($B5-2022))</f>
        <v>0</v>
      </c>
      <c r="CF5" s="82">
        <f t="shared" ca="1" si="37"/>
        <v>0</v>
      </c>
      <c r="CG5" s="83">
        <f t="shared" ca="1" si="38"/>
        <v>17.887</v>
      </c>
      <c r="CH5" s="82">
        <f t="shared" ca="1" si="39"/>
        <v>0</v>
      </c>
      <c r="CI5" s="84">
        <f ca="1">SUM(CH$4:CH5)</f>
        <v>0</v>
      </c>
      <c r="CJ5" s="81" cm="1">
        <f t="array" aca="1" ref="CJ5" ca="1">INDIRECT("'Compliance Resources by State'!R"&amp;MATCH($B$1,'Demand by State by ST'!$E:$E,0)+($B5-2022))</f>
        <v>0</v>
      </c>
      <c r="CK5" s="82">
        <f t="shared" ca="1" si="40"/>
        <v>0</v>
      </c>
      <c r="CL5" s="83">
        <f t="shared" ca="1" si="41"/>
        <v>25.146000000000001</v>
      </c>
      <c r="CM5" s="82">
        <f t="shared" ca="1" si="42"/>
        <v>0</v>
      </c>
      <c r="CN5" s="84">
        <f ca="1">SUM(CM$4:CM5)</f>
        <v>0</v>
      </c>
      <c r="CO5" s="161">
        <f t="shared" ca="1" si="43"/>
        <v>8.3635861720250046E-2</v>
      </c>
      <c r="CP5" s="128">
        <f t="shared" ca="1" si="44"/>
        <v>0</v>
      </c>
      <c r="CQ5" s="128">
        <f t="shared" ca="1" si="45"/>
        <v>0</v>
      </c>
      <c r="CR5" s="160">
        <f t="shared" ca="1" si="46"/>
        <v>4.1910587836757433E-2</v>
      </c>
      <c r="CS5" s="159">
        <f ca="1">VLOOKUP('Compliance Data'!$B5,'Notes and Scenario Inputs'!$B$57:$C$86,2,FALSE)*BI5</f>
        <v>438.31765003200002</v>
      </c>
      <c r="CT5" s="120">
        <f t="shared" ca="1" si="47"/>
        <v>874.69721279999999</v>
      </c>
      <c r="CU5" s="83">
        <f ca="1">'Notes and Scenario Inputs'!C59*'Compliance Data'!BI5-'Compliance Data'!CV5</f>
        <v>398.78490180202084</v>
      </c>
      <c r="CV5" s="90">
        <f t="shared" ca="1" si="48"/>
        <v>39.532748229979198</v>
      </c>
      <c r="CW5" s="104">
        <f>IF(VALUE(RIGHT($B$1,LEN($B$1)-7))=1,0,VLOOKUP($B5,'Load Reductions'!$1:$30,VALUE(RIGHT($B$1,LEN($B$1)-7)+39),FALSE))</f>
        <v>0</v>
      </c>
      <c r="CX5" s="105">
        <f>IF(VALUE(RIGHT($B$1,LEN($B$1)-7))=1,0,VLOOKUP($B5,'Load Reductions'!$1:$30,VALUE(RIGHT($B$1,LEN($B$1)-7)+48),FALSE))</f>
        <v>0</v>
      </c>
      <c r="CY5" s="105">
        <f>IF(VALUE(RIGHT($B$1,LEN($B$1)-7))=1,0,VLOOKUP($B5,'Load Reductions'!$1:$30,VALUE(RIGHT($B$1,LEN($B$1)-7)+57),FALSE))</f>
        <v>20.4033359375</v>
      </c>
      <c r="CZ5" s="105">
        <f>IF(VALUE(RIGHT($B$1,LEN($B$1)-7))=1,0,VLOOKUP($B5,'Load Reductions'!$1:$30,VALUE(RIGHT($B$1,LEN($B$1)-7)+66),FALSE))</f>
        <v>37.103385937500001</v>
      </c>
      <c r="DA5" s="136">
        <f>IF(AND($B5 = 2022, $B$1&lt;&gt;"Sample 3"), 0, VLOOKUP($B5,'Washington DSM Scenario Costs'!$A$1:$BN$30,RIGHT($B$1,LEN($B$1)-7)+56,FALSE))</f>
        <v>0</v>
      </c>
      <c r="DB5" s="96">
        <f t="shared" ca="1" si="49"/>
        <v>10458.399002639999</v>
      </c>
      <c r="DC5" s="82">
        <f t="shared" ca="1" si="50"/>
        <v>8685.8618819999992</v>
      </c>
      <c r="DD5" s="82">
        <f t="shared" ca="1" si="51"/>
        <v>8685.8618846399986</v>
      </c>
      <c r="DE5" s="81">
        <f t="shared" ca="1" si="52"/>
        <v>8596475.1855623983</v>
      </c>
      <c r="DF5" s="143">
        <f t="shared" ca="1" si="53"/>
        <v>0.82196856166918109</v>
      </c>
      <c r="DG5" s="82">
        <f t="shared" ca="1" si="54"/>
        <v>565639.14027600002</v>
      </c>
      <c r="DH5" s="145">
        <f t="shared" ca="1" si="55"/>
        <v>5.4084677791812731E-2</v>
      </c>
      <c r="DI5" s="82">
        <f t="shared" ref="DI5:DI32" si="62">DA5</f>
        <v>0</v>
      </c>
      <c r="DJ5" s="143">
        <f t="shared" ca="1" si="56"/>
        <v>0</v>
      </c>
      <c r="DK5" s="116">
        <f t="shared" ca="1" si="57"/>
        <v>9162114.3258383982</v>
      </c>
      <c r="DL5" s="112">
        <f t="shared" ca="1" si="58"/>
        <v>0.87605323946099378</v>
      </c>
      <c r="DM5" s="102" cm="1">
        <f t="array" aca="1" ref="DM5" ca="1">INDIRECT("'Emissions by State'!I"&amp;MATCH($B$1,'Demand by State by ST'!$E:$E,0)+($B5-2022))</f>
        <v>509448.00000001001</v>
      </c>
      <c r="DN5" s="82">
        <f t="shared" ca="1" si="59"/>
        <v>462163.58388000907</v>
      </c>
      <c r="DO5" s="124"/>
      <c r="DP5" s="58">
        <v>462168.3</v>
      </c>
      <c r="DQ5" s="4">
        <f t="shared" ca="1" si="60"/>
        <v>88.865405592950992</v>
      </c>
    </row>
    <row r="6" spans="1:123" x14ac:dyDescent="0.25">
      <c r="A6">
        <v>366</v>
      </c>
      <c r="B6">
        <v>2024</v>
      </c>
      <c r="C6" s="92" cm="1">
        <f t="array" aca="1" ref="C6" ca="1">INDIRECT("'Demand by State by ST'!H"&amp;MATCH($B$1,'Demand by State by ST'!$E:$E,0)+($B6-2022))</f>
        <v>73233.764998800005</v>
      </c>
      <c r="D6" s="100" cm="1">
        <f t="array" aca="1" ref="D6" ca="1">INDIRECT("'Demand by State by ST'!J"&amp;MATCH($B$1,'Demand by State by ST'!$E:$E,0)+($B6-2022))</f>
        <v>34386.858009360003</v>
      </c>
      <c r="E6" s="96" cm="1">
        <f t="array" aca="1" ref="E6" ca="1">INDIRECT("'Gas Flow by State'!H"&amp;MATCH($B$1,'Demand by State by ST'!$E:$E,0)+($B6-2022))</f>
        <v>105060.73794096</v>
      </c>
      <c r="F6" s="98">
        <f ca="1">VLOOKUP($B6,'WACOG Calc'!$B$49:$L$78,VALUE(RIGHT($B$1,LEN($B$1)-7))+1,FALSE)</f>
        <v>3.3702713618086424</v>
      </c>
      <c r="G6" s="90">
        <f t="shared" ca="1" si="0"/>
        <v>354083196.33290017</v>
      </c>
      <c r="H6" s="82" cm="1">
        <f t="array" aca="1" ref="H6" ca="1">INDIRECT("'Compliance Resources by State'!H"&amp;MATCH($B$1,'Demand by State by ST'!$E:$E,0)+($B6-2022))</f>
        <v>0</v>
      </c>
      <c r="I6" s="83" cm="1">
        <f t="array" aca="1" ref="I6" ca="1">INDIRECT("'OR CCI Price'!C"&amp;MATCH($B6,'OR CCI Price'!$A:$A,0))</f>
        <v>5.8393499999999996</v>
      </c>
      <c r="J6" s="90">
        <f t="shared" ca="1" si="1"/>
        <v>0</v>
      </c>
      <c r="K6" s="81" cm="1">
        <f t="array" aca="1" ref="K6" ca="1">INDIRECT("'Compliance Resources by State'!J"&amp;MATCH($B$1,'Demand by State by ST'!$E:$E,0)+($B6-2022))</f>
        <v>4177.8603979199997</v>
      </c>
      <c r="L6" s="82">
        <f t="shared" ca="1" si="2"/>
        <v>0</v>
      </c>
      <c r="M6" s="83" cm="1">
        <f t="array" aca="1" ref="M6" ca="1">INDIRECT("'MC_Supply Price "&amp;K$2&amp;"'!D"&amp;MATCH($B6,'MC_Supply Price RNG Tranche 1'!$A:$A,0)+VALUE(RIGHT($B$1,LEN($B$1)-7))-1)</f>
        <v>11.236000000000001</v>
      </c>
      <c r="N6" s="82">
        <f t="shared" ca="1" si="3"/>
        <v>0</v>
      </c>
      <c r="O6" s="84">
        <f ca="1">SUM(N$4:N6)</f>
        <v>40427010.420111597</v>
      </c>
      <c r="P6" s="81" cm="1">
        <f t="array" aca="1" ref="P6" ca="1">INDIRECT("'Compliance Resources by State'!K"&amp;MATCH($B$1,'Demand by State by ST'!$E:$E,0)+($B6-2022))</f>
        <v>0</v>
      </c>
      <c r="Q6" s="82">
        <f t="shared" ca="1" si="4"/>
        <v>0</v>
      </c>
      <c r="R6" s="83" cm="1">
        <f t="array" aca="1" ref="R6" ca="1">INDIRECT("'MC_Supply Price "&amp;P$2&amp;"'!D"&amp;MATCH($B6,'MC_Supply Price RNG Tranche 2'!$A:$A,0)+VALUE(RIGHT($B$1,LEN($B$1)-7))-1)</f>
        <v>16.236000000000001</v>
      </c>
      <c r="S6" s="82">
        <f t="shared" ca="1" si="5"/>
        <v>0</v>
      </c>
      <c r="T6" s="84">
        <f ca="1">SUM(S$4:S6)</f>
        <v>0</v>
      </c>
      <c r="U6" s="81" cm="1">
        <f t="array" aca="1" ref="U6" ca="1">INDIRECT("'Compliance Resources by State'!I"&amp;MATCH($B$1,'Demand by State by ST'!$E:$E,0)+($B6-2022))</f>
        <v>0</v>
      </c>
      <c r="V6" s="82">
        <f t="shared" ca="1" si="6"/>
        <v>0</v>
      </c>
      <c r="W6" s="83" cm="1">
        <f t="array" aca="1" ref="W6" ca="1">INDIRECT("'MC_Supply Price "&amp;U$2&amp;"'!D"&amp;MATCH($B6,'MC_Supply Price Hydrogen'!$A:$A,0)+VALUE(RIGHT($B$1,LEN($B$1)-7))-1)</f>
        <v>17.576000000000001</v>
      </c>
      <c r="X6" s="82">
        <f t="shared" ca="1" si="7"/>
        <v>0</v>
      </c>
      <c r="Y6" s="90">
        <f ca="1">SUM(X$4:X6)</f>
        <v>0</v>
      </c>
      <c r="Z6" s="81" cm="1">
        <f t="array" aca="1" ref="Z6" ca="1">INDIRECT("'Compliance Resources by State'!L"&amp;MATCH($B$1,'Demand by State by ST'!$E:$E,0)+($B6-2022))</f>
        <v>0</v>
      </c>
      <c r="AA6" s="82">
        <f t="shared" ca="1" si="8"/>
        <v>0</v>
      </c>
      <c r="AB6" s="83" cm="1">
        <f t="array" aca="1" ref="AB6" ca="1">INDIRECT("'MC_Supply Price Synthetic Metha'!D"&amp;MATCH($B6,'MC_Supply Price Synthetic Metha'!$A:$A,0)+VALUE(RIGHT($B$1,LEN($B$1)-7))-1)</f>
        <v>24.722999999999999</v>
      </c>
      <c r="AC6" s="82">
        <f t="shared" ca="1" si="9"/>
        <v>0</v>
      </c>
      <c r="AD6" s="82">
        <f ca="1">SUM(AC$4:AC6)</f>
        <v>0</v>
      </c>
      <c r="AE6" s="127">
        <f t="shared" ca="1" si="10"/>
        <v>5.1036059460681113E-2</v>
      </c>
      <c r="AF6" s="128">
        <f t="shared" ca="1" si="11"/>
        <v>0</v>
      </c>
      <c r="AG6" s="128">
        <f t="shared" ca="1" si="12"/>
        <v>0</v>
      </c>
      <c r="AH6" s="82">
        <f t="shared" ca="1" si="13"/>
        <v>4177.8603979199997</v>
      </c>
      <c r="AI6" s="156">
        <f t="shared" ca="1" si="14"/>
        <v>5.1036058158607255E-2</v>
      </c>
      <c r="AJ6" s="90">
        <f ca="1">VLOOKUP('Compliance Data'!$B6,'Notes and Scenario Inputs'!$B$57:$C$86,2,FALSE)*'Compliance Data'!C6</f>
        <v>5492.5323749099998</v>
      </c>
      <c r="AK6" s="105">
        <f>IF(VALUE(RIGHT($B$1,LEN($B$1)-7))=1,0,VLOOKUP($B6,'Load Reductions'!$1:$30,VALUE(RIGHT($B$1,LEN($B$1)-7)),FALSE))</f>
        <v>-392.7537375</v>
      </c>
      <c r="AL6" s="105">
        <f>IF(VALUE(RIGHT($B$1,LEN($B$1)-7))=1,0,VLOOKUP($B6,'Load Reductions'!$1:$30,VALUE(RIGHT($B$1,LEN($B$1)-7)+9),FALSE))</f>
        <v>0</v>
      </c>
      <c r="AM6" s="155">
        <f>IF(VALUE(RIGHT($B$1,LEN($B$1)-7))=1,0,VLOOKUP($B6,'Load Reductions'!$1:$30,VALUE(RIGHT($B$1,LEN($B$1)-7)+18),FALSE))</f>
        <v>687.12979843749997</v>
      </c>
      <c r="AN6" s="105">
        <f>IF(VALUE(RIGHT($B$1,LEN($B$1)-7))=1,0,VLOOKUP($B6,'Load Reductions'!$1:$30,VALUE(RIGHT($B$1,LEN($B$1)-7)+27),FALSE))</f>
        <v>1542.00335625</v>
      </c>
      <c r="AO6" s="135">
        <f>VLOOKUP($B6,'Oregon DSM Scenario Costs'!$A$1:$BN$30,RIGHT($B$1,LEN($B$1)-7)+56,FALSE)</f>
        <v>0</v>
      </c>
      <c r="AP6" s="96">
        <f t="shared" ca="1" si="15"/>
        <v>107620.62300816001</v>
      </c>
      <c r="AQ6" s="105">
        <f>'Fixed Contracts'!C6</f>
        <v>770.99996999999996</v>
      </c>
      <c r="AR6" s="82">
        <f>'Fixed Contracts'!B6</f>
        <v>1314.6721171200002</v>
      </c>
      <c r="AS6" s="82">
        <f t="shared" ca="1" si="61"/>
        <v>110009.59830888</v>
      </c>
      <c r="AT6" s="82">
        <f t="shared" ca="1" si="16"/>
        <v>102128.09049312001</v>
      </c>
      <c r="AU6" s="113">
        <f t="shared" ca="1" si="17"/>
        <v>40427010.420111597</v>
      </c>
      <c r="AV6" s="139">
        <f t="shared" ca="1" si="18"/>
        <v>0.37564371298098082</v>
      </c>
      <c r="AW6" s="116">
        <f t="shared" ca="1" si="19"/>
        <v>0</v>
      </c>
      <c r="AX6" s="139">
        <f t="shared" ca="1" si="20"/>
        <v>0</v>
      </c>
      <c r="AY6" s="116">
        <f t="shared" si="21"/>
        <v>0</v>
      </c>
      <c r="AZ6" s="141">
        <f t="shared" ca="1" si="22"/>
        <v>0</v>
      </c>
      <c r="BA6" s="116">
        <f t="shared" ca="1" si="23"/>
        <v>40427010.420111597</v>
      </c>
      <c r="BB6" s="112">
        <f t="shared" ca="1" si="24"/>
        <v>0.37564371298098082</v>
      </c>
      <c r="BC6" s="102" cm="1">
        <f t="array" aca="1" ref="BC6" ca="1">INDIRECT("'Emissions by State'!H"&amp;MATCH($B$1,'Demand by State by ST'!$E:$E,0)+($B6-2022))</f>
        <v>5988128.8344965996</v>
      </c>
      <c r="BD6" s="82">
        <f t="shared" ca="1" si="25"/>
        <v>5432340.656722798</v>
      </c>
      <c r="BE6" s="82"/>
      <c r="BF6" s="90">
        <v>5475375.692307692</v>
      </c>
      <c r="BG6" s="4">
        <f t="shared" ca="1" si="26"/>
        <v>810905.12949717115</v>
      </c>
      <c r="BH6">
        <v>2024</v>
      </c>
      <c r="BI6" s="92" cm="1">
        <f t="array" aca="1" ref="BI6" ca="1">INDIRECT("'Demand by State by ST'!I"&amp;MATCH($B$1,'Demand by State by ST'!$E:$E,0)+($B6-2022))</f>
        <v>8868.04900008</v>
      </c>
      <c r="BJ6" s="93" cm="1">
        <f t="array" aca="1" ref="BJ6" ca="1">INDIRECT("'Demand by State by ST'!K"&amp;MATCH($B$1,'Demand by State by ST'!$E:$E,0)+($B6-2022))</f>
        <v>1651.47700704</v>
      </c>
      <c r="BK6" s="96" cm="1">
        <f t="array" aca="1" ref="BK6" ca="1">INDIRECT("'Gas Flow by State'!I"&amp;MATCH($B$1,'Demand by State by ST'!$E:$E,0)+($B6-2022))</f>
        <v>10519.52600184</v>
      </c>
      <c r="BL6" s="118">
        <f t="shared" ca="1" si="27"/>
        <v>3.3702713618086424</v>
      </c>
      <c r="BM6" s="93">
        <f t="shared" ca="1" si="28"/>
        <v>35453657.223802723</v>
      </c>
      <c r="BN6" s="81" cm="1">
        <f t="array" aca="1" ref="BN6" ca="1">INDIRECT("'Compliance Resources by State'!M"&amp;MATCH($B$1,'Demand by State by ST'!$E:$E,0)+($B6-2022))</f>
        <v>0</v>
      </c>
      <c r="BO6" s="83">
        <f>VLOOKUP(DATE($BH6,1,1),'MC_Allowance Price'!$A:$K,VALUE(RIGHT($B$1,LEN($B$1)-7))+1,FALSE)</f>
        <v>1.8303953216936328</v>
      </c>
      <c r="BP6">
        <v>5.32</v>
      </c>
      <c r="BQ6" s="90">
        <f t="shared" ca="1" si="29"/>
        <v>0</v>
      </c>
      <c r="BR6" s="81" cm="1">
        <f t="array" aca="1" ref="BR6" ca="1">INDIRECT("'Compliance Resources by State'!O"&amp;MATCH($B$1,'Demand by State by ST'!$E:$E,0)+($B6-2022))</f>
        <v>1566.29260776</v>
      </c>
      <c r="BS6" s="83">
        <f>VLOOKUP(DATE($BH6,1,1),'MC_Supply Price Offsets'!$A:$K,VALUE(RIGHT($B$1,LEN($B$1)-7))+1,FALSE)</f>
        <v>0.68500000000000005</v>
      </c>
      <c r="BT6" s="90">
        <f t="shared" ca="1" si="30"/>
        <v>1072910.4363156001</v>
      </c>
      <c r="BU6" s="81" cm="1">
        <f t="array" aca="1" ref="BU6" ca="1">INDIRECT("'Compliance Resources by State'!P"&amp;MATCH($B$1,'Demand by State by ST'!$E:$E,0)+($B6-2022))</f>
        <v>877.09364352</v>
      </c>
      <c r="BV6" s="82">
        <f t="shared" ca="1" si="31"/>
        <v>4.5474735088646412E-13</v>
      </c>
      <c r="BW6" s="83">
        <f t="shared" ca="1" si="32"/>
        <v>11.236000000000001</v>
      </c>
      <c r="BX6" s="82">
        <f t="shared" ca="1" si="33"/>
        <v>1.8700920918490739E-9</v>
      </c>
      <c r="BY6" s="84">
        <f ca="1">SUM(BX$4:BX6)</f>
        <v>8596475.1855624001</v>
      </c>
      <c r="BZ6" s="81" cm="1">
        <f t="array" aca="1" ref="BZ6" ca="1">INDIRECT("'Compliance Resources by State'!Q"&amp;MATCH($B$1,'Demand by State by ST'!$E:$E,0)+($B6-2022))</f>
        <v>0</v>
      </c>
      <c r="CA6" s="82">
        <f t="shared" ca="1" si="34"/>
        <v>0</v>
      </c>
      <c r="CB6" s="83">
        <f t="shared" ca="1" si="35"/>
        <v>16.236000000000001</v>
      </c>
      <c r="CC6" s="82">
        <f t="shared" ca="1" si="36"/>
        <v>0</v>
      </c>
      <c r="CD6" s="84">
        <f ca="1">SUM(CC$4:CC6)</f>
        <v>0</v>
      </c>
      <c r="CE6" s="81" cm="1">
        <f t="array" aca="1" ref="CE6" ca="1">INDIRECT("'Compliance Resources by State'!N"&amp;MATCH($B$1,'Demand by State by ST'!$E:$E,0)+($B6-2022))</f>
        <v>0</v>
      </c>
      <c r="CF6" s="82">
        <f t="shared" ca="1" si="37"/>
        <v>0</v>
      </c>
      <c r="CG6" s="83">
        <f t="shared" ca="1" si="38"/>
        <v>17.576000000000001</v>
      </c>
      <c r="CH6" s="82">
        <f t="shared" ca="1" si="39"/>
        <v>0</v>
      </c>
      <c r="CI6" s="84">
        <f ca="1">SUM(CH$4:CH6)</f>
        <v>0</v>
      </c>
      <c r="CJ6" s="81" cm="1">
        <f t="array" aca="1" ref="CJ6" ca="1">INDIRECT("'Compliance Resources by State'!R"&amp;MATCH($B$1,'Demand by State by ST'!$E:$E,0)+($B6-2022))</f>
        <v>0</v>
      </c>
      <c r="CK6" s="82">
        <f t="shared" ca="1" si="40"/>
        <v>0</v>
      </c>
      <c r="CL6" s="83">
        <f t="shared" ca="1" si="41"/>
        <v>24.722999999999999</v>
      </c>
      <c r="CM6" s="82">
        <f t="shared" ca="1" si="42"/>
        <v>0</v>
      </c>
      <c r="CN6" s="84">
        <f ca="1">SUM(CM$4:CM6)</f>
        <v>0</v>
      </c>
      <c r="CO6" s="127">
        <f t="shared" ca="1" si="43"/>
        <v>8.3377677181115481E-2</v>
      </c>
      <c r="CP6" s="128">
        <f t="shared" ca="1" si="44"/>
        <v>0</v>
      </c>
      <c r="CQ6" s="128">
        <f t="shared" ca="1" si="45"/>
        <v>0</v>
      </c>
      <c r="CR6" s="128">
        <f t="shared" ca="1" si="46"/>
        <v>6.3225631511898306E-2</v>
      </c>
      <c r="CS6" s="159">
        <f ca="1">VLOOKUP('Compliance Data'!$B6,'Notes and Scenario Inputs'!$B$57:$C$86,2,FALSE)*BI6</f>
        <v>665.103675006</v>
      </c>
      <c r="CT6" s="120">
        <f t="shared" ca="1" si="47"/>
        <v>877.09364352</v>
      </c>
      <c r="CU6" s="83">
        <f ca="1">'Notes and Scenario Inputs'!C60*'Compliance Data'!BI6-'Compliance Data'!CV6</f>
        <v>625.33986669908643</v>
      </c>
      <c r="CV6" s="90">
        <f t="shared" ca="1" si="48"/>
        <v>39.763808306913596</v>
      </c>
      <c r="CW6" s="104">
        <f>IF(VALUE(RIGHT($B$1,LEN($B$1)-7))=1,0,VLOOKUP($B6,'Load Reductions'!$1:$30,VALUE(RIGHT($B$1,LEN($B$1)-7)+39),FALSE))</f>
        <v>0</v>
      </c>
      <c r="CX6" s="105">
        <f>IF(VALUE(RIGHT($B$1,LEN($B$1)-7))=1,0,VLOOKUP($B6,'Load Reductions'!$1:$30,VALUE(RIGHT($B$1,LEN($B$1)-7)+48),FALSE))</f>
        <v>0</v>
      </c>
      <c r="CY6" s="105">
        <f>IF(VALUE(RIGHT($B$1,LEN($B$1)-7))=1,0,VLOOKUP($B6,'Load Reductions'!$1:$30,VALUE(RIGHT($B$1,LEN($B$1)-7)+57),FALSE))</f>
        <v>40.751785839843748</v>
      </c>
      <c r="CZ6" s="105">
        <f>IF(VALUE(RIGHT($B$1,LEN($B$1)-7))=1,0,VLOOKUP($B6,'Load Reductions'!$1:$30,VALUE(RIGHT($B$1,LEN($B$1)-7)+66),FALSE))</f>
        <v>74.045815234374999</v>
      </c>
      <c r="DA6" s="136">
        <f>IF(AND($B6 = 2022, $B$1&lt;&gt;"Sample 3"), 0, VLOOKUP($B6,'Washington DSM Scenario Costs'!$A$1:$BN$30,RIGHT($B$1,LEN($B$1)-7)+56,FALSE))</f>
        <v>0</v>
      </c>
      <c r="DB6" s="96">
        <f t="shared" ca="1" si="49"/>
        <v>10519.526007119999</v>
      </c>
      <c r="DC6" s="82">
        <f t="shared" ca="1" si="50"/>
        <v>8076.1397505599998</v>
      </c>
      <c r="DD6" s="82">
        <f t="shared" ca="1" si="51"/>
        <v>8076.1397558399985</v>
      </c>
      <c r="DE6" s="81">
        <f t="shared" ca="1" si="52"/>
        <v>8596475.1855624001</v>
      </c>
      <c r="DF6" s="143">
        <f t="shared" ca="1" si="53"/>
        <v>0.81719225559630659</v>
      </c>
      <c r="DG6" s="82">
        <f t="shared" ca="1" si="54"/>
        <v>1072910.4363156001</v>
      </c>
      <c r="DH6" s="145">
        <f t="shared" ca="1" si="55"/>
        <v>0.10199227946101519</v>
      </c>
      <c r="DI6" s="82">
        <f t="shared" si="62"/>
        <v>0</v>
      </c>
      <c r="DJ6" s="143">
        <f t="shared" ca="1" si="56"/>
        <v>0</v>
      </c>
      <c r="DK6" s="116">
        <f t="shared" ca="1" si="57"/>
        <v>9669385.621878</v>
      </c>
      <c r="DL6" s="112">
        <f t="shared" ca="1" si="58"/>
        <v>0.91918453505732178</v>
      </c>
      <c r="DM6" s="102" cm="1">
        <f t="array" aca="1" ref="DM6" ca="1">INDIRECT("'Emissions by State'!I"&amp;MATCH($B$1,'Demand by State by ST'!$E:$E,0)+($B6-2022))</f>
        <v>473787.00000001001</v>
      </c>
      <c r="DN6" s="82">
        <f t="shared" ca="1" si="59"/>
        <v>429812.4595950091</v>
      </c>
      <c r="DO6" s="124"/>
      <c r="DP6" s="58">
        <v>429816.5</v>
      </c>
      <c r="DQ6" s="4">
        <f t="shared" ca="1" si="60"/>
        <v>76.132971376345949</v>
      </c>
    </row>
    <row r="7" spans="1:123" x14ac:dyDescent="0.25">
      <c r="A7">
        <v>365</v>
      </c>
      <c r="B7">
        <v>2025</v>
      </c>
      <c r="C7" s="92" cm="1">
        <f t="array" aca="1" ref="C7" ca="1">INDIRECT("'Demand by State by ST'!H"&amp;MATCH($B$1,'Demand by State by ST'!$E:$E,0)+($B7-2022))</f>
        <v>71993.280999359995</v>
      </c>
      <c r="D7" s="100" cm="1">
        <f t="array" aca="1" ref="D7" ca="1">INDIRECT("'Demand by State by ST'!J"&amp;MATCH($B$1,'Demand by State by ST'!$E:$E,0)+($B7-2022))</f>
        <v>33058.00300248</v>
      </c>
      <c r="E7" s="96" cm="1">
        <f t="array" aca="1" ref="E7" ca="1">INDIRECT("'Gas Flow by State'!H"&amp;MATCH($B$1,'Demand by State by ST'!$E:$E,0)+($B7-2022))</f>
        <v>104531.8125072</v>
      </c>
      <c r="F7" s="98">
        <f ca="1">VLOOKUP($B7,'WACOG Calc'!$B$49:$L$78,VALUE(RIGHT($B$1,LEN($B$1)-7))+1,FALSE)</f>
        <v>3.3898584988640814</v>
      </c>
      <c r="G7" s="90">
        <f t="shared" ca="1" si="0"/>
        <v>354348053.02919859</v>
      </c>
      <c r="H7" s="82" cm="1">
        <f t="array" aca="1" ref="H7" ca="1">INDIRECT("'Compliance Resources by State'!H"&amp;MATCH($B$1,'Demand by State by ST'!$E:$E,0)+($B7-2022))</f>
        <v>0</v>
      </c>
      <c r="I7" s="83" cm="1">
        <f t="array" aca="1" ref="I7" ca="1">INDIRECT("'OR CCI Price'!C"&amp;MATCH($B7,'OR CCI Price'!$A:$A,0))</f>
        <v>5.8924349999999999</v>
      </c>
      <c r="J7" s="90">
        <f t="shared" ca="1" si="1"/>
        <v>0</v>
      </c>
      <c r="K7" s="81" cm="1">
        <f t="array" aca="1" ref="K7" ca="1">INDIRECT("'Compliance Resources by State'!J"&amp;MATCH($B$1,'Demand by State by ST'!$E:$E,0)+($B7-2022))</f>
        <v>5360.8231236000001</v>
      </c>
      <c r="L7" s="82">
        <f t="shared" ca="1" si="2"/>
        <v>3272.2675200000012</v>
      </c>
      <c r="M7" s="83" cm="1">
        <f t="array" aca="1" ref="M7" ca="1">INDIRECT("'MC_Supply Price "&amp;K$2&amp;"'!D"&amp;MATCH($B7,'MC_Supply Price RNG Tranche 1'!$A:$A,0)+VALUE(RIGHT($B$1,LEN($B$1)-7))-1)</f>
        <v>10.804</v>
      </c>
      <c r="N7" s="82">
        <f t="shared" ca="1" si="3"/>
        <v>12904056.074419206</v>
      </c>
      <c r="O7" s="84">
        <f ca="1">SUM(N$4:N7)</f>
        <v>53331066.494530804</v>
      </c>
      <c r="P7" s="81" cm="1">
        <f t="array" aca="1" ref="P7" ca="1">INDIRECT("'Compliance Resources by State'!K"&amp;MATCH($B$1,'Demand by State by ST'!$E:$E,0)+($B7-2022))</f>
        <v>0</v>
      </c>
      <c r="Q7" s="82">
        <f t="shared" ca="1" si="4"/>
        <v>0</v>
      </c>
      <c r="R7" s="83" cm="1">
        <f t="array" aca="1" ref="R7" ca="1">INDIRECT("'MC_Supply Price "&amp;P$2&amp;"'!D"&amp;MATCH($B7,'MC_Supply Price RNG Tranche 2'!$A:$A,0)+VALUE(RIGHT($B$1,LEN($B$1)-7))-1)</f>
        <v>15.804</v>
      </c>
      <c r="S7" s="82">
        <f t="shared" ca="1" si="5"/>
        <v>0</v>
      </c>
      <c r="T7" s="84">
        <f ca="1">SUM(S$4:S7)</f>
        <v>0</v>
      </c>
      <c r="U7" s="81" cm="1">
        <f t="array" aca="1" ref="U7" ca="1">INDIRECT("'Compliance Resources by State'!I"&amp;MATCH($B$1,'Demand by State by ST'!$E:$E,0)+($B7-2022))</f>
        <v>0</v>
      </c>
      <c r="V7" s="82">
        <f t="shared" ca="1" si="6"/>
        <v>0</v>
      </c>
      <c r="W7" s="83" cm="1">
        <f t="array" aca="1" ref="W7" ca="1">INDIRECT("'MC_Supply Price "&amp;U$2&amp;"'!D"&amp;MATCH($B7,'MC_Supply Price Hydrogen'!$A:$A,0)+VALUE(RIGHT($B$1,LEN($B$1)-7))-1)</f>
        <v>15.694000000000001</v>
      </c>
      <c r="X7" s="82">
        <f t="shared" ca="1" si="7"/>
        <v>0</v>
      </c>
      <c r="Y7" s="90">
        <f ca="1">SUM(X$4:X7)</f>
        <v>0</v>
      </c>
      <c r="Z7" s="81" cm="1">
        <f t="array" aca="1" ref="Z7" ca="1">INDIRECT("'Compliance Resources by State'!L"&amp;MATCH($B$1,'Demand by State by ST'!$E:$E,0)+($B7-2022))</f>
        <v>0</v>
      </c>
      <c r="AA7" s="82">
        <f t="shared" ca="1" si="8"/>
        <v>0</v>
      </c>
      <c r="AB7" s="83" cm="1">
        <f t="array" aca="1" ref="AB7" ca="1">INDIRECT("'MC_Supply Price Synthetic Metha'!D"&amp;MATCH($B7,'MC_Supply Price Synthetic Metha'!$A:$A,0)+VALUE(RIGHT($B$1,LEN($B$1)-7))-1)</f>
        <v>22.728000000000002</v>
      </c>
      <c r="AC7" s="82">
        <f t="shared" ca="1" si="9"/>
        <v>0</v>
      </c>
      <c r="AD7" s="82">
        <f ca="1">SUM(AC$4:AC7)</f>
        <v>0</v>
      </c>
      <c r="AE7" s="127">
        <f t="shared" ca="1" si="10"/>
        <v>6.8531558463139797E-2</v>
      </c>
      <c r="AF7" s="128">
        <f t="shared" ca="1" si="11"/>
        <v>0</v>
      </c>
      <c r="AG7" s="128">
        <f t="shared" ca="1" si="12"/>
        <v>0</v>
      </c>
      <c r="AH7" s="82">
        <f t="shared" ca="1" si="13"/>
        <v>5360.8231236000001</v>
      </c>
      <c r="AI7" s="156">
        <f t="shared" ca="1" si="14"/>
        <v>6.8531557403999951E-2</v>
      </c>
      <c r="AJ7" s="90">
        <f ca="1">VLOOKUP('Compliance Data'!$B7,'Notes and Scenario Inputs'!$B$57:$C$86,2,FALSE)*'Compliance Data'!C7</f>
        <v>7199.3280999359995</v>
      </c>
      <c r="AK7" s="105">
        <f>IF(VALUE(RIGHT($B$1,LEN($B$1)-7))=1,0,VLOOKUP($B7,'Load Reductions'!$1:$30,VALUE(RIGHT($B$1,LEN($B$1)-7)),FALSE))</f>
        <v>-36.218171875000003</v>
      </c>
      <c r="AL7" s="105">
        <f>IF(VALUE(RIGHT($B$1,LEN($B$1)-7))=1,0,VLOOKUP($B7,'Load Reductions'!$1:$30,VALUE(RIGHT($B$1,LEN($B$1)-7)+9),FALSE))</f>
        <v>320.30963437499997</v>
      </c>
      <c r="AM7" s="155">
        <f>IF(VALUE(RIGHT($B$1,LEN($B$1)-7))=1,0,VLOOKUP($B7,'Load Reductions'!$1:$30,VALUE(RIGHT($B$1,LEN($B$1)-7)+18),FALSE))</f>
        <v>1014.8105828125</v>
      </c>
      <c r="AN7" s="105">
        <f>IF(VALUE(RIGHT($B$1,LEN($B$1)-7))=1,0,VLOOKUP($B7,'Load Reductions'!$1:$30,VALUE(RIGHT($B$1,LEN($B$1)-7)+27),FALSE))</f>
        <v>2427.5038875</v>
      </c>
      <c r="AO7" s="135">
        <f>VLOOKUP($B7,'Oregon DSM Scenario Costs'!$A$1:$BN$30,RIGHT($B$1,LEN($B$1)-7)+56,FALSE)</f>
        <v>0</v>
      </c>
      <c r="AP7" s="96">
        <f t="shared" ca="1" si="15"/>
        <v>105051.28400183999</v>
      </c>
      <c r="AQ7" s="105">
        <f>'Fixed Contracts'!C7</f>
        <v>768.99997000000008</v>
      </c>
      <c r="AR7" s="82">
        <f>'Fixed Contracts'!B7</f>
        <v>1838.5050875999998</v>
      </c>
      <c r="AS7" s="82">
        <f t="shared" ca="1" si="61"/>
        <v>110661.6356008</v>
      </c>
      <c r="AT7" s="82">
        <f t="shared" ca="1" si="16"/>
        <v>97851.955790639986</v>
      </c>
      <c r="AU7" s="113">
        <f t="shared" ca="1" si="17"/>
        <v>53331066.494530804</v>
      </c>
      <c r="AV7" s="139">
        <f t="shared" ca="1" si="18"/>
        <v>0.50766696477119411</v>
      </c>
      <c r="AW7" s="116">
        <f t="shared" ca="1" si="19"/>
        <v>0</v>
      </c>
      <c r="AX7" s="139">
        <f t="shared" ca="1" si="20"/>
        <v>0</v>
      </c>
      <c r="AY7" s="116">
        <f t="shared" si="21"/>
        <v>0</v>
      </c>
      <c r="AZ7" s="141">
        <f t="shared" ca="1" si="22"/>
        <v>0</v>
      </c>
      <c r="BA7" s="116">
        <f t="shared" ca="1" si="23"/>
        <v>53331066.494530804</v>
      </c>
      <c r="BB7" s="112">
        <f t="shared" ca="1" si="24"/>
        <v>0.50766696477119411</v>
      </c>
      <c r="BC7" s="102" cm="1">
        <f t="array" aca="1" ref="BC7" ca="1">INDIRECT("'Emissions by State'!H"&amp;MATCH($B$1,'Demand by State by ST'!$E:$E,0)+($B7-2022))</f>
        <v>5737649.4178328002</v>
      </c>
      <c r="BD7" s="82">
        <f t="shared" ca="1" si="25"/>
        <v>5205109.4871166488</v>
      </c>
      <c r="BE7" s="82"/>
      <c r="BF7" s="90">
        <v>5247235.038461538</v>
      </c>
      <c r="BG7" s="4">
        <f t="shared" ca="1" si="26"/>
        <v>793767.80346982612</v>
      </c>
      <c r="BH7">
        <v>2025</v>
      </c>
      <c r="BI7" s="92" cm="1">
        <f t="array" aca="1" ref="BI7" ca="1">INDIRECT("'Demand by State by ST'!I"&amp;MATCH($B$1,'Demand by State by ST'!$E:$E,0)+($B7-2022))</f>
        <v>8746.97200032</v>
      </c>
      <c r="BJ7" s="93" cm="1">
        <f t="array" aca="1" ref="BJ7" ca="1">INDIRECT("'Demand by State by ST'!K"&amp;MATCH($B$1,'Demand by State by ST'!$E:$E,0)+($B7-2022))</f>
        <v>1586.7439996799999</v>
      </c>
      <c r="BK7" s="96" cm="1">
        <f t="array" aca="1" ref="BK7" ca="1">INDIRECT("'Gas Flow by State'!I"&amp;MATCH($B$1,'Demand by State by ST'!$E:$E,0)+($B7-2022))</f>
        <v>10333.716000480001</v>
      </c>
      <c r="BL7" s="118">
        <f t="shared" ca="1" si="27"/>
        <v>3.3898584988640814</v>
      </c>
      <c r="BM7" s="93">
        <f t="shared" ca="1" si="28"/>
        <v>35029835.009074874</v>
      </c>
      <c r="BN7" s="81" cm="1">
        <f t="array" aca="1" ref="BN7" ca="1">INDIRECT("'Compliance Resources by State'!M"&amp;MATCH($B$1,'Demand by State by ST'!$E:$E,0)+($B7-2022))</f>
        <v>1102.05355872</v>
      </c>
      <c r="BO7" s="83">
        <f>VLOOKUP(DATE($BH7,1,1),'MC_Allowance Price'!$A:$K,VALUE(RIGHT($B$1,LEN($B$1)-7))+1,FALSE)</f>
        <v>2.0091600721673259</v>
      </c>
      <c r="BP7">
        <v>5.43</v>
      </c>
      <c r="BQ7" s="90">
        <f t="shared" ca="1" si="29"/>
        <v>2214202.0075701335</v>
      </c>
      <c r="BR7" s="81" cm="1">
        <f t="array" aca="1" ref="BR7" ca="1">INDIRECT("'Compliance Resources by State'!O"&amp;MATCH($B$1,'Demand by State by ST'!$E:$E,0)+($B7-2022))</f>
        <v>847.34612712000001</v>
      </c>
      <c r="BS7" s="83">
        <f>VLOOKUP(DATE($BH7,1,1),'MC_Supply Price Offsets'!$A:$K,VALUE(RIGHT($B$1,LEN($B$1)-7))+1,FALSE)</f>
        <v>0.74299999999999999</v>
      </c>
      <c r="BT7" s="90">
        <f t="shared" ca="1" si="30"/>
        <v>629578.17245016003</v>
      </c>
      <c r="BU7" s="81" cm="1">
        <f t="array" aca="1" ref="BU7" ca="1">INDIRECT("'Compliance Resources by State'!P"&amp;MATCH($B$1,'Demand by State by ST'!$E:$E,0)+($B7-2022))</f>
        <v>874.69721279999999</v>
      </c>
      <c r="BV7" s="82">
        <f t="shared" ca="1" si="31"/>
        <v>-4.5474735088646412E-13</v>
      </c>
      <c r="BW7" s="83">
        <f t="shared" ca="1" si="32"/>
        <v>10.804</v>
      </c>
      <c r="BX7" s="82">
        <f t="shared" ca="1" si="33"/>
        <v>-1.7932779883267358E-9</v>
      </c>
      <c r="BY7" s="84">
        <f ca="1">SUM(BX$4:BX7)</f>
        <v>8596475.1855623983</v>
      </c>
      <c r="BZ7" s="81" cm="1">
        <f t="array" aca="1" ref="BZ7" ca="1">INDIRECT("'Compliance Resources by State'!Q"&amp;MATCH($B$1,'Demand by State by ST'!$E:$E,0)+($B7-2022))</f>
        <v>0</v>
      </c>
      <c r="CA7" s="82">
        <f t="shared" ca="1" si="34"/>
        <v>0</v>
      </c>
      <c r="CB7" s="83">
        <f t="shared" ca="1" si="35"/>
        <v>15.804</v>
      </c>
      <c r="CC7" s="82">
        <f t="shared" ca="1" si="36"/>
        <v>0</v>
      </c>
      <c r="CD7" s="84">
        <f ca="1">SUM(CC$4:CC7)</f>
        <v>0</v>
      </c>
      <c r="CE7" s="81" cm="1">
        <f t="array" aca="1" ref="CE7" ca="1">INDIRECT("'Compliance Resources by State'!N"&amp;MATCH($B$1,'Demand by State by ST'!$E:$E,0)+($B7-2022))</f>
        <v>0</v>
      </c>
      <c r="CF7" s="82">
        <f t="shared" ca="1" si="37"/>
        <v>0</v>
      </c>
      <c r="CG7" s="83">
        <f t="shared" ca="1" si="38"/>
        <v>15.694000000000001</v>
      </c>
      <c r="CH7" s="82">
        <f t="shared" ca="1" si="39"/>
        <v>0</v>
      </c>
      <c r="CI7" s="84">
        <f ca="1">SUM(CH$4:CH7)</f>
        <v>0</v>
      </c>
      <c r="CJ7" s="81" cm="1">
        <f t="array" aca="1" ref="CJ7" ca="1">INDIRECT("'Compliance Resources by State'!R"&amp;MATCH($B$1,'Demand by State by ST'!$E:$E,0)+($B7-2022))</f>
        <v>0</v>
      </c>
      <c r="CK7" s="82">
        <f t="shared" ca="1" si="40"/>
        <v>0</v>
      </c>
      <c r="CL7" s="83">
        <f t="shared" ca="1" si="41"/>
        <v>22.728000000000002</v>
      </c>
      <c r="CM7" s="82">
        <f t="shared" ca="1" si="42"/>
        <v>0</v>
      </c>
      <c r="CN7" s="84">
        <f ca="1">SUM(CM$4:CM7)</f>
        <v>0</v>
      </c>
      <c r="CO7" s="127">
        <f t="shared" ca="1" si="43"/>
        <v>8.4644982772896019E-2</v>
      </c>
      <c r="CP7" s="128">
        <f t="shared" ca="1" si="44"/>
        <v>0</v>
      </c>
      <c r="CQ7" s="128">
        <f t="shared" ca="1" si="45"/>
        <v>0</v>
      </c>
      <c r="CR7" s="128">
        <f t="shared" ca="1" si="46"/>
        <v>8.4644981537328884E-2</v>
      </c>
      <c r="CS7" s="159">
        <f ca="1">VLOOKUP('Compliance Data'!$B7,'Notes and Scenario Inputs'!$B$57:$C$86,2,FALSE)*BI7</f>
        <v>874.69720003200007</v>
      </c>
      <c r="CT7" s="120">
        <f t="shared" ca="1" si="47"/>
        <v>874.69721279999999</v>
      </c>
      <c r="CU7" s="83">
        <f ca="1">'Notes and Scenario Inputs'!C61*'Compliance Data'!BI7-'Compliance Data'!CV7</f>
        <v>835.6357535520001</v>
      </c>
      <c r="CV7" s="90">
        <f t="shared" ca="1" si="48"/>
        <v>39.061446480000001</v>
      </c>
      <c r="CW7" s="104">
        <f>IF(VALUE(RIGHT($B$1,LEN($B$1)-7))=1,0,VLOOKUP($B7,'Load Reductions'!$1:$30,VALUE(RIGHT($B$1,LEN($B$1)-7)+39),FALSE))</f>
        <v>87.6319810546875</v>
      </c>
      <c r="CX7" s="105">
        <f>IF(VALUE(RIGHT($B$1,LEN($B$1)-7))=1,0,VLOOKUP($B7,'Load Reductions'!$1:$30,VALUE(RIGHT($B$1,LEN($B$1)-7)+48),FALSE))</f>
        <v>35.014479882812502</v>
      </c>
      <c r="CY7" s="105">
        <f>IF(VALUE(RIGHT($B$1,LEN($B$1)-7))=1,0,VLOOKUP($B7,'Load Reductions'!$1:$30,VALUE(RIGHT($B$1,LEN($B$1)-7)+57),FALSE))</f>
        <v>60.153190429687498</v>
      </c>
      <c r="CZ7" s="105">
        <f>IF(VALUE(RIGHT($B$1,LEN($B$1)-7))=1,0,VLOOKUP($B7,'Load Reductions'!$1:$30,VALUE(RIGHT($B$1,LEN($B$1)-7)+66),FALSE))</f>
        <v>116.923134375</v>
      </c>
      <c r="DA7" s="136">
        <f>IF(AND($B7 = 2022, $B$1&lt;&gt;"Sample 3"), 0, VLOOKUP($B7,'Washington DSM Scenario Costs'!$A$1:$BN$30,RIGHT($B$1,LEN($B$1)-7)+56,FALSE))</f>
        <v>0</v>
      </c>
      <c r="DB7" s="96">
        <f t="shared" ca="1" si="49"/>
        <v>10333.716</v>
      </c>
      <c r="DC7" s="82">
        <f t="shared" ca="1" si="50"/>
        <v>7509.6191018400023</v>
      </c>
      <c r="DD7" s="82">
        <f t="shared" ca="1" si="51"/>
        <v>7509.6191013600019</v>
      </c>
      <c r="DE7" s="81">
        <f t="shared" ca="1" si="52"/>
        <v>8596475.1855623983</v>
      </c>
      <c r="DF7" s="143">
        <f t="shared" ca="1" si="53"/>
        <v>0.83188614681905315</v>
      </c>
      <c r="DG7" s="82">
        <f t="shared" ca="1" si="54"/>
        <v>2843780.1800202937</v>
      </c>
      <c r="DH7" s="145">
        <f t="shared" ca="1" si="55"/>
        <v>0.27519434248244229</v>
      </c>
      <c r="DI7" s="82">
        <f t="shared" si="62"/>
        <v>0</v>
      </c>
      <c r="DJ7" s="143">
        <f t="shared" ca="1" si="56"/>
        <v>0</v>
      </c>
      <c r="DK7" s="116">
        <f t="shared" ca="1" si="57"/>
        <v>11440255.365582693</v>
      </c>
      <c r="DL7" s="112">
        <f t="shared" ca="1" si="58"/>
        <v>1.1070804893014956</v>
      </c>
      <c r="DM7" s="102" cm="1">
        <f t="array" aca="1" ref="DM7" ca="1">INDIRECT("'Emissions by State'!I"&amp;MATCH($B$1,'Demand by State by ST'!$E:$E,0)+($B7-2022))</f>
        <v>440622</v>
      </c>
      <c r="DN7" s="82">
        <f t="shared" ca="1" si="59"/>
        <v>399725.66907</v>
      </c>
      <c r="DO7" s="124"/>
      <c r="DP7" s="58">
        <v>399729.3</v>
      </c>
      <c r="DQ7" s="4">
        <f t="shared" ca="1" si="60"/>
        <v>68.417272620226413</v>
      </c>
    </row>
    <row r="8" spans="1:123" x14ac:dyDescent="0.25">
      <c r="A8">
        <v>365</v>
      </c>
      <c r="B8">
        <v>2026</v>
      </c>
      <c r="C8" s="92" cm="1">
        <f t="array" aca="1" ref="C8" ca="1">INDIRECT("'Demand by State by ST'!H"&amp;MATCH($B$1,'Demand by State by ST'!$E:$E,0)+($B8-2022))</f>
        <v>70282.223001120001</v>
      </c>
      <c r="D8" s="100" cm="1">
        <f t="array" aca="1" ref="D8" ca="1">INDIRECT("'Demand by State by ST'!J"&amp;MATCH($B$1,'Demand by State by ST'!$E:$E,0)+($B8-2022))</f>
        <v>32006.592000000001</v>
      </c>
      <c r="E8" s="96" cm="1">
        <f t="array" aca="1" ref="E8" ca="1">INDIRECT("'Gas Flow by State'!H"&amp;MATCH($B$1,'Demand by State by ST'!$E:$E,0)+($B8-2022))</f>
        <v>101619.77006664001</v>
      </c>
      <c r="F8" s="98">
        <f ca="1">VLOOKUP($B8,'WACOG Calc'!$B$49:$L$78,VALUE(RIGHT($B$1,LEN($B$1)-7))+1,FALSE)</f>
        <v>3.946995542818986</v>
      </c>
      <c r="G8" s="90">
        <f t="shared" ca="1" si="0"/>
        <v>401092779.51531833</v>
      </c>
      <c r="H8" s="82" cm="1">
        <f t="array" aca="1" ref="H8" ca="1">INDIRECT("'Compliance Resources by State'!H"&amp;MATCH($B$1,'Demand by State by ST'!$E:$E,0)+($B8-2022))</f>
        <v>205.83872400000001</v>
      </c>
      <c r="I8" s="83" cm="1">
        <f t="array" aca="1" ref="I8" ca="1">INDIRECT("'OR CCI Price'!C"&amp;MATCH($B8,'OR CCI Price'!$A:$A,0))</f>
        <v>5.9455200000000001</v>
      </c>
      <c r="J8" s="90">
        <f t="shared" ca="1" si="1"/>
        <v>1223818.2503164802</v>
      </c>
      <c r="K8" s="81" cm="1">
        <f t="array" aca="1" ref="K8" ca="1">INDIRECT("'Compliance Resources by State'!J"&amp;MATCH($B$1,'Demand by State by ST'!$E:$E,0)+($B8-2022))</f>
        <v>5888.5245599999998</v>
      </c>
      <c r="L8" s="82">
        <f t="shared" ca="1" si="2"/>
        <v>1445.7573599999978</v>
      </c>
      <c r="M8" s="83" cm="1">
        <f t="array" aca="1" ref="M8" ca="1">INDIRECT("'MC_Supply Price "&amp;K$2&amp;"'!D"&amp;MATCH($B8,'MC_Supply Price RNG Tranche 1'!$A:$A,0)+VALUE(RIGHT($B$1,LEN($B$1)-7))-1)</f>
        <v>11.374000000000001</v>
      </c>
      <c r="N8" s="82">
        <f t="shared" ca="1" si="3"/>
        <v>6002076.1376135908</v>
      </c>
      <c r="O8" s="84">
        <f ca="1">SUM(N$4:N8)</f>
        <v>59333142.632144392</v>
      </c>
      <c r="P8" s="81" cm="1">
        <f t="array" aca="1" ref="P8" ca="1">INDIRECT("'Compliance Resources by State'!K"&amp;MATCH($B$1,'Demand by State by ST'!$E:$E,0)+($B8-2022))</f>
        <v>0</v>
      </c>
      <c r="Q8" s="82">
        <f t="shared" ca="1" si="4"/>
        <v>0</v>
      </c>
      <c r="R8" s="83" cm="1">
        <f t="array" aca="1" ref="R8" ca="1">INDIRECT("'MC_Supply Price "&amp;P$2&amp;"'!D"&amp;MATCH($B8,'MC_Supply Price RNG Tranche 2'!$A:$A,0)+VALUE(RIGHT($B$1,LEN($B$1)-7))-1)</f>
        <v>16.373999999999999</v>
      </c>
      <c r="S8" s="82">
        <f t="shared" ca="1" si="5"/>
        <v>0</v>
      </c>
      <c r="T8" s="84">
        <f ca="1">SUM(S$4:S8)</f>
        <v>0</v>
      </c>
      <c r="U8" s="81" cm="1">
        <f t="array" aca="1" ref="U8" ca="1">INDIRECT("'Compliance Resources by State'!I"&amp;MATCH($B$1,'Demand by State by ST'!$E:$E,0)+($B8-2022))</f>
        <v>0</v>
      </c>
      <c r="V8" s="82">
        <f t="shared" ca="1" si="6"/>
        <v>0</v>
      </c>
      <c r="W8" s="83" cm="1">
        <f t="array" aca="1" ref="W8" ca="1">INDIRECT("'MC_Supply Price "&amp;U$2&amp;"'!D"&amp;MATCH($B8,'MC_Supply Price Hydrogen'!$A:$A,0)+VALUE(RIGHT($B$1,LEN($B$1)-7))-1)</f>
        <v>14.824</v>
      </c>
      <c r="X8" s="82">
        <f t="shared" ca="1" si="7"/>
        <v>0</v>
      </c>
      <c r="Y8" s="90">
        <f ca="1">SUM(X$4:X8)</f>
        <v>0</v>
      </c>
      <c r="Z8" s="81" cm="1">
        <f t="array" aca="1" ref="Z8" ca="1">INDIRECT("'Compliance Resources by State'!L"&amp;MATCH($B$1,'Demand by State by ST'!$E:$E,0)+($B8-2022))</f>
        <v>0</v>
      </c>
      <c r="AA8" s="82">
        <f t="shared" ca="1" si="8"/>
        <v>0</v>
      </c>
      <c r="AB8" s="83" cm="1">
        <f t="array" aca="1" ref="AB8" ca="1">INDIRECT("'MC_Supply Price Synthetic Metha'!D"&amp;MATCH($B8,'MC_Supply Price Synthetic Metha'!$A:$A,0)+VALUE(RIGHT($B$1,LEN($B$1)-7))-1)</f>
        <v>21.736999999999998</v>
      </c>
      <c r="AC8" s="82">
        <f t="shared" ca="1" si="9"/>
        <v>0</v>
      </c>
      <c r="AD8" s="82">
        <f ca="1">SUM(AC$4:AC8)</f>
        <v>0</v>
      </c>
      <c r="AE8" s="127">
        <f t="shared" ca="1" si="10"/>
        <v>7.5580548136327017E-2</v>
      </c>
      <c r="AF8" s="128">
        <f t="shared" ca="1" si="11"/>
        <v>0</v>
      </c>
      <c r="AG8" s="128">
        <f t="shared" ca="1" si="12"/>
        <v>0</v>
      </c>
      <c r="AH8" s="82">
        <f t="shared" ca="1" si="13"/>
        <v>5888.5245599999998</v>
      </c>
      <c r="AI8" s="156">
        <f t="shared" ca="1" si="14"/>
        <v>7.5580546416913225E-2</v>
      </c>
      <c r="AJ8" s="90">
        <f ca="1">VLOOKUP('Compliance Data'!$B8,'Notes and Scenario Inputs'!$B$57:$C$86,2,FALSE)*'Compliance Data'!C8</f>
        <v>7731.0445301232003</v>
      </c>
      <c r="AK8" s="105">
        <f>IF(VALUE(RIGHT($B$1,LEN($B$1)-7))=1,0,VLOOKUP($B8,'Load Reductions'!$1:$30,VALUE(RIGHT($B$1,LEN($B$1)-7)),FALSE))</f>
        <v>950.05655312500005</v>
      </c>
      <c r="AL8" s="105">
        <f>IF(VALUE(RIGHT($B$1,LEN($B$1)-7))=1,0,VLOOKUP($B8,'Load Reductions'!$1:$30,VALUE(RIGHT($B$1,LEN($B$1)-7)+9),FALSE))</f>
        <v>1007.997828125</v>
      </c>
      <c r="AM8" s="155">
        <f>IF(VALUE(RIGHT($B$1,LEN($B$1)-7))=1,0,VLOOKUP($B8,'Load Reductions'!$1:$30,VALUE(RIGHT($B$1,LEN($B$1)-7)+18),FALSE))</f>
        <v>1343.1092828124999</v>
      </c>
      <c r="AN8" s="105">
        <f>IF(VALUE(RIGHT($B$1,LEN($B$1)-7))=1,0,VLOOKUP($B8,'Load Reductions'!$1:$30,VALUE(RIGHT($B$1,LEN($B$1)-7)+27),FALSE))</f>
        <v>3293.0011562499999</v>
      </c>
      <c r="AO8" s="135">
        <f>VLOOKUP($B8,'Oregon DSM Scenario Costs'!$A$1:$BN$30,RIGHT($B$1,LEN($B$1)-7)+56,FALSE)</f>
        <v>0</v>
      </c>
      <c r="AP8" s="96">
        <f t="shared" ca="1" si="15"/>
        <v>102288.81500112001</v>
      </c>
      <c r="AQ8" s="105">
        <f>'Fixed Contracts'!C8</f>
        <v>768.99997000000008</v>
      </c>
      <c r="AR8" s="82">
        <f>'Fixed Contracts'!B8</f>
        <v>1842.5201459999998</v>
      </c>
      <c r="AS8" s="82">
        <f t="shared" ca="1" si="61"/>
        <v>108071.45587264001</v>
      </c>
      <c r="AT8" s="82">
        <f t="shared" ca="1" si="16"/>
        <v>94351.931571120003</v>
      </c>
      <c r="AU8" s="113">
        <f t="shared" ca="1" si="17"/>
        <v>59333142.632144392</v>
      </c>
      <c r="AV8" s="139">
        <f t="shared" ca="1" si="18"/>
        <v>0.58005503956121429</v>
      </c>
      <c r="AW8" s="116">
        <f t="shared" ca="1" si="19"/>
        <v>1223818.2503164802</v>
      </c>
      <c r="AX8" s="139">
        <f t="shared" ca="1" si="20"/>
        <v>1.1964340874445364E-2</v>
      </c>
      <c r="AY8" s="116">
        <f t="shared" si="21"/>
        <v>0</v>
      </c>
      <c r="AZ8" s="141">
        <f t="shared" ca="1" si="22"/>
        <v>0</v>
      </c>
      <c r="BA8" s="116">
        <f t="shared" ca="1" si="23"/>
        <v>60556960.88246087</v>
      </c>
      <c r="BB8" s="112">
        <f t="shared" ca="1" si="24"/>
        <v>0.5920193804356596</v>
      </c>
      <c r="BC8" s="102" cm="1">
        <f t="array" aca="1" ref="BC8" ca="1">INDIRECT("'Emissions by State'!H"&amp;MATCH($B$1,'Demand by State by ST'!$E:$E,0)+($B8-2022))</f>
        <v>5532548</v>
      </c>
      <c r="BD8" s="82">
        <f t="shared" ca="1" si="25"/>
        <v>5019044.5573800001</v>
      </c>
      <c r="BE8" s="82"/>
      <c r="BF8" s="90">
        <v>5019094.384615384</v>
      </c>
      <c r="BG8" s="4">
        <f t="shared" ca="1" si="26"/>
        <v>938.88991172719739</v>
      </c>
      <c r="BH8">
        <v>2026</v>
      </c>
      <c r="BI8" s="92" cm="1">
        <f t="array" aca="1" ref="BI8" ca="1">INDIRECT("'Demand by State by ST'!I"&amp;MATCH($B$1,'Demand by State by ST'!$E:$E,0)+($B8-2022))</f>
        <v>8547.2349986400004</v>
      </c>
      <c r="BJ8" s="93" cm="1">
        <f t="array" aca="1" ref="BJ8" ca="1">INDIRECT("'Demand by State by ST'!K"&amp;MATCH($B$1,'Demand by State by ST'!$E:$E,0)+($B8-2022))</f>
        <v>1534.6069999199999</v>
      </c>
      <c r="BK8" s="96" cm="1">
        <f t="array" aca="1" ref="BK8" ca="1">INDIRECT("'Gas Flow by State'!I"&amp;MATCH($B$1,'Demand by State by ST'!$E:$E,0)+($B8-2022))</f>
        <v>10081.84200024</v>
      </c>
      <c r="BL8" s="118">
        <f t="shared" ca="1" si="27"/>
        <v>3.946995542818986</v>
      </c>
      <c r="BM8" s="93">
        <f t="shared" ca="1" si="28"/>
        <v>39792985.438352533</v>
      </c>
      <c r="BN8" s="81" cm="1">
        <f t="array" aca="1" ref="BN8" ca="1">INDIRECT("'Compliance Resources by State'!M"&amp;MATCH($B$1,'Demand by State by ST'!$E:$E,0)+($B8-2022))</f>
        <v>2158.7293872</v>
      </c>
      <c r="BO8" s="83">
        <f>VLOOKUP(DATE($BH8,1,1),'MC_Allowance Price'!$A:$K,VALUE(RIGHT($B$1,LEN($B$1)-7))+1,FALSE)</f>
        <v>2.2039704688009323</v>
      </c>
      <c r="BP8">
        <v>5.51</v>
      </c>
      <c r="BQ8" s="90">
        <f t="shared" ca="1" si="29"/>
        <v>4757775.8195215333</v>
      </c>
      <c r="BR8" s="81" cm="1">
        <f t="array" aca="1" ref="BR8" ca="1">INDIRECT("'Compliance Resources by State'!O"&amp;MATCH($B$1,'Demand by State by ST'!$E:$E,0)+($B8-2022))</f>
        <v>0</v>
      </c>
      <c r="BS8" s="83">
        <f>VLOOKUP(DATE($BH8,1,1),'MC_Supply Price Offsets'!$A:$K,VALUE(RIGHT($B$1,LEN($B$1)-7))+1,FALSE)</f>
        <v>0.79600000000000004</v>
      </c>
      <c r="BT8" s="90">
        <f t="shared" ca="1" si="30"/>
        <v>0</v>
      </c>
      <c r="BU8" s="81" cm="1">
        <f t="array" aca="1" ref="BU8" ca="1">INDIRECT("'Compliance Resources by State'!P"&amp;MATCH($B$1,'Demand by State by ST'!$E:$E,0)+($B8-2022))</f>
        <v>940.1958204</v>
      </c>
      <c r="BV8" s="82">
        <f t="shared" ca="1" si="31"/>
        <v>179.44824000000017</v>
      </c>
      <c r="BW8" s="83">
        <f t="shared" ca="1" si="32"/>
        <v>11.374000000000001</v>
      </c>
      <c r="BX8" s="82">
        <f t="shared" ca="1" si="33"/>
        <v>744981.16284240072</v>
      </c>
      <c r="BY8" s="84">
        <f ca="1">SUM(BX$4:BX8)</f>
        <v>9341456.3484047987</v>
      </c>
      <c r="BZ8" s="81" cm="1">
        <f t="array" aca="1" ref="BZ8" ca="1">INDIRECT("'Compliance Resources by State'!Q"&amp;MATCH($B$1,'Demand by State by ST'!$E:$E,0)+($B8-2022))</f>
        <v>0</v>
      </c>
      <c r="CA8" s="82">
        <f t="shared" ca="1" si="34"/>
        <v>0</v>
      </c>
      <c r="CB8" s="83">
        <f t="shared" ca="1" si="35"/>
        <v>16.373999999999999</v>
      </c>
      <c r="CC8" s="82">
        <f t="shared" ca="1" si="36"/>
        <v>0</v>
      </c>
      <c r="CD8" s="84">
        <f ca="1">SUM(CC$4:CC8)</f>
        <v>0</v>
      </c>
      <c r="CE8" s="81" cm="1">
        <f t="array" aca="1" ref="CE8" ca="1">INDIRECT("'Compliance Resources by State'!N"&amp;MATCH($B$1,'Demand by State by ST'!$E:$E,0)+($B8-2022))</f>
        <v>0</v>
      </c>
      <c r="CF8" s="82">
        <f t="shared" ca="1" si="37"/>
        <v>0</v>
      </c>
      <c r="CG8" s="83">
        <f t="shared" ca="1" si="38"/>
        <v>14.824</v>
      </c>
      <c r="CH8" s="82">
        <f t="shared" ca="1" si="39"/>
        <v>0</v>
      </c>
      <c r="CI8" s="84">
        <f ca="1">SUM(CH$4:CH8)</f>
        <v>0</v>
      </c>
      <c r="CJ8" s="81" cm="1">
        <f t="array" aca="1" ref="CJ8" ca="1">INDIRECT("'Compliance Resources by State'!R"&amp;MATCH($B$1,'Demand by State by ST'!$E:$E,0)+($B8-2022))</f>
        <v>0</v>
      </c>
      <c r="CK8" s="82">
        <f t="shared" ca="1" si="40"/>
        <v>0</v>
      </c>
      <c r="CL8" s="83">
        <f t="shared" ca="1" si="41"/>
        <v>21.736999999999998</v>
      </c>
      <c r="CM8" s="82">
        <f t="shared" ca="1" si="42"/>
        <v>0</v>
      </c>
      <c r="CN8" s="84">
        <f ca="1">SUM(CM$4:CM8)</f>
        <v>0</v>
      </c>
      <c r="CO8" s="127">
        <f t="shared" ca="1" si="43"/>
        <v>9.3256353405884465E-2</v>
      </c>
      <c r="CP8" s="128">
        <f t="shared" ca="1" si="44"/>
        <v>0</v>
      </c>
      <c r="CQ8" s="128">
        <f t="shared" ca="1" si="45"/>
        <v>0</v>
      </c>
      <c r="CR8" s="128">
        <f t="shared" ca="1" si="46"/>
        <v>9.3256356327017328E-2</v>
      </c>
      <c r="CS8" s="159">
        <f ca="1">VLOOKUP('Compliance Data'!$B8,'Notes and Scenario Inputs'!$B$57:$C$86,2,FALSE)*BI8</f>
        <v>940.19584985040001</v>
      </c>
      <c r="CT8" s="120">
        <f t="shared" ca="1" si="47"/>
        <v>940.1958204</v>
      </c>
      <c r="CU8" s="83">
        <f ca="1">'Notes and Scenario Inputs'!C62*'Compliance Data'!BI8-'Compliance Data'!CV8</f>
        <v>902.08648709584315</v>
      </c>
      <c r="CV8" s="90">
        <f t="shared" ca="1" si="48"/>
        <v>38.109362754556805</v>
      </c>
      <c r="CW8" s="104">
        <f>IF(VALUE(RIGHT($B$1,LEN($B$1)-7))=1,0,VLOOKUP($B8,'Load Reductions'!$1:$30,VALUE(RIGHT($B$1,LEN($B$1)-7)+39),FALSE))</f>
        <v>274.05262812500001</v>
      </c>
      <c r="CX8" s="105">
        <f>IF(VALUE(RIGHT($B$1,LEN($B$1)-7))=1,0,VLOOKUP($B8,'Load Reductions'!$1:$30,VALUE(RIGHT($B$1,LEN($B$1)-7)+48),FALSE))</f>
        <v>106.53343388671875</v>
      </c>
      <c r="CY8" s="105">
        <f>IF(VALUE(RIGHT($B$1,LEN($B$1)-7))=1,0,VLOOKUP($B8,'Load Reductions'!$1:$30,VALUE(RIGHT($B$1,LEN($B$1)-7)+57),FALSE))</f>
        <v>79.624930371093754</v>
      </c>
      <c r="CZ8" s="105">
        <f>IF(VALUE(RIGHT($B$1,LEN($B$1)-7))=1,0,VLOOKUP($B8,'Load Reductions'!$1:$30,VALUE(RIGHT($B$1,LEN($B$1)-7)+66),FALSE))</f>
        <v>159.64141171874999</v>
      </c>
      <c r="DA8" s="136">
        <f>IF(AND($B8 = 2022, $B$1&lt;&gt;"Sample 3"), 0, VLOOKUP($B8,'Washington DSM Scenario Costs'!$A$1:$BN$30,RIGHT($B$1,LEN($B$1)-7)+56,FALSE))</f>
        <v>0</v>
      </c>
      <c r="DB8" s="96">
        <f t="shared" ca="1" si="49"/>
        <v>10081.841998560001</v>
      </c>
      <c r="DC8" s="82">
        <f t="shared" ca="1" si="50"/>
        <v>6982.9167926399996</v>
      </c>
      <c r="DD8" s="82">
        <f t="shared" ca="1" si="51"/>
        <v>6982.916790960001</v>
      </c>
      <c r="DE8" s="81">
        <f t="shared" ca="1" si="52"/>
        <v>9341456.3484047987</v>
      </c>
      <c r="DF8" s="143">
        <f t="shared" ca="1" si="53"/>
        <v>0.92656246246856944</v>
      </c>
      <c r="DG8" s="82">
        <f t="shared" ca="1" si="54"/>
        <v>4757775.8195215333</v>
      </c>
      <c r="DH8" s="145">
        <f t="shared" ca="1" si="55"/>
        <v>0.47191533255540907</v>
      </c>
      <c r="DI8" s="82">
        <f t="shared" si="62"/>
        <v>0</v>
      </c>
      <c r="DJ8" s="143">
        <f t="shared" ca="1" si="56"/>
        <v>0</v>
      </c>
      <c r="DK8" s="116">
        <f t="shared" ca="1" si="57"/>
        <v>14099232.167926332</v>
      </c>
      <c r="DL8" s="112">
        <f t="shared" ca="1" si="58"/>
        <v>1.3984777950239784</v>
      </c>
      <c r="DM8" s="102" cm="1">
        <f t="array" aca="1" ref="DM8" ca="1">INDIRECT("'Emissions by State'!I"&amp;MATCH($B$1,'Demand by State by ST'!$E:$E,0)+($B8-2022))</f>
        <v>409778.00000001001</v>
      </c>
      <c r="DN8" s="82">
        <f t="shared" ca="1" si="59"/>
        <v>371744.45493000909</v>
      </c>
      <c r="DO8" s="124"/>
      <c r="DP8" s="58">
        <v>371748.3</v>
      </c>
      <c r="DQ8" s="4">
        <f t="shared" ca="1" si="60"/>
        <v>72.452292336237136</v>
      </c>
    </row>
    <row r="9" spans="1:123" x14ac:dyDescent="0.25">
      <c r="A9">
        <v>365</v>
      </c>
      <c r="B9">
        <v>2027</v>
      </c>
      <c r="C9" s="92" cm="1">
        <f t="array" aca="1" ref="C9" ca="1">INDIRECT("'Demand by State by ST'!H"&amp;MATCH($B$1,'Demand by State by ST'!$E:$E,0)+($B9-2022))</f>
        <v>68595.892000559994</v>
      </c>
      <c r="D9" s="100" cm="1">
        <f t="array" aca="1" ref="D9" ca="1">INDIRECT("'Demand by State by ST'!J"&amp;MATCH($B$1,'Demand by State by ST'!$E:$E,0)+($B9-2022))</f>
        <v>30960.425002079999</v>
      </c>
      <c r="E9" s="96" cm="1">
        <f t="array" aca="1" ref="E9" ca="1">INDIRECT("'Gas Flow by State'!H"&amp;MATCH($B$1,'Demand by State by ST'!$E:$E,0)+($B9-2022))</f>
        <v>99082.164487200003</v>
      </c>
      <c r="F9" s="98">
        <f ca="1">VLOOKUP($B9,'WACOG Calc'!$B$49:$L$78,VALUE(RIGHT($B$1,LEN($B$1)-7))+1,FALSE)</f>
        <v>4.178617788332895</v>
      </c>
      <c r="G9" s="90">
        <f t="shared" ca="1" si="0"/>
        <v>414026495.03273976</v>
      </c>
      <c r="H9" s="82" cm="1">
        <f t="array" aca="1" ref="H9" ca="1">INDIRECT("'Compliance Resources by State'!H"&amp;MATCH($B$1,'Demand by State by ST'!$E:$E,0)+($B9-2022))</f>
        <v>1265.7635560799999</v>
      </c>
      <c r="I9" s="83" cm="1">
        <f t="array" aca="1" ref="I9" ca="1">INDIRECT("'OR CCI Price'!C"&amp;MATCH($B9,'OR CCI Price'!$A:$A,0))</f>
        <v>5.9986050000000004</v>
      </c>
      <c r="J9" s="90">
        <f t="shared" ca="1" si="1"/>
        <v>7592815.5963192685</v>
      </c>
      <c r="K9" s="81" cm="1">
        <f t="array" aca="1" ref="K9" ca="1">INDIRECT("'Compliance Resources by State'!J"&amp;MATCH($B$1,'Demand by State by ST'!$E:$E,0)+($B9-2022))</f>
        <v>6388.9870392000003</v>
      </c>
      <c r="L9" s="82">
        <f t="shared" ca="1" si="2"/>
        <v>1371.1300800000026</v>
      </c>
      <c r="M9" s="83" cm="1">
        <f t="array" aca="1" ref="M9" ca="1">INDIRECT("'MC_Supply Price "&amp;K$2&amp;"'!D"&amp;MATCH($B9,'MC_Supply Price RNG Tranche 1'!$A:$A,0)+VALUE(RIGHT($B$1,LEN($B$1)-7))-1)</f>
        <v>11.423999999999999</v>
      </c>
      <c r="N9" s="82">
        <f t="shared" ca="1" si="3"/>
        <v>5717283.362380811</v>
      </c>
      <c r="O9" s="84">
        <f ca="1">SUM(N$4:N9)</f>
        <v>65050425.994525202</v>
      </c>
      <c r="P9" s="81" cm="1">
        <f t="array" aca="1" ref="P9" ca="1">INDIRECT("'Compliance Resources by State'!K"&amp;MATCH($B$1,'Demand by State by ST'!$E:$E,0)+($B9-2022))</f>
        <v>0</v>
      </c>
      <c r="Q9" s="82">
        <f t="shared" ca="1" si="4"/>
        <v>0</v>
      </c>
      <c r="R9" s="83" cm="1">
        <f t="array" aca="1" ref="R9" ca="1">INDIRECT("'MC_Supply Price "&amp;P$2&amp;"'!D"&amp;MATCH($B9,'MC_Supply Price RNG Tranche 2'!$A:$A,0)+VALUE(RIGHT($B$1,LEN($B$1)-7))-1)</f>
        <v>16.423999999999999</v>
      </c>
      <c r="S9" s="82">
        <f t="shared" ca="1" si="5"/>
        <v>0</v>
      </c>
      <c r="T9" s="84">
        <f ca="1">SUM(S$4:S9)</f>
        <v>0</v>
      </c>
      <c r="U9" s="81" cm="1">
        <f t="array" aca="1" ref="U9" ca="1">INDIRECT("'Compliance Resources by State'!I"&amp;MATCH($B$1,'Demand by State by ST'!$E:$E,0)+($B9-2022))</f>
        <v>0</v>
      </c>
      <c r="V9" s="82">
        <f t="shared" ca="1" si="6"/>
        <v>0</v>
      </c>
      <c r="W9" s="83" cm="1">
        <f t="array" aca="1" ref="W9" ca="1">INDIRECT("'MC_Supply Price "&amp;U$2&amp;"'!D"&amp;MATCH($B9,'MC_Supply Price Hydrogen'!$A:$A,0)+VALUE(RIGHT($B$1,LEN($B$1)-7))-1)</f>
        <v>13.423999999999999</v>
      </c>
      <c r="X9" s="82">
        <f t="shared" ca="1" si="7"/>
        <v>0</v>
      </c>
      <c r="Y9" s="90">
        <f ca="1">SUM(X$4:X9)</f>
        <v>0</v>
      </c>
      <c r="Z9" s="81" cm="1">
        <f t="array" aca="1" ref="Z9" ca="1">INDIRECT("'Compliance Resources by State'!L"&amp;MATCH($B$1,'Demand by State by ST'!$E:$E,0)+($B9-2022))</f>
        <v>0</v>
      </c>
      <c r="AA9" s="82">
        <f t="shared" ca="1" si="8"/>
        <v>0</v>
      </c>
      <c r="AB9" s="83" cm="1">
        <f t="array" aca="1" ref="AB9" ca="1">INDIRECT("'MC_Supply Price Synthetic Metha'!D"&amp;MATCH($B9,'MC_Supply Price Synthetic Metha'!$A:$A,0)+VALUE(RIGHT($B$1,LEN($B$1)-7))-1)</f>
        <v>20.224</v>
      </c>
      <c r="AC9" s="82">
        <f t="shared" ca="1" si="9"/>
        <v>0</v>
      </c>
      <c r="AD9" s="82">
        <f ca="1">SUM(AC$4:AC9)</f>
        <v>0</v>
      </c>
      <c r="AE9" s="127">
        <f t="shared" ca="1" si="10"/>
        <v>8.2681917461668669E-2</v>
      </c>
      <c r="AF9" s="128">
        <f t="shared" ca="1" si="11"/>
        <v>0</v>
      </c>
      <c r="AG9" s="128">
        <f t="shared" ca="1" si="12"/>
        <v>0</v>
      </c>
      <c r="AH9" s="82">
        <f t="shared" ca="1" si="13"/>
        <v>6388.9870392000003</v>
      </c>
      <c r="AI9" s="156">
        <f t="shared" ca="1" si="14"/>
        <v>8.268191600387266E-2</v>
      </c>
      <c r="AJ9" s="90">
        <f ca="1">VLOOKUP('Compliance Data'!$B9,'Notes and Scenario Inputs'!$B$57:$C$86,2,FALSE)*'Compliance Data'!C9</f>
        <v>8231.5070400671993</v>
      </c>
      <c r="AK9" s="105">
        <f>IF(VALUE(RIGHT($B$1,LEN($B$1)-7))=1,0,VLOOKUP($B9,'Load Reductions'!$1:$30,VALUE(RIGHT($B$1,LEN($B$1)-7)),FALSE))</f>
        <v>1928.8071078125001</v>
      </c>
      <c r="AL9" s="105">
        <f>IF(VALUE(RIGHT($B$1,LEN($B$1)-7))=1,0,VLOOKUP($B9,'Load Reductions'!$1:$30,VALUE(RIGHT($B$1,LEN($B$1)-7)+9),FALSE))</f>
        <v>1698.7415859375001</v>
      </c>
      <c r="AM9" s="155">
        <f>IF(VALUE(RIGHT($B$1,LEN($B$1)-7))=1,0,VLOOKUP($B9,'Load Reductions'!$1:$30,VALUE(RIGHT($B$1,LEN($B$1)-7)+18),FALSE))</f>
        <v>1668.00635625</v>
      </c>
      <c r="AN9" s="105">
        <f>IF(VALUE(RIGHT($B$1,LEN($B$1)-7))=1,0,VLOOKUP($B9,'Load Reductions'!$1:$30,VALUE(RIGHT($B$1,LEN($B$1)-7)+27),FALSE))</f>
        <v>4135.591375</v>
      </c>
      <c r="AO9" s="135">
        <f>VLOOKUP($B9,'Oregon DSM Scenario Costs'!$A$1:$BN$30,RIGHT($B$1,LEN($B$1)-7)+56,FALSE)</f>
        <v>0</v>
      </c>
      <c r="AP9" s="96">
        <f t="shared" ca="1" si="15"/>
        <v>99556.317002639989</v>
      </c>
      <c r="AQ9" s="105">
        <f>'Fixed Contracts'!C9</f>
        <v>768.99997000000008</v>
      </c>
      <c r="AR9" s="82">
        <f>'Fixed Contracts'!B9</f>
        <v>1842.5201459999998</v>
      </c>
      <c r="AS9" s="82">
        <f t="shared" ca="1" si="61"/>
        <v>104974.38794032001</v>
      </c>
      <c r="AT9" s="82">
        <f t="shared" ca="1" si="16"/>
        <v>90059.046261359996</v>
      </c>
      <c r="AU9" s="113">
        <f t="shared" ca="1" si="17"/>
        <v>65050425.994525202</v>
      </c>
      <c r="AV9" s="139">
        <f t="shared" ca="1" si="18"/>
        <v>0.65340329928838392</v>
      </c>
      <c r="AW9" s="116">
        <f t="shared" ca="1" si="19"/>
        <v>7592815.5963192685</v>
      </c>
      <c r="AX9" s="139">
        <f t="shared" ca="1" si="20"/>
        <v>7.6266537623302447E-2</v>
      </c>
      <c r="AY9" s="116">
        <f t="shared" si="21"/>
        <v>0</v>
      </c>
      <c r="AZ9" s="141">
        <f t="shared" ca="1" si="22"/>
        <v>0</v>
      </c>
      <c r="BA9" s="116">
        <f t="shared" ca="1" si="23"/>
        <v>72643241.590844467</v>
      </c>
      <c r="BB9" s="112">
        <f t="shared" ca="1" si="24"/>
        <v>0.7296698369116863</v>
      </c>
      <c r="BC9" s="102" cm="1">
        <f t="array" aca="1" ref="BC9" ca="1">INDIRECT("'Emissions by State'!H"&amp;MATCH($B$1,'Demand by State by ST'!$E:$E,0)+($B9-2022))</f>
        <v>5281067.9999999898</v>
      </c>
      <c r="BD9" s="82">
        <f t="shared" ca="1" si="25"/>
        <v>4790905.6735799909</v>
      </c>
      <c r="BE9" s="82"/>
      <c r="BF9" s="90">
        <v>4790953.7307692301</v>
      </c>
      <c r="BG9" s="4">
        <f t="shared" ca="1" si="26"/>
        <v>905.53709863675988</v>
      </c>
      <c r="BH9">
        <v>2027</v>
      </c>
      <c r="BI9" s="92" cm="1">
        <f t="array" aca="1" ref="BI9" ca="1">INDIRECT("'Demand by State by ST'!I"&amp;MATCH($B$1,'Demand by State by ST'!$E:$E,0)+($B9-2022))</f>
        <v>8348.7570011999996</v>
      </c>
      <c r="BJ9" s="93" cm="1">
        <f t="array" aca="1" ref="BJ9" ca="1">INDIRECT("'Demand by State by ST'!K"&amp;MATCH($B$1,'Demand by State by ST'!$E:$E,0)+($B9-2022))</f>
        <v>1482.0179997600001</v>
      </c>
      <c r="BK9" s="96" cm="1">
        <f t="array" aca="1" ref="BK9" ca="1">INDIRECT("'Gas Flow by State'!I"&amp;MATCH($B$1,'Demand by State by ST'!$E:$E,0)+($B9-2022))</f>
        <v>9830.7750026400008</v>
      </c>
      <c r="BL9" s="118">
        <f t="shared" ca="1" si="27"/>
        <v>4.178617788332895</v>
      </c>
      <c r="BM9" s="93">
        <f t="shared" ca="1" si="28"/>
        <v>41079051.299129866</v>
      </c>
      <c r="BN9" s="81" cm="1">
        <f t="array" aca="1" ref="BN9" ca="1">INDIRECT("'Compliance Resources by State'!M"&amp;MATCH($B$1,'Demand by State by ST'!$E:$E,0)+($B9-2022))</f>
        <v>62.134259759999999</v>
      </c>
      <c r="BO9" s="83">
        <f>VLOOKUP(DATE($BH9,1,1),'MC_Allowance Price'!$A:$K,VALUE(RIGHT($B$1,LEN($B$1)-7))+1,FALSE)</f>
        <v>2.4147228209427172</v>
      </c>
      <c r="BP9">
        <v>5.59</v>
      </c>
      <c r="BQ9" s="90">
        <f t="shared" ca="1" si="29"/>
        <v>150037.01500485477</v>
      </c>
      <c r="BR9" s="81" cm="1">
        <f t="array" aca="1" ref="BR9" ca="1">INDIRECT("'Compliance Resources by State'!O"&amp;MATCH($B$1,'Demand by State by ST'!$E:$E,0)+($B9-2022))</f>
        <v>2273.65416</v>
      </c>
      <c r="BS9" s="83">
        <f>VLOOKUP(DATE($BH9,1,1),'MC_Supply Price Offsets'!$A:$K,VALUE(RIGHT($B$1,LEN($B$1)-7))+1,FALSE)</f>
        <v>0.86499999999999999</v>
      </c>
      <c r="BT9" s="90">
        <f t="shared" ca="1" si="30"/>
        <v>1966710.8484</v>
      </c>
      <c r="BU9" s="81" cm="1">
        <f t="array" aca="1" ref="BU9" ca="1">INDIRECT("'Compliance Resources by State'!P"&amp;MATCH($B$1,'Demand by State by ST'!$E:$E,0)+($B9-2022))</f>
        <v>1001.8508028</v>
      </c>
      <c r="BV9" s="82">
        <f t="shared" ca="1" si="31"/>
        <v>168.91775999999982</v>
      </c>
      <c r="BW9" s="83">
        <f t="shared" ca="1" si="32"/>
        <v>11.423999999999999</v>
      </c>
      <c r="BX9" s="82">
        <f t="shared" ca="1" si="33"/>
        <v>704346.51893759915</v>
      </c>
      <c r="BY9" s="84">
        <f ca="1">SUM(BX$4:BX9)</f>
        <v>10045802.867342398</v>
      </c>
      <c r="BZ9" s="81" cm="1">
        <f t="array" aca="1" ref="BZ9" ca="1">INDIRECT("'Compliance Resources by State'!Q"&amp;MATCH($B$1,'Demand by State by ST'!$E:$E,0)+($B9-2022))</f>
        <v>0</v>
      </c>
      <c r="CA9" s="82">
        <f t="shared" ca="1" si="34"/>
        <v>0</v>
      </c>
      <c r="CB9" s="83">
        <f t="shared" ca="1" si="35"/>
        <v>16.423999999999999</v>
      </c>
      <c r="CC9" s="82">
        <f t="shared" ca="1" si="36"/>
        <v>0</v>
      </c>
      <c r="CD9" s="84">
        <f ca="1">SUM(CC$4:CC9)</f>
        <v>0</v>
      </c>
      <c r="CE9" s="81" cm="1">
        <f t="array" aca="1" ref="CE9" ca="1">INDIRECT("'Compliance Resources by State'!N"&amp;MATCH($B$1,'Demand by State by ST'!$E:$E,0)+($B9-2022))</f>
        <v>0</v>
      </c>
      <c r="CF9" s="82">
        <f t="shared" ca="1" si="37"/>
        <v>0</v>
      </c>
      <c r="CG9" s="83">
        <f t="shared" ca="1" si="38"/>
        <v>13.423999999999999</v>
      </c>
      <c r="CH9" s="82">
        <f t="shared" ca="1" si="39"/>
        <v>0</v>
      </c>
      <c r="CI9" s="84">
        <f ca="1">SUM(CH$4:CH9)</f>
        <v>0</v>
      </c>
      <c r="CJ9" s="81" cm="1">
        <f t="array" aca="1" ref="CJ9" ca="1">INDIRECT("'Compliance Resources by State'!R"&amp;MATCH($B$1,'Demand by State by ST'!$E:$E,0)+($B9-2022))</f>
        <v>0</v>
      </c>
      <c r="CK9" s="82">
        <f t="shared" ca="1" si="40"/>
        <v>0</v>
      </c>
      <c r="CL9" s="83">
        <f t="shared" ca="1" si="41"/>
        <v>20.224</v>
      </c>
      <c r="CM9" s="82">
        <f t="shared" ca="1" si="42"/>
        <v>0</v>
      </c>
      <c r="CN9" s="84">
        <f ca="1">SUM(CM$4:CM9)</f>
        <v>0</v>
      </c>
      <c r="CO9" s="127">
        <f t="shared" ca="1" si="43"/>
        <v>0.10190964625903519</v>
      </c>
      <c r="CP9" s="128">
        <f t="shared" ca="1" si="44"/>
        <v>0</v>
      </c>
      <c r="CQ9" s="128">
        <f t="shared" ca="1" si="45"/>
        <v>0</v>
      </c>
      <c r="CR9" s="128">
        <f t="shared" ca="1" si="46"/>
        <v>0.1019096500577184</v>
      </c>
      <c r="CS9" s="159">
        <f ca="1">VLOOKUP('Compliance Data'!$B9,'Notes and Scenario Inputs'!$B$57:$C$86,2,FALSE)*BI9</f>
        <v>1001.8508401439999</v>
      </c>
      <c r="CT9" s="120">
        <f t="shared" ca="1" si="47"/>
        <v>1001.8508028</v>
      </c>
      <c r="CU9" s="83">
        <f ca="1">'Notes and Scenario Inputs'!C63*'Compliance Data'!BI9-'Compliance Data'!CV9</f>
        <v>964.69051064037114</v>
      </c>
      <c r="CV9" s="90">
        <f t="shared" ca="1" si="48"/>
        <v>37.160329503628802</v>
      </c>
      <c r="CW9" s="104">
        <f>IF(VALUE(RIGHT($B$1,LEN($B$1)-7))=1,0,VLOOKUP($B9,'Load Reductions'!$1:$30,VALUE(RIGHT($B$1,LEN($B$1)-7)+39),FALSE))</f>
        <v>459.1754533203125</v>
      </c>
      <c r="CX9" s="105">
        <f>IF(VALUE(RIGHT($B$1,LEN($B$1)-7))=1,0,VLOOKUP($B9,'Load Reductions'!$1:$30,VALUE(RIGHT($B$1,LEN($B$1)-7)+48),FALSE))</f>
        <v>176.50750927734376</v>
      </c>
      <c r="CY9" s="105">
        <f>IF(VALUE(RIGHT($B$1,LEN($B$1)-7))=1,0,VLOOKUP($B9,'Load Reductions'!$1:$30,VALUE(RIGHT($B$1,LEN($B$1)-7)+57),FALSE))</f>
        <v>98.775823730468744</v>
      </c>
      <c r="CZ9" s="105">
        <f>IF(VALUE(RIGHT($B$1,LEN($B$1)-7))=1,0,VLOOKUP($B9,'Load Reductions'!$1:$30,VALUE(RIGHT($B$1,LEN($B$1)-7)+66),FALSE))</f>
        <v>201.56234531250001</v>
      </c>
      <c r="DA9" s="136">
        <f>IF(AND($B9 = 2022, $B$1&lt;&gt;"Sample 3"), 0, VLOOKUP($B9,'Washington DSM Scenario Costs'!$A$1:$BN$30,RIGHT($B$1,LEN($B$1)-7)+56,FALSE))</f>
        <v>0</v>
      </c>
      <c r="DB9" s="96">
        <f t="shared" ca="1" si="49"/>
        <v>9830.7750009600004</v>
      </c>
      <c r="DC9" s="82">
        <f t="shared" ca="1" si="50"/>
        <v>6493.1357800800015</v>
      </c>
      <c r="DD9" s="82">
        <f t="shared" ca="1" si="51"/>
        <v>6493.1357784000011</v>
      </c>
      <c r="DE9" s="81">
        <f t="shared" ca="1" si="52"/>
        <v>10045802.867342398</v>
      </c>
      <c r="DF9" s="143">
        <f t="shared" ca="1" si="53"/>
        <v>1.0218729313163408</v>
      </c>
      <c r="DG9" s="82">
        <f t="shared" ca="1" si="54"/>
        <v>2116747.8634048547</v>
      </c>
      <c r="DH9" s="145">
        <f t="shared" ca="1" si="55"/>
        <v>0.2153185138707934</v>
      </c>
      <c r="DI9" s="82">
        <f t="shared" si="62"/>
        <v>0</v>
      </c>
      <c r="DJ9" s="143">
        <f t="shared" ca="1" si="56"/>
        <v>0</v>
      </c>
      <c r="DK9" s="116">
        <f t="shared" ca="1" si="57"/>
        <v>12162550.730747253</v>
      </c>
      <c r="DL9" s="112">
        <f t="shared" ca="1" si="58"/>
        <v>1.2371914451871342</v>
      </c>
      <c r="DM9" s="102" cm="1">
        <f t="array" aca="1" ref="DM9" ca="1">INDIRECT("'Emissions by State'!I"&amp;MATCH($B$1,'Demand by State by ST'!$E:$E,0)+($B9-2022))</f>
        <v>381094.00000001001</v>
      </c>
      <c r="DN9" s="82">
        <f t="shared" ca="1" si="59"/>
        <v>345722.76039000909</v>
      </c>
      <c r="DO9" s="124"/>
      <c r="DP9" s="58">
        <v>345725.9</v>
      </c>
      <c r="DQ9" s="4">
        <f t="shared" ca="1" si="60"/>
        <v>59.159375882133645</v>
      </c>
    </row>
    <row r="10" spans="1:123" x14ac:dyDescent="0.25">
      <c r="A10">
        <v>366</v>
      </c>
      <c r="B10">
        <v>2028</v>
      </c>
      <c r="C10" s="92" cm="1">
        <f t="array" aca="1" ref="C10" ca="1">INDIRECT("'Demand by State by ST'!H"&amp;MATCH($B$1,'Demand by State by ST'!$E:$E,0)+($B10-2022))</f>
        <v>67346.901999359994</v>
      </c>
      <c r="D10" s="100" cm="1">
        <f t="array" aca="1" ref="D10" ca="1">INDIRECT("'Demand by State by ST'!J"&amp;MATCH($B$1,'Demand by State by ST'!$E:$E,0)+($B10-2022))</f>
        <v>30121.49800032</v>
      </c>
      <c r="E10" s="96" cm="1">
        <f t="array" aca="1" ref="E10" ca="1">INDIRECT("'Gas Flow by State'!H"&amp;MATCH($B$1,'Demand by State by ST'!$E:$E,0)+($B10-2022))</f>
        <v>97493.249474159995</v>
      </c>
      <c r="F10" s="98">
        <f ca="1">VLOOKUP($B10,'WACOG Calc'!$B$49:$L$78,VALUE(RIGHT($B$1,LEN($B$1)-7))+1,FALSE)</f>
        <v>4.0423048070945926</v>
      </c>
      <c r="G10" s="90">
        <f t="shared" ca="1" si="0"/>
        <v>394097431.00866932</v>
      </c>
      <c r="H10" s="82" cm="1">
        <f t="array" aca="1" ref="H10" ca="1">INDIRECT("'Compliance Resources by State'!H"&amp;MATCH($B$1,'Demand by State by ST'!$E:$E,0)+($B10-2022))</f>
        <v>2123.4794436000002</v>
      </c>
      <c r="I10" s="83" cm="1">
        <f t="array" aca="1" ref="I10" ca="1">INDIRECT("'OR CCI Price'!C"&amp;MATCH($B10,'OR CCI Price'!$A:$A,0))</f>
        <v>6.0516899999999998</v>
      </c>
      <c r="J10" s="90">
        <f t="shared" ca="1" si="1"/>
        <v>12850639.314039685</v>
      </c>
      <c r="K10" s="81" cm="1">
        <f t="array" aca="1" ref="K10" ca="1">INDIRECT("'Compliance Resources by State'!J"&amp;MATCH($B$1,'Demand by State by ST'!$E:$E,0)+($B10-2022))</f>
        <v>7732.57048416</v>
      </c>
      <c r="L10" s="82">
        <f t="shared" ca="1" si="2"/>
        <v>3623.167679999995</v>
      </c>
      <c r="M10" s="83" cm="1">
        <f t="array" aca="1" ref="M10" ca="1">INDIRECT("'MC_Supply Price "&amp;K$2&amp;"'!D"&amp;MATCH($B10,'MC_Supply Price RNG Tranche 1'!$A:$A,0)+VALUE(RIGHT($B$1,LEN($B$1)-7))-1)</f>
        <v>11.368</v>
      </c>
      <c r="N10" s="82">
        <f t="shared" ca="1" si="3"/>
        <v>15074870.288163818</v>
      </c>
      <c r="O10" s="84">
        <f ca="1">SUM(N$4:N10)</f>
        <v>80125296.28268902</v>
      </c>
      <c r="P10" s="81" cm="1">
        <f t="array" aca="1" ref="P10" ca="1">INDIRECT("'Compliance Resources by State'!K"&amp;MATCH($B$1,'Demand by State by ST'!$E:$E,0)+($B10-2022))</f>
        <v>0</v>
      </c>
      <c r="Q10" s="82">
        <f t="shared" ca="1" si="4"/>
        <v>0</v>
      </c>
      <c r="R10" s="83" cm="1">
        <f t="array" aca="1" ref="R10" ca="1">INDIRECT("'MC_Supply Price "&amp;P$2&amp;"'!D"&amp;MATCH($B10,'MC_Supply Price RNG Tranche 2'!$A:$A,0)+VALUE(RIGHT($B$1,LEN($B$1)-7))-1)</f>
        <v>16.367999999999999</v>
      </c>
      <c r="S10" s="82">
        <f t="shared" ca="1" si="5"/>
        <v>0</v>
      </c>
      <c r="T10" s="84">
        <f ca="1">SUM(S$4:S10)</f>
        <v>0</v>
      </c>
      <c r="U10" s="81" cm="1">
        <f t="array" aca="1" ref="U10" ca="1">INDIRECT("'Compliance Resources by State'!I"&amp;MATCH($B$1,'Demand by State by ST'!$E:$E,0)+($B10-2022))</f>
        <v>0</v>
      </c>
      <c r="V10" s="82">
        <f t="shared" ca="1" si="6"/>
        <v>0</v>
      </c>
      <c r="W10" s="83" cm="1">
        <f t="array" aca="1" ref="W10" ca="1">INDIRECT("'MC_Supply Price "&amp;U$2&amp;"'!D"&amp;MATCH($B10,'MC_Supply Price Hydrogen'!$A:$A,0)+VALUE(RIGHT($B$1,LEN($B$1)-7))-1)</f>
        <v>11.917999999999999</v>
      </c>
      <c r="X10" s="82">
        <f t="shared" ca="1" si="7"/>
        <v>0</v>
      </c>
      <c r="Y10" s="90">
        <f ca="1">SUM(X$4:X10)</f>
        <v>0</v>
      </c>
      <c r="Z10" s="81" cm="1">
        <f t="array" aca="1" ref="Z10" ca="1">INDIRECT("'Compliance Resources by State'!L"&amp;MATCH($B$1,'Demand by State by ST'!$E:$E,0)+($B10-2022))</f>
        <v>0</v>
      </c>
      <c r="AA10" s="82">
        <f t="shared" ca="1" si="8"/>
        <v>0</v>
      </c>
      <c r="AB10" s="83" cm="1">
        <f t="array" aca="1" ref="AB10" ca="1">INDIRECT("'MC_Supply Price Synthetic Metha'!D"&amp;MATCH($B10,'MC_Supply Price Synthetic Metha'!$A:$A,0)+VALUE(RIGHT($B$1,LEN($B$1)-7))-1)</f>
        <v>18.606000000000002</v>
      </c>
      <c r="AC10" s="82">
        <f t="shared" ca="1" si="9"/>
        <v>0</v>
      </c>
      <c r="AD10" s="82">
        <f ca="1">SUM(AC$4:AC10)</f>
        <v>0</v>
      </c>
      <c r="AE10" s="127">
        <f t="shared" ca="1" si="10"/>
        <v>9.8289688048551677E-2</v>
      </c>
      <c r="AF10" s="128">
        <f t="shared" ca="1" si="11"/>
        <v>0</v>
      </c>
      <c r="AG10" s="128">
        <f t="shared" ca="1" si="12"/>
        <v>0</v>
      </c>
      <c r="AH10" s="82">
        <f t="shared" ca="1" si="13"/>
        <v>7732.57048416</v>
      </c>
      <c r="AI10" s="156">
        <f t="shared" ca="1" si="14"/>
        <v>8.9824981839709522E-2</v>
      </c>
      <c r="AJ10" s="90">
        <f ca="1">VLOOKUP('Compliance Data'!$B10,'Notes and Scenario Inputs'!$B$57:$C$86,2,FALSE)*'Compliance Data'!C10</f>
        <v>8755.0972599167999</v>
      </c>
      <c r="AK10" s="105">
        <f>IF(VALUE(RIGHT($B$1,LEN($B$1)-7))=1,0,VLOOKUP($B10,'Load Reductions'!$1:$30,VALUE(RIGHT($B$1,LEN($B$1)-7)),FALSE))</f>
        <v>2902.3763640625002</v>
      </c>
      <c r="AL10" s="105">
        <f>IF(VALUE(RIGHT($B$1,LEN($B$1)-7))=1,0,VLOOKUP($B10,'Load Reductions'!$1:$30,VALUE(RIGHT($B$1,LEN($B$1)-7)+9),FALSE))</f>
        <v>2374.8472671875002</v>
      </c>
      <c r="AM10" s="155">
        <f>IF(VALUE(RIGHT($B$1,LEN($B$1)-7))=1,0,VLOOKUP($B10,'Load Reductions'!$1:$30,VALUE(RIGHT($B$1,LEN($B$1)-7)+18),FALSE))</f>
        <v>2005.8102093750001</v>
      </c>
      <c r="AN10" s="105">
        <f>IF(VALUE(RIGHT($B$1,LEN($B$1)-7))=1,0,VLOOKUP($B10,'Load Reductions'!$1:$30,VALUE(RIGHT($B$1,LEN($B$1)-7)+27),FALSE))</f>
        <v>4993.6419562499996</v>
      </c>
      <c r="AO10" s="135">
        <f>VLOOKUP($B10,'Oregon DSM Scenario Costs'!$A$1:$BN$30,RIGHT($B$1,LEN($B$1)-7)+56,FALSE)</f>
        <v>0</v>
      </c>
      <c r="AP10" s="96">
        <f t="shared" ca="1" si="15"/>
        <v>97468.399999679998</v>
      </c>
      <c r="AQ10" s="105">
        <f>'Fixed Contracts'!C10</f>
        <v>770.99996999999996</v>
      </c>
      <c r="AR10" s="82">
        <f>'Fixed Contracts'!B10</f>
        <v>1847.5681464000002</v>
      </c>
      <c r="AS10" s="82">
        <f t="shared" ca="1" si="61"/>
        <v>103873.34048472</v>
      </c>
      <c r="AT10" s="82">
        <f t="shared" ca="1" si="16"/>
        <v>85764.781925520016</v>
      </c>
      <c r="AU10" s="113">
        <f t="shared" ca="1" si="17"/>
        <v>80125296.28268902</v>
      </c>
      <c r="AV10" s="139">
        <f t="shared" ca="1" si="18"/>
        <v>0.82206434375604898</v>
      </c>
      <c r="AW10" s="116">
        <f t="shared" ca="1" si="19"/>
        <v>12850639.314039685</v>
      </c>
      <c r="AX10" s="139">
        <f t="shared" ca="1" si="20"/>
        <v>0.13184415989266138</v>
      </c>
      <c r="AY10" s="116">
        <f t="shared" si="21"/>
        <v>0</v>
      </c>
      <c r="AZ10" s="141">
        <f t="shared" ca="1" si="22"/>
        <v>0</v>
      </c>
      <c r="BA10" s="116">
        <f t="shared" ca="1" si="23"/>
        <v>92975935.596728712</v>
      </c>
      <c r="BB10" s="112">
        <f t="shared" ca="1" si="24"/>
        <v>0.95390850364871038</v>
      </c>
      <c r="BC10" s="102" cm="1">
        <f t="array" aca="1" ref="BC10" ca="1">INDIRECT("'Emissions by State'!H"&amp;MATCH($B$1,'Demand by State by ST'!$E:$E,0)+($B10-2022))</f>
        <v>5029589</v>
      </c>
      <c r="BD10" s="82">
        <f t="shared" ca="1" si="25"/>
        <v>4562767.6969649997</v>
      </c>
      <c r="BE10" s="82"/>
      <c r="BF10" s="90">
        <v>4562813.0769230761</v>
      </c>
      <c r="BG10" s="4">
        <f t="shared" ca="1" si="26"/>
        <v>855.09028354186808</v>
      </c>
      <c r="BH10">
        <v>2028</v>
      </c>
      <c r="BI10" s="92" cm="1">
        <f t="array" aca="1" ref="BI10" ca="1">INDIRECT("'Demand by State by ST'!I"&amp;MATCH($B$1,'Demand by State by ST'!$E:$E,0)+($B10-2022))</f>
        <v>8201.8570010399999</v>
      </c>
      <c r="BJ10" s="93" cm="1">
        <f t="array" aca="1" ref="BJ10" ca="1">INDIRECT("'Demand by State by ST'!K"&amp;MATCH($B$1,'Demand by State by ST'!$E:$E,0)+($B10-2022))</f>
        <v>1438.52500224</v>
      </c>
      <c r="BK10" s="96" cm="1">
        <f t="array" aca="1" ref="BK10" ca="1">INDIRECT("'Gas Flow by State'!I"&amp;MATCH($B$1,'Demand by State by ST'!$E:$E,0)+($B10-2022))</f>
        <v>9640.3820008799994</v>
      </c>
      <c r="BL10" s="118">
        <f t="shared" ca="1" si="27"/>
        <v>4.0423048070945926</v>
      </c>
      <c r="BM10" s="93">
        <f t="shared" ca="1" si="28"/>
        <v>38969362.504385412</v>
      </c>
      <c r="BN10" s="81" cm="1">
        <f t="array" aca="1" ref="BN10" ca="1">INDIRECT("'Compliance Resources by State'!M"&amp;MATCH($B$1,'Demand by State by ST'!$E:$E,0)+($B10-2022))</f>
        <v>2536.6095883200001</v>
      </c>
      <c r="BO10" s="83">
        <f>VLOOKUP(DATE($BH10,1,1),'MC_Allowance Price'!$A:$K,VALUE(RIGHT($B$1,LEN($B$1)-7))+1,FALSE)</f>
        <v>2.6435055074141016</v>
      </c>
      <c r="BP10">
        <v>5.67</v>
      </c>
      <c r="BQ10" s="90">
        <f t="shared" ca="1" si="29"/>
        <v>6705541.4168833364</v>
      </c>
      <c r="BR10" s="81" cm="1">
        <f t="array" aca="1" ref="BR10" ca="1">INDIRECT("'Compliance Resources by State'!O"&amp;MATCH($B$1,'Demand by State by ST'!$E:$E,0)+($B10-2022))</f>
        <v>0</v>
      </c>
      <c r="BS10" s="83">
        <f>VLOOKUP(DATE($BH10,1,1),'MC_Supply Price Offsets'!$A:$K,VALUE(RIGHT($B$1,LEN($B$1)-7))+1,FALSE)</f>
        <v>0.91700000000000004</v>
      </c>
      <c r="BT10" s="90">
        <f t="shared" ca="1" si="30"/>
        <v>0</v>
      </c>
      <c r="BU10" s="81" cm="1">
        <f t="array" aca="1" ref="BU10" ca="1">INDIRECT("'Compliance Resources by State'!P"&amp;MATCH($B$1,'Demand by State by ST'!$E:$E,0)+($B10-2022))</f>
        <v>1066.241448</v>
      </c>
      <c r="BV10" s="82">
        <f t="shared" ca="1" si="31"/>
        <v>168.43128000000024</v>
      </c>
      <c r="BW10" s="83">
        <f t="shared" ca="1" si="32"/>
        <v>11.368</v>
      </c>
      <c r="BX10" s="82">
        <f t="shared" ca="1" si="33"/>
        <v>700790.00552064099</v>
      </c>
      <c r="BY10" s="84">
        <f ca="1">SUM(BX$4:BX10)</f>
        <v>10746592.872863039</v>
      </c>
      <c r="BZ10" s="81" cm="1">
        <f t="array" aca="1" ref="BZ10" ca="1">INDIRECT("'Compliance Resources by State'!Q"&amp;MATCH($B$1,'Demand by State by ST'!$E:$E,0)+($B10-2022))</f>
        <v>0</v>
      </c>
      <c r="CA10" s="82">
        <f t="shared" ca="1" si="34"/>
        <v>0</v>
      </c>
      <c r="CB10" s="83">
        <f t="shared" ca="1" si="35"/>
        <v>16.367999999999999</v>
      </c>
      <c r="CC10" s="82">
        <f t="shared" ca="1" si="36"/>
        <v>0</v>
      </c>
      <c r="CD10" s="84">
        <f ca="1">SUM(CC$4:CC10)</f>
        <v>0</v>
      </c>
      <c r="CE10" s="81" cm="1">
        <f t="array" aca="1" ref="CE10" ca="1">INDIRECT("'Compliance Resources by State'!N"&amp;MATCH($B$1,'Demand by State by ST'!$E:$E,0)+($B10-2022))</f>
        <v>0</v>
      </c>
      <c r="CF10" s="82">
        <f t="shared" ca="1" si="37"/>
        <v>0</v>
      </c>
      <c r="CG10" s="83">
        <f t="shared" ca="1" si="38"/>
        <v>11.917999999999999</v>
      </c>
      <c r="CH10" s="82">
        <f t="shared" ca="1" si="39"/>
        <v>0</v>
      </c>
      <c r="CI10" s="84">
        <f ca="1">SUM(CH$4:CH10)</f>
        <v>0</v>
      </c>
      <c r="CJ10" s="81" cm="1">
        <f t="array" aca="1" ref="CJ10" ca="1">INDIRECT("'Compliance Resources by State'!R"&amp;MATCH($B$1,'Demand by State by ST'!$E:$E,0)+($B10-2022))</f>
        <v>0</v>
      </c>
      <c r="CK10" s="82">
        <f t="shared" ca="1" si="40"/>
        <v>0</v>
      </c>
      <c r="CL10" s="83">
        <f t="shared" ca="1" si="41"/>
        <v>18.606000000000002</v>
      </c>
      <c r="CM10" s="82">
        <f t="shared" ca="1" si="42"/>
        <v>0</v>
      </c>
      <c r="CN10" s="84">
        <f ca="1">SUM(CM$4:CM10)</f>
        <v>0</v>
      </c>
      <c r="CO10" s="127">
        <f t="shared" ca="1" si="43"/>
        <v>0.11060157653889928</v>
      </c>
      <c r="CP10" s="128">
        <f t="shared" ca="1" si="44"/>
        <v>0</v>
      </c>
      <c r="CQ10" s="128">
        <f t="shared" ca="1" si="45"/>
        <v>0</v>
      </c>
      <c r="CR10" s="128">
        <f t="shared" ca="1" si="46"/>
        <v>0.11060157261117111</v>
      </c>
      <c r="CS10" s="159">
        <f ca="1">VLOOKUP('Compliance Data'!$B10,'Notes and Scenario Inputs'!$B$57:$C$86,2,FALSE)*BI10</f>
        <v>1066.2414101352001</v>
      </c>
      <c r="CT10" s="120">
        <f t="shared" ca="1" si="47"/>
        <v>1066.241448</v>
      </c>
      <c r="CU10" s="83">
        <f ca="1">'Notes and Scenario Inputs'!C64*'Compliance Data'!BI10-'Compliance Data'!CV10</f>
        <v>1029.8007661628017</v>
      </c>
      <c r="CV10" s="90">
        <f t="shared" ca="1" si="48"/>
        <v>36.440643972398398</v>
      </c>
      <c r="CW10" s="104">
        <f>IF(VALUE(RIGHT($B$1,LEN($B$1)-7))=1,0,VLOOKUP($B10,'Load Reductions'!$1:$30,VALUE(RIGHT($B$1,LEN($B$1)-7)+39),FALSE))</f>
        <v>646.84530449218755</v>
      </c>
      <c r="CX10" s="105">
        <f>IF(VALUE(RIGHT($B$1,LEN($B$1)-7))=1,0,VLOOKUP($B10,'Load Reductions'!$1:$30,VALUE(RIGHT($B$1,LEN($B$1)-7)+48),FALSE))</f>
        <v>246.68981894531251</v>
      </c>
      <c r="CY10" s="105">
        <f>IF(VALUE(RIGHT($B$1,LEN($B$1)-7))=1,0,VLOOKUP($B10,'Load Reductions'!$1:$30,VALUE(RIGHT($B$1,LEN($B$1)-7)+57),FALSE))</f>
        <v>118.6183169921875</v>
      </c>
      <c r="CZ10" s="105">
        <f>IF(VALUE(RIGHT($B$1,LEN($B$1)-7))=1,0,VLOOKUP($B10,'Load Reductions'!$1:$30,VALUE(RIGHT($B$1,LEN($B$1)-7)+66),FALSE))</f>
        <v>244.1860125</v>
      </c>
      <c r="DA10" s="136">
        <f>IF(AND($B10 = 2022, $B$1&lt;&gt;"Sample 3"), 0, VLOOKUP($B10,'Washington DSM Scenario Costs'!$A$1:$BN$30,RIGHT($B$1,LEN($B$1)-7)+56,FALSE))</f>
        <v>0</v>
      </c>
      <c r="DB10" s="96">
        <f t="shared" ca="1" si="49"/>
        <v>9640.3820032799995</v>
      </c>
      <c r="DC10" s="82">
        <f t="shared" ca="1" si="50"/>
        <v>6037.53096456</v>
      </c>
      <c r="DD10" s="82">
        <f t="shared" ca="1" si="51"/>
        <v>6037.5309669600001</v>
      </c>
      <c r="DE10" s="81">
        <f t="shared" ca="1" si="52"/>
        <v>10746592.872863039</v>
      </c>
      <c r="DF10" s="143">
        <f t="shared" ca="1" si="53"/>
        <v>1.1147476178025588</v>
      </c>
      <c r="DG10" s="82">
        <f t="shared" ca="1" si="54"/>
        <v>6705541.4168833364</v>
      </c>
      <c r="DH10" s="145">
        <f t="shared" ca="1" si="55"/>
        <v>0.69556801946249369</v>
      </c>
      <c r="DI10" s="82">
        <f t="shared" si="62"/>
        <v>0</v>
      </c>
      <c r="DJ10" s="143">
        <f t="shared" ca="1" si="56"/>
        <v>0</v>
      </c>
      <c r="DK10" s="116">
        <f t="shared" ca="1" si="57"/>
        <v>17452134.289746374</v>
      </c>
      <c r="DL10" s="112">
        <f t="shared" ca="1" si="58"/>
        <v>1.8103156372650524</v>
      </c>
      <c r="DM10" s="102" cm="1">
        <f t="array" aca="1" ref="DM10" ca="1">INDIRECT("'Emissions by State'!I"&amp;MATCH($B$1,'Demand by State by ST'!$E:$E,0)+($B10-2022))</f>
        <v>354416.99999998999</v>
      </c>
      <c r="DN10" s="82">
        <f t="shared" ca="1" si="59"/>
        <v>321521.78614499094</v>
      </c>
      <c r="DO10" s="124"/>
      <c r="DP10" s="58">
        <v>321525.09999999998</v>
      </c>
      <c r="DQ10" s="4">
        <f t="shared" ca="1" si="60"/>
        <v>62.442658376267559</v>
      </c>
    </row>
    <row r="11" spans="1:123" x14ac:dyDescent="0.25">
      <c r="A11">
        <v>365</v>
      </c>
      <c r="B11">
        <v>2029</v>
      </c>
      <c r="C11" s="92" cm="1">
        <f t="array" aca="1" ref="C11" ca="1">INDIRECT("'Demand by State by ST'!H"&amp;MATCH($B$1,'Demand by State by ST'!$E:$E,0)+($B11-2022))</f>
        <v>65290.301000400003</v>
      </c>
      <c r="D11" s="100" cm="1">
        <f t="array" aca="1" ref="D11" ca="1">INDIRECT("'Demand by State by ST'!J"&amp;MATCH($B$1,'Demand by State by ST'!$E:$E,0)+($B11-2022))</f>
        <v>28912.251992879999</v>
      </c>
      <c r="E11" s="96" cm="1">
        <f t="array" aca="1" ref="E11" ca="1">INDIRECT("'Gas Flow by State'!H"&amp;MATCH($B$1,'Demand by State by ST'!$E:$E,0)+($B11-2022))</f>
        <v>94030.669102080006</v>
      </c>
      <c r="F11" s="98">
        <f ca="1">VLOOKUP($B11,'WACOG Calc'!$B$49:$L$78,VALUE(RIGHT($B$1,LEN($B$1)-7))+1,FALSE)</f>
        <v>3.6848995430987261</v>
      </c>
      <c r="G11" s="90">
        <f t="shared" ca="1" si="0"/>
        <v>346493569.61152214</v>
      </c>
      <c r="H11" s="82" cm="1">
        <f t="array" aca="1" ref="H11" ca="1">INDIRECT("'Compliance Resources by State'!H"&amp;MATCH($B$1,'Demand by State by ST'!$E:$E,0)+($B11-2022))</f>
        <v>3175.53789336</v>
      </c>
      <c r="I11" s="83" cm="1">
        <f t="array" aca="1" ref="I11" ca="1">INDIRECT("'OR CCI Price'!C"&amp;MATCH($B11,'OR CCI Price'!$A:$A,0))</f>
        <v>6.1047750000000001</v>
      </c>
      <c r="J11" s="90">
        <f t="shared" ca="1" si="1"/>
        <v>19385944.342936791</v>
      </c>
      <c r="K11" s="81" cm="1">
        <f t="array" aca="1" ref="K11" ca="1">INDIRECT("'Compliance Resources by State'!J"&amp;MATCH($B$1,'Demand by State by ST'!$E:$E,0)+($B11-2022))</f>
        <v>7711.4432423999997</v>
      </c>
      <c r="L11" s="82">
        <f t="shared" ca="1" si="2"/>
        <v>3.637978807091713E-12</v>
      </c>
      <c r="M11" s="83" cm="1">
        <f t="array" aca="1" ref="M11" ca="1">INDIRECT("'MC_Supply Price "&amp;K$2&amp;"'!D"&amp;MATCH($B11,'MC_Supply Price RNG Tranche 1'!$A:$A,0)+VALUE(RIGHT($B$1,LEN($B$1)-7))-1)</f>
        <v>11.327999999999999</v>
      </c>
      <c r="N11" s="82">
        <f t="shared" ca="1" si="3"/>
        <v>1.5042023733258245E-8</v>
      </c>
      <c r="O11" s="84">
        <f ca="1">SUM(N$4:N11)</f>
        <v>80125296.282689035</v>
      </c>
      <c r="P11" s="81" cm="1">
        <f t="array" aca="1" ref="P11" ca="1">INDIRECT("'Compliance Resources by State'!K"&amp;MATCH($B$1,'Demand by State by ST'!$E:$E,0)+($B11-2022))</f>
        <v>0</v>
      </c>
      <c r="Q11" s="82">
        <f t="shared" ca="1" si="4"/>
        <v>0</v>
      </c>
      <c r="R11" s="83" cm="1">
        <f t="array" aca="1" ref="R11" ca="1">INDIRECT("'MC_Supply Price "&amp;P$2&amp;"'!D"&amp;MATCH($B11,'MC_Supply Price RNG Tranche 2'!$A:$A,0)+VALUE(RIGHT($B$1,LEN($B$1)-7))-1)</f>
        <v>16.327999999999999</v>
      </c>
      <c r="S11" s="82">
        <f t="shared" ca="1" si="5"/>
        <v>0</v>
      </c>
      <c r="T11" s="84">
        <f ca="1">SUM(S$4:S11)</f>
        <v>0</v>
      </c>
      <c r="U11" s="81" cm="1">
        <f t="array" aca="1" ref="U11" ca="1">INDIRECT("'Compliance Resources by State'!I"&amp;MATCH($B$1,'Demand by State by ST'!$E:$E,0)+($B11-2022))</f>
        <v>0</v>
      </c>
      <c r="V11" s="82">
        <f t="shared" ca="1" si="6"/>
        <v>0</v>
      </c>
      <c r="W11" s="83" cm="1">
        <f t="array" aca="1" ref="W11" ca="1">INDIRECT("'MC_Supply Price "&amp;U$2&amp;"'!D"&amp;MATCH($B11,'MC_Supply Price Hydrogen'!$A:$A,0)+VALUE(RIGHT($B$1,LEN($B$1)-7))-1)</f>
        <v>10.428000000000001</v>
      </c>
      <c r="X11" s="82">
        <f t="shared" ca="1" si="7"/>
        <v>0</v>
      </c>
      <c r="Y11" s="90">
        <f ca="1">SUM(X$4:X11)</f>
        <v>0</v>
      </c>
      <c r="Z11" s="81" cm="1">
        <f t="array" aca="1" ref="Z11" ca="1">INDIRECT("'Compliance Resources by State'!L"&amp;MATCH($B$1,'Demand by State by ST'!$E:$E,0)+($B11-2022))</f>
        <v>0</v>
      </c>
      <c r="AA11" s="82">
        <f t="shared" ca="1" si="8"/>
        <v>0</v>
      </c>
      <c r="AB11" s="83" cm="1">
        <f t="array" aca="1" ref="AB11" ca="1">INDIRECT("'MC_Supply Price Synthetic Metha'!D"&amp;MATCH($B11,'MC_Supply Price Synthetic Metha'!$A:$A,0)+VALUE(RIGHT($B$1,LEN($B$1)-7))-1)</f>
        <v>17.004000000000001</v>
      </c>
      <c r="AC11" s="82">
        <f t="shared" ca="1" si="9"/>
        <v>0</v>
      </c>
      <c r="AD11" s="82">
        <f ca="1">SUM(AC$4:AC11)</f>
        <v>0</v>
      </c>
      <c r="AE11" s="127">
        <f t="shared" ca="1" si="10"/>
        <v>0.10141936799824881</v>
      </c>
      <c r="AF11" s="128">
        <f t="shared" ca="1" si="11"/>
        <v>0</v>
      </c>
      <c r="AG11" s="128">
        <f t="shared" ca="1" si="12"/>
        <v>0</v>
      </c>
      <c r="AH11" s="82">
        <f t="shared" ca="1" si="13"/>
        <v>7711.4432423999997</v>
      </c>
      <c r="AI11" s="156">
        <f t="shared" ca="1" si="14"/>
        <v>9.7031787882734505E-2</v>
      </c>
      <c r="AJ11" s="90">
        <f ca="1">VLOOKUP('Compliance Data'!$B11,'Notes and Scenario Inputs'!$B$57:$C$86,2,FALSE)*'Compliance Data'!C11</f>
        <v>9140.6421400560012</v>
      </c>
      <c r="AK11" s="105">
        <f>IF(VALUE(RIGHT($B$1,LEN($B$1)-7))=1,0,VLOOKUP($B11,'Load Reductions'!$1:$30,VALUE(RIGHT($B$1,LEN($B$1)-7)),FALSE))</f>
        <v>3826.3998500000002</v>
      </c>
      <c r="AL11" s="105">
        <f>IF(VALUE(RIGHT($B$1,LEN($B$1)-7))=1,0,VLOOKUP($B11,'Load Reductions'!$1:$30,VALUE(RIGHT($B$1,LEN($B$1)-7)+9),FALSE))</f>
        <v>3001.9030195312498</v>
      </c>
      <c r="AM11" s="155">
        <f>IF(VALUE(RIGHT($B$1,LEN($B$1)-7))=1,0,VLOOKUP($B11,'Load Reductions'!$1:$30,VALUE(RIGHT($B$1,LEN($B$1)-7)+18),FALSE))</f>
        <v>2313.4986656249998</v>
      </c>
      <c r="AN11" s="105">
        <f>IF(VALUE(RIGHT($B$1,LEN($B$1)-7))=1,0,VLOOKUP($B11,'Load Reductions'!$1:$30,VALUE(RIGHT($B$1,LEN($B$1)-7)+27),FALSE))</f>
        <v>5780.2292187499997</v>
      </c>
      <c r="AO11" s="135">
        <f>VLOOKUP($B11,'Oregon DSM Scenario Costs'!$A$1:$BN$30,RIGHT($B$1,LEN($B$1)-7)+56,FALSE)</f>
        <v>0</v>
      </c>
      <c r="AP11" s="96">
        <f t="shared" ca="1" si="15"/>
        <v>94202.552993279998</v>
      </c>
      <c r="AQ11" s="105">
        <f>'Fixed Contracts'!C11</f>
        <v>768.99997000000008</v>
      </c>
      <c r="AR11" s="82">
        <f>'Fixed Contracts'!B11</f>
        <v>1842.5201459999998</v>
      </c>
      <c r="AS11" s="82">
        <f t="shared" ca="1" si="61"/>
        <v>99335.574421120007</v>
      </c>
      <c r="AT11" s="82">
        <f t="shared" ca="1" si="16"/>
        <v>81473.051711520005</v>
      </c>
      <c r="AU11" s="113">
        <f t="shared" ca="1" si="17"/>
        <v>80125296.282689035</v>
      </c>
      <c r="AV11" s="139">
        <f t="shared" ca="1" si="18"/>
        <v>0.8505639575225189</v>
      </c>
      <c r="AW11" s="116">
        <f t="shared" ca="1" si="19"/>
        <v>19385944.342936791</v>
      </c>
      <c r="AX11" s="139">
        <f t="shared" ca="1" si="20"/>
        <v>0.20579001021681123</v>
      </c>
      <c r="AY11" s="116">
        <f t="shared" si="21"/>
        <v>0</v>
      </c>
      <c r="AZ11" s="141">
        <f t="shared" ca="1" si="22"/>
        <v>0</v>
      </c>
      <c r="BA11" s="116">
        <f t="shared" ca="1" si="23"/>
        <v>99511240.625625819</v>
      </c>
      <c r="BB11" s="112">
        <f t="shared" ca="1" si="24"/>
        <v>1.0563539677393301</v>
      </c>
      <c r="BC11" s="102" cm="1">
        <f t="array" aca="1" ref="BC11" ca="1">INDIRECT("'Emissions by State'!H"&amp;MATCH($B$1,'Demand by State by ST'!$E:$E,0)+($B11-2022))</f>
        <v>4778109</v>
      </c>
      <c r="BD11" s="82">
        <f t="shared" ca="1" si="25"/>
        <v>4334628.8131649997</v>
      </c>
      <c r="BE11" s="82"/>
      <c r="BF11" s="90">
        <v>4334672.4230769221</v>
      </c>
      <c r="BG11" s="4">
        <f t="shared" ca="1" si="26"/>
        <v>821.73747027594243</v>
      </c>
      <c r="BH11">
        <v>2029</v>
      </c>
      <c r="BI11" s="92" cm="1">
        <f t="array" aca="1" ref="BI11" ca="1">INDIRECT("'Demand by State by ST'!I"&amp;MATCH($B$1,'Demand by State by ST'!$E:$E,0)+($B11-2022))</f>
        <v>7955.4240009599998</v>
      </c>
      <c r="BJ11" s="93" cm="1">
        <f t="array" aca="1" ref="BJ11" ca="1">INDIRECT("'Demand by State by ST'!K"&amp;MATCH($B$1,'Demand by State by ST'!$E:$E,0)+($B11-2022))</f>
        <v>1378.4730072</v>
      </c>
      <c r="BK11" s="96" cm="1">
        <f t="array" aca="1" ref="BK11" ca="1">INDIRECT("'Gas Flow by State'!I"&amp;MATCH($B$1,'Demand by State by ST'!$E:$E,0)+($B11-2022))</f>
        <v>9333.8969985599997</v>
      </c>
      <c r="BL11" s="118">
        <f t="shared" ca="1" si="27"/>
        <v>3.6848995430987261</v>
      </c>
      <c r="BM11" s="93">
        <f t="shared" ca="1" si="28"/>
        <v>34394472.78532432</v>
      </c>
      <c r="BN11" s="81" cm="1">
        <f t="array" aca="1" ref="BN11" ca="1">INDIRECT("'Compliance Resources by State'!M"&amp;MATCH($B$1,'Demand by State by ST'!$E:$E,0)+($B11-2022))</f>
        <v>2606.0283194399999</v>
      </c>
      <c r="BO11" s="83">
        <f>VLOOKUP(DATE($BH11,1,1),'MC_Allowance Price'!$A:$K,VALUE(RIGHT($B$1,LEN($B$1)-7))+1,FALSE)</f>
        <v>2.8936658050138946</v>
      </c>
      <c r="BP11">
        <v>5.75</v>
      </c>
      <c r="BQ11" s="90">
        <f t="shared" ca="1" si="29"/>
        <v>7540975.0348613542</v>
      </c>
      <c r="BR11" s="81" cm="1">
        <f t="array" aca="1" ref="BR11" ca="1">INDIRECT("'Compliance Resources by State'!O"&amp;MATCH($B$1,'Demand by State by ST'!$E:$E,0)+($B11-2022))</f>
        <v>0</v>
      </c>
      <c r="BS11" s="83">
        <f>VLOOKUP(DATE($BH11,1,1),'MC_Supply Price Offsets'!$A:$K,VALUE(RIGHT($B$1,LEN($B$1)-7))+1,FALSE)</f>
        <v>0.97799999999999998</v>
      </c>
      <c r="BT11" s="90">
        <f t="shared" ca="1" si="30"/>
        <v>0</v>
      </c>
      <c r="BU11" s="81" cm="1">
        <f t="array" aca="1" ref="BU11" ca="1">INDIRECT("'Compliance Resources by State'!P"&amp;MATCH($B$1,'Demand by State by ST'!$E:$E,0)+($B11-2022))</f>
        <v>1063.3282200000001</v>
      </c>
      <c r="BV11" s="82">
        <f t="shared" ca="1" si="31"/>
        <v>4.5474735088646412E-13</v>
      </c>
      <c r="BW11" s="83">
        <f t="shared" ca="1" si="32"/>
        <v>11.327999999999999</v>
      </c>
      <c r="BX11" s="82">
        <f t="shared" ca="1" si="33"/>
        <v>1.8802529666572806E-9</v>
      </c>
      <c r="BY11" s="84">
        <f ca="1">SUM(BX$4:BX11)</f>
        <v>10746592.872863041</v>
      </c>
      <c r="BZ11" s="81" cm="1">
        <f t="array" aca="1" ref="BZ11" ca="1">INDIRECT("'Compliance Resources by State'!Q"&amp;MATCH($B$1,'Demand by State by ST'!$E:$E,0)+($B11-2022))</f>
        <v>0</v>
      </c>
      <c r="CA11" s="82">
        <f t="shared" ca="1" si="34"/>
        <v>0</v>
      </c>
      <c r="CB11" s="83">
        <f t="shared" ca="1" si="35"/>
        <v>16.327999999999999</v>
      </c>
      <c r="CC11" s="82">
        <f t="shared" ca="1" si="36"/>
        <v>0</v>
      </c>
      <c r="CD11" s="84">
        <f ca="1">SUM(CC$4:CC11)</f>
        <v>0</v>
      </c>
      <c r="CE11" s="81" cm="1">
        <f t="array" aca="1" ref="CE11" ca="1">INDIRECT("'Compliance Resources by State'!N"&amp;MATCH($B$1,'Demand by State by ST'!$E:$E,0)+($B11-2022))</f>
        <v>50.431144799999998</v>
      </c>
      <c r="CF11" s="82">
        <f t="shared" ca="1" si="37"/>
        <v>138.16752</v>
      </c>
      <c r="CG11" s="83">
        <f t="shared" ca="1" si="38"/>
        <v>10.428000000000001</v>
      </c>
      <c r="CH11" s="82">
        <f t="shared" ca="1" si="39"/>
        <v>525895.97797440004</v>
      </c>
      <c r="CI11" s="84">
        <f ca="1">SUM(CH$4:CH11)</f>
        <v>525895.97797440004</v>
      </c>
      <c r="CJ11" s="81" cm="1">
        <f t="array" aca="1" ref="CJ11" ca="1">INDIRECT("'Compliance Resources by State'!R"&amp;MATCH($B$1,'Demand by State by ST'!$E:$E,0)+($B11-2022))</f>
        <v>0</v>
      </c>
      <c r="CK11" s="82">
        <f t="shared" ca="1" si="40"/>
        <v>0</v>
      </c>
      <c r="CL11" s="83">
        <f t="shared" ca="1" si="41"/>
        <v>17.004000000000001</v>
      </c>
      <c r="CM11" s="82">
        <f t="shared" ca="1" si="42"/>
        <v>0</v>
      </c>
      <c r="CN11" s="84">
        <f ca="1">SUM(CM$4:CM11)</f>
        <v>0</v>
      </c>
      <c r="CO11" s="127">
        <f t="shared" ca="1" si="43"/>
        <v>0.11392114344848712</v>
      </c>
      <c r="CP11" s="128">
        <f t="shared" ca="1" si="44"/>
        <v>5.4030106348839542E-3</v>
      </c>
      <c r="CQ11" s="128">
        <f t="shared" ca="1" si="45"/>
        <v>0</v>
      </c>
      <c r="CR11" s="128">
        <f t="shared" ca="1" si="46"/>
        <v>0.11932415358351554</v>
      </c>
      <c r="CS11" s="159">
        <f ca="1">VLOOKUP('Compliance Data'!$B11,'Notes and Scenario Inputs'!$B$57:$C$86,2,FALSE)*BI11</f>
        <v>1113.7593601344001</v>
      </c>
      <c r="CT11" s="120">
        <f t="shared" ca="1" si="47"/>
        <v>1113.7593648000002</v>
      </c>
      <c r="CU11" s="83">
        <f ca="1">'Notes and Scenario Inputs'!C65*'Compliance Data'!BI11-'Compliance Data'!CV11</f>
        <v>1078.4772294435554</v>
      </c>
      <c r="CV11" s="90">
        <f t="shared" ca="1" si="48"/>
        <v>35.282130690844802</v>
      </c>
      <c r="CW11" s="104">
        <f>IF(VALUE(RIGHT($B$1,LEN($B$1)-7))=1,0,VLOOKUP($B11,'Load Reductions'!$1:$30,VALUE(RIGHT($B$1,LEN($B$1)-7)+39),FALSE))</f>
        <v>825.53023769531251</v>
      </c>
      <c r="CX11" s="105">
        <f>IF(VALUE(RIGHT($B$1,LEN($B$1)-7))=1,0,VLOOKUP($B11,'Load Reductions'!$1:$30,VALUE(RIGHT($B$1,LEN($B$1)-7)+48),FALSE))</f>
        <v>314.33415751953123</v>
      </c>
      <c r="CY11" s="105">
        <f>IF(VALUE(RIGHT($B$1,LEN($B$1)-7))=1,0,VLOOKUP($B11,'Load Reductions'!$1:$30,VALUE(RIGHT($B$1,LEN($B$1)-7)+57),FALSE))</f>
        <v>136.23498085937501</v>
      </c>
      <c r="CZ11" s="105">
        <f>IF(VALUE(RIGHT($B$1,LEN($B$1)-7))=1,0,VLOOKUP($B11,'Load Reductions'!$1:$30,VALUE(RIGHT($B$1,LEN($B$1)-7)+66),FALSE))</f>
        <v>283.22200195312502</v>
      </c>
      <c r="DA11" s="136">
        <f>IF(AND($B11 = 2022, $B$1&lt;&gt;"Sample 3"), 0, VLOOKUP($B11,'Washington DSM Scenario Costs'!$A$1:$BN$30,RIGHT($B$1,LEN($B$1)-7)+56,FALSE))</f>
        <v>0</v>
      </c>
      <c r="DB11" s="96">
        <f t="shared" ca="1" si="49"/>
        <v>9333.89700816</v>
      </c>
      <c r="DC11" s="82">
        <f t="shared" ca="1" si="50"/>
        <v>5614.1093143199996</v>
      </c>
      <c r="DD11" s="82">
        <f t="shared" ca="1" si="51"/>
        <v>5614.10932392</v>
      </c>
      <c r="DE11" s="81">
        <f t="shared" ca="1" si="52"/>
        <v>11272488.850837441</v>
      </c>
      <c r="DF11" s="143">
        <f t="shared" ca="1" si="53"/>
        <v>1.2076937254592224</v>
      </c>
      <c r="DG11" s="82">
        <f t="shared" ca="1" si="54"/>
        <v>7540975.0348613542</v>
      </c>
      <c r="DH11" s="145">
        <f t="shared" ca="1" si="55"/>
        <v>0.80791281800825365</v>
      </c>
      <c r="DI11" s="82">
        <f t="shared" si="62"/>
        <v>0</v>
      </c>
      <c r="DJ11" s="143">
        <f t="shared" ca="1" si="56"/>
        <v>0</v>
      </c>
      <c r="DK11" s="116">
        <f t="shared" ca="1" si="57"/>
        <v>18813463.885698795</v>
      </c>
      <c r="DL11" s="112">
        <f t="shared" ca="1" si="58"/>
        <v>2.0156065434674759</v>
      </c>
      <c r="DM11" s="102" cm="1">
        <f t="array" aca="1" ref="DM11" ca="1">INDIRECT("'Emissions by State'!I"&amp;MATCH($B$1,'Demand by State by ST'!$E:$E,0)+($B11-2022))</f>
        <v>329607.99999998999</v>
      </c>
      <c r="DN11" s="82">
        <f t="shared" ca="1" si="59"/>
        <v>299015.43347999093</v>
      </c>
      <c r="DO11" s="124"/>
      <c r="DP11" s="58">
        <v>299018.3</v>
      </c>
      <c r="DQ11" s="4">
        <f t="shared" ca="1" si="60"/>
        <v>54.013567028870057</v>
      </c>
    </row>
    <row r="12" spans="1:123" x14ac:dyDescent="0.25">
      <c r="A12">
        <v>365</v>
      </c>
      <c r="B12">
        <v>2030</v>
      </c>
      <c r="C12" s="92" cm="1">
        <f t="array" aca="1" ref="C12" ca="1">INDIRECT("'Demand by State by ST'!H"&amp;MATCH($B$1,'Demand by State by ST'!$E:$E,0)+($B12-2022))</f>
        <v>63693.088000080003</v>
      </c>
      <c r="D12" s="100" cm="1">
        <f t="array" aca="1" ref="D12" ca="1">INDIRECT("'Demand by State by ST'!J"&amp;MATCH($B$1,'Demand by State by ST'!$E:$E,0)+($B12-2022))</f>
        <v>27917.125007039998</v>
      </c>
      <c r="E12" s="96" cm="1">
        <f t="array" aca="1" ref="E12" ca="1">INDIRECT("'Gas Flow by State'!H"&amp;MATCH($B$1,'Demand by State by ST'!$E:$E,0)+($B12-2022))</f>
        <v>91423.911021120002</v>
      </c>
      <c r="F12" s="98">
        <f ca="1">VLOOKUP($B12,'WACOG Calc'!$B$49:$L$78,VALUE(RIGHT($B$1,LEN($B$1)-7))+1,FALSE)</f>
        <v>3.4161136097231943</v>
      </c>
      <c r="G12" s="90">
        <f t="shared" ca="1" si="0"/>
        <v>312314466.69337034</v>
      </c>
      <c r="H12" s="82" cm="1">
        <f t="array" aca="1" ref="H12" ca="1">INDIRECT("'Compliance Resources by State'!H"&amp;MATCH($B$1,'Demand by State by ST'!$E:$E,0)+($B12-2022))</f>
        <v>4876.3696972799999</v>
      </c>
      <c r="I12" s="83" cm="1">
        <f t="array" aca="1" ref="I12" ca="1">INDIRECT("'OR CCI Price'!C"&amp;MATCH($B12,'OR CCI Price'!$A:$A,0))</f>
        <v>6.1578600000000003</v>
      </c>
      <c r="J12" s="90">
        <f t="shared" ca="1" si="1"/>
        <v>30028001.904092621</v>
      </c>
      <c r="K12" s="81" cm="1">
        <f t="array" aca="1" ref="K12" ca="1">INDIRECT("'Compliance Resources by State'!J"&amp;MATCH($B$1,'Demand by State by ST'!$E:$E,0)+($B12-2022))</f>
        <v>7711.4432423999997</v>
      </c>
      <c r="L12" s="82">
        <f t="shared" ca="1" si="2"/>
        <v>0</v>
      </c>
      <c r="M12" s="83" cm="1">
        <f t="array" aca="1" ref="M12" ca="1">INDIRECT("'MC_Supply Price "&amp;K$2&amp;"'!D"&amp;MATCH($B12,'MC_Supply Price RNG Tranche 1'!$A:$A,0)+VALUE(RIGHT($B$1,LEN($B$1)-7))-1)</f>
        <v>11.337</v>
      </c>
      <c r="N12" s="82">
        <f t="shared" ca="1" si="3"/>
        <v>0</v>
      </c>
      <c r="O12" s="84">
        <f ca="1">SUM(N$4:N12)</f>
        <v>80125296.282689035</v>
      </c>
      <c r="P12" s="81" cm="1">
        <f t="array" aca="1" ref="P12" ca="1">INDIRECT("'Compliance Resources by State'!K"&amp;MATCH($B$1,'Demand by State by ST'!$E:$E,0)+($B12-2022))</f>
        <v>0</v>
      </c>
      <c r="Q12" s="82">
        <f t="shared" ca="1" si="4"/>
        <v>0</v>
      </c>
      <c r="R12" s="83" cm="1">
        <f t="array" aca="1" ref="R12" ca="1">INDIRECT("'MC_Supply Price "&amp;P$2&amp;"'!D"&amp;MATCH($B12,'MC_Supply Price RNG Tranche 2'!$A:$A,0)+VALUE(RIGHT($B$1,LEN($B$1)-7))-1)</f>
        <v>16.337</v>
      </c>
      <c r="S12" s="82">
        <f t="shared" ca="1" si="5"/>
        <v>0</v>
      </c>
      <c r="T12" s="84">
        <f ca="1">SUM(S$4:S12)</f>
        <v>0</v>
      </c>
      <c r="U12" s="81" cm="1">
        <f t="array" aca="1" ref="U12" ca="1">INDIRECT("'Compliance Resources by State'!I"&amp;MATCH($B$1,'Demand by State by ST'!$E:$E,0)+($B12-2022))</f>
        <v>0</v>
      </c>
      <c r="V12" s="82">
        <f t="shared" ca="1" si="6"/>
        <v>0</v>
      </c>
      <c r="W12" s="83" cm="1">
        <f t="array" aca="1" ref="W12" ca="1">INDIRECT("'MC_Supply Price "&amp;U$2&amp;"'!D"&amp;MATCH($B12,'MC_Supply Price Hydrogen'!$A:$A,0)+VALUE(RIGHT($B$1,LEN($B$1)-7))-1)</f>
        <v>8.9870000000000001</v>
      </c>
      <c r="X12" s="82">
        <f t="shared" ca="1" si="7"/>
        <v>0</v>
      </c>
      <c r="Y12" s="90">
        <f ca="1">SUM(X$4:X12)</f>
        <v>0</v>
      </c>
      <c r="Z12" s="81" cm="1">
        <f t="array" aca="1" ref="Z12" ca="1">INDIRECT("'Compliance Resources by State'!L"&amp;MATCH($B$1,'Demand by State by ST'!$E:$E,0)+($B12-2022))</f>
        <v>0</v>
      </c>
      <c r="AA12" s="82">
        <f t="shared" ca="1" si="8"/>
        <v>0</v>
      </c>
      <c r="AB12" s="83" cm="1">
        <f t="array" aca="1" ref="AB12" ca="1">INDIRECT("'MC_Supply Price Synthetic Metha'!D"&amp;MATCH($B12,'MC_Supply Price Synthetic Metha'!$A:$A,0)+VALUE(RIGHT($B$1,LEN($B$1)-7))-1)</f>
        <v>15.451000000000001</v>
      </c>
      <c r="AC12" s="82">
        <f t="shared" ca="1" si="9"/>
        <v>0</v>
      </c>
      <c r="AD12" s="82">
        <f ca="1">SUM(AC$4:AC12)</f>
        <v>0</v>
      </c>
      <c r="AE12" s="127">
        <f t="shared" ca="1" si="10"/>
        <v>0.10428928254601329</v>
      </c>
      <c r="AF12" s="128">
        <f t="shared" ca="1" si="11"/>
        <v>0</v>
      </c>
      <c r="AG12" s="128">
        <f t="shared" ca="1" si="12"/>
        <v>0</v>
      </c>
      <c r="AH12" s="82">
        <f t="shared" ca="1" si="13"/>
        <v>7711.4432423999997</v>
      </c>
      <c r="AI12" s="156">
        <f t="shared" ca="1" si="14"/>
        <v>0.10428928048960501</v>
      </c>
      <c r="AJ12" s="90">
        <f ca="1">VLOOKUP('Compliance Data'!$B12,'Notes and Scenario Inputs'!$B$57:$C$86,2,FALSE)*'Compliance Data'!C12</f>
        <v>9553.963200012</v>
      </c>
      <c r="AK12" s="105">
        <f>IF(VALUE(RIGHT($B$1,LEN($B$1)-7))=1,0,VLOOKUP($B12,'Load Reductions'!$1:$30,VALUE(RIGHT($B$1,LEN($B$1)-7)),FALSE))</f>
        <v>4754.3934109375004</v>
      </c>
      <c r="AL12" s="105">
        <f>IF(VALUE(RIGHT($B$1,LEN($B$1)-7))=1,0,VLOOKUP($B12,'Load Reductions'!$1:$30,VALUE(RIGHT($B$1,LEN($B$1)-7)+9),FALSE))</f>
        <v>3627.88509140625</v>
      </c>
      <c r="AM12" s="155">
        <f>IF(VALUE(RIGHT($B$1,LEN($B$1)-7))=1,0,VLOOKUP($B12,'Load Reductions'!$1:$30,VALUE(RIGHT($B$1,LEN($B$1)-7)+18),FALSE))</f>
        <v>2639.5976703125002</v>
      </c>
      <c r="AN12" s="105">
        <f>IF(VALUE(RIGHT($B$1,LEN($B$1)-7))=1,0,VLOOKUP($B12,'Load Reductions'!$1:$30,VALUE(RIGHT($B$1,LEN($B$1)-7)+27),FALSE))</f>
        <v>6592.2957312500002</v>
      </c>
      <c r="AO12" s="135">
        <f>VLOOKUP($B12,'Oregon DSM Scenario Costs'!$A$1:$BN$30,RIGHT($B$1,LEN($B$1)-7)+56,FALSE)</f>
        <v>0</v>
      </c>
      <c r="AP12" s="96">
        <f t="shared" ca="1" si="15"/>
        <v>91610.213007120008</v>
      </c>
      <c r="AQ12" s="105">
        <f>'Fixed Contracts'!C12</f>
        <v>768.99997000000008</v>
      </c>
      <c r="AR12" s="82">
        <f>'Fixed Contracts'!B12</f>
        <v>1842.5201459999998</v>
      </c>
      <c r="AS12" s="82">
        <f t="shared" ca="1" si="61"/>
        <v>95027.984536240008</v>
      </c>
      <c r="AT12" s="82">
        <f t="shared" ca="1" si="16"/>
        <v>77179.879921440021</v>
      </c>
      <c r="AU12" s="113">
        <f t="shared" ca="1" si="17"/>
        <v>80125296.282689035</v>
      </c>
      <c r="AV12" s="139">
        <f t="shared" ca="1" si="18"/>
        <v>0.87463279095816138</v>
      </c>
      <c r="AW12" s="116">
        <f t="shared" ca="1" si="19"/>
        <v>30028001.904092621</v>
      </c>
      <c r="AX12" s="139">
        <f t="shared" ca="1" si="20"/>
        <v>0.32778006860172698</v>
      </c>
      <c r="AY12" s="116">
        <f t="shared" si="21"/>
        <v>0</v>
      </c>
      <c r="AZ12" s="141">
        <f t="shared" ca="1" si="22"/>
        <v>0</v>
      </c>
      <c r="BA12" s="116">
        <f t="shared" ca="1" si="23"/>
        <v>110153298.18678166</v>
      </c>
      <c r="BB12" s="112">
        <f t="shared" ca="1" si="24"/>
        <v>1.2024128595598884</v>
      </c>
      <c r="BC12" s="102" cm="1">
        <f t="array" aca="1" ref="BC12" ca="1">INDIRECT("'Emissions by State'!H"&amp;MATCH($B$1,'Demand by State by ST'!$E:$E,0)+($B12-2022))</f>
        <v>4526630.0000000102</v>
      </c>
      <c r="BD12" s="82">
        <f t="shared" ca="1" si="25"/>
        <v>4106490.8365500094</v>
      </c>
      <c r="BE12" s="82"/>
      <c r="BF12" s="90">
        <v>4106531.7692307681</v>
      </c>
      <c r="BG12" s="4">
        <f t="shared" ca="1" si="26"/>
        <v>771.29065516350181</v>
      </c>
      <c r="BH12">
        <v>2030</v>
      </c>
      <c r="BI12" s="92" cm="1">
        <f t="array" aca="1" ref="BI12" ca="1">INDIRECT("'Demand by State by ST'!I"&amp;MATCH($B$1,'Demand by State by ST'!$E:$E,0)+($B12-2022))</f>
        <v>7760.6000003999998</v>
      </c>
      <c r="BJ12" s="93" cm="1">
        <f t="array" aca="1" ref="BJ12" ca="1">INDIRECT("'Demand by State by ST'!K"&amp;MATCH($B$1,'Demand by State by ST'!$E:$E,0)+($B12-2022))</f>
        <v>1328.5820051999999</v>
      </c>
      <c r="BK12" s="96" cm="1">
        <f t="array" aca="1" ref="BK12" ca="1">INDIRECT("'Gas Flow by State'!I"&amp;MATCH($B$1,'Demand by State by ST'!$E:$E,0)+($B12-2022))</f>
        <v>9089.1820005600002</v>
      </c>
      <c r="BL12" s="118">
        <f t="shared" ca="1" si="27"/>
        <v>3.4161136097231943</v>
      </c>
      <c r="BM12" s="93">
        <f t="shared" ca="1" si="28"/>
        <v>31049678.333364107</v>
      </c>
      <c r="BN12" s="81" cm="1">
        <f t="array" aca="1" ref="BN12" ca="1">INDIRECT("'Compliance Resources by State'!M"&amp;MATCH($B$1,'Demand by State by ST'!$E:$E,0)+($B12-2022))</f>
        <v>2704.8629292000001</v>
      </c>
      <c r="BO12" s="83">
        <f>VLOOKUP(DATE($BH12,1,1),'MC_Allowance Price'!$A:$K,VALUE(RIGHT($B$1,LEN($B$1)-7))+1,FALSE)</f>
        <v>3.1670094520501597</v>
      </c>
      <c r="BP12">
        <v>5.83</v>
      </c>
      <c r="BQ12" s="90">
        <f t="shared" ca="1" si="29"/>
        <v>8566326.4632764813</v>
      </c>
      <c r="BR12" s="81" cm="1">
        <f t="array" aca="1" ref="BR12" ca="1">INDIRECT("'Compliance Resources by State'!O"&amp;MATCH($B$1,'Demand by State by ST'!$E:$E,0)+($B12-2022))</f>
        <v>0</v>
      </c>
      <c r="BS12" s="83">
        <f>VLOOKUP(DATE($BH12,1,1),'MC_Supply Price Offsets'!$A:$K,VALUE(RIGHT($B$1,LEN($B$1)-7))+1,FALSE)</f>
        <v>1.0409999999999999</v>
      </c>
      <c r="BT12" s="90">
        <f t="shared" ca="1" si="30"/>
        <v>0</v>
      </c>
      <c r="BU12" s="81" cm="1">
        <f t="array" aca="1" ref="BU12" ca="1">INDIRECT("'Compliance Resources by State'!P"&amp;MATCH($B$1,'Demand by State by ST'!$E:$E,0)+($B12-2022))</f>
        <v>1063.3282200000001</v>
      </c>
      <c r="BV12" s="82">
        <f t="shared" ca="1" si="31"/>
        <v>0</v>
      </c>
      <c r="BW12" s="83">
        <f t="shared" ca="1" si="32"/>
        <v>11.337</v>
      </c>
      <c r="BX12" s="82">
        <f t="shared" ca="1" si="33"/>
        <v>0</v>
      </c>
      <c r="BY12" s="84">
        <f ca="1">SUM(BX$4:BX12)</f>
        <v>10746592.872863041</v>
      </c>
      <c r="BZ12" s="81" cm="1">
        <f t="array" aca="1" ref="BZ12" ca="1">INDIRECT("'Compliance Resources by State'!Q"&amp;MATCH($B$1,'Demand by State by ST'!$E:$E,0)+($B12-2022))</f>
        <v>0</v>
      </c>
      <c r="CA12" s="82">
        <f t="shared" ca="1" si="34"/>
        <v>0</v>
      </c>
      <c r="CB12" s="83">
        <f t="shared" ca="1" si="35"/>
        <v>16.337</v>
      </c>
      <c r="CC12" s="82">
        <f t="shared" ca="1" si="36"/>
        <v>0</v>
      </c>
      <c r="CD12" s="84">
        <f ca="1">SUM(CC$4:CC12)</f>
        <v>0</v>
      </c>
      <c r="CE12" s="81" cm="1">
        <f t="array" aca="1" ref="CE12" ca="1">INDIRECT("'Compliance Resources by State'!N"&amp;MATCH($B$1,'Demand by State by ST'!$E:$E,0)+($B12-2022))</f>
        <v>100.7618124</v>
      </c>
      <c r="CF12" s="82">
        <f t="shared" ca="1" si="37"/>
        <v>137.89223999999999</v>
      </c>
      <c r="CG12" s="83">
        <f t="shared" ca="1" si="38"/>
        <v>8.9870000000000001</v>
      </c>
      <c r="CH12" s="82">
        <f t="shared" ca="1" si="39"/>
        <v>452321.70972119994</v>
      </c>
      <c r="CI12" s="84">
        <f ca="1">SUM(CH$4:CH12)</f>
        <v>978217.68769559998</v>
      </c>
      <c r="CJ12" s="81" cm="1">
        <f t="array" aca="1" ref="CJ12" ca="1">INDIRECT("'Compliance Resources by State'!R"&amp;MATCH($B$1,'Demand by State by ST'!$E:$E,0)+($B12-2022))</f>
        <v>0</v>
      </c>
      <c r="CK12" s="82">
        <f t="shared" ca="1" si="40"/>
        <v>0</v>
      </c>
      <c r="CL12" s="83">
        <f t="shared" ca="1" si="41"/>
        <v>15.451000000000001</v>
      </c>
      <c r="CM12" s="82">
        <f t="shared" ca="1" si="42"/>
        <v>0</v>
      </c>
      <c r="CN12" s="84">
        <f ca="1">SUM(CM$4:CM12)</f>
        <v>0</v>
      </c>
      <c r="CO12" s="127">
        <f t="shared" ca="1" si="43"/>
        <v>0.11698832957078706</v>
      </c>
      <c r="CP12" s="128">
        <f t="shared" ca="1" si="44"/>
        <v>1.1085905457489897E-2</v>
      </c>
      <c r="CQ12" s="128">
        <f t="shared" ca="1" si="45"/>
        <v>0</v>
      </c>
      <c r="CR12" s="128">
        <f t="shared" ca="1" si="46"/>
        <v>0.12807423147020097</v>
      </c>
      <c r="CS12" s="159">
        <f ca="1">VLOOKUP('Compliance Data'!$B12,'Notes and Scenario Inputs'!$B$57:$C$86,2,FALSE)*BI12</f>
        <v>1164.09000006</v>
      </c>
      <c r="CT12" s="120">
        <f t="shared" ca="1" si="47"/>
        <v>1164.0900324000002</v>
      </c>
      <c r="CU12" s="83">
        <f ca="1">'Notes and Scenario Inputs'!C66*'Compliance Data'!BI12-'Compliance Data'!CV12</f>
        <v>1129.732892078832</v>
      </c>
      <c r="CV12" s="90">
        <f t="shared" ca="1" si="48"/>
        <v>34.357107981167999</v>
      </c>
      <c r="CW12" s="104">
        <f>IF(VALUE(RIGHT($B$1,LEN($B$1)-7))=1,0,VLOOKUP($B12,'Load Reductions'!$1:$30,VALUE(RIGHT($B$1,LEN($B$1)-7)+39),FALSE))</f>
        <v>1006.699846484375</v>
      </c>
      <c r="CX12" s="105">
        <f>IF(VALUE(RIGHT($B$1,LEN($B$1)-7))=1,0,VLOOKUP($B12,'Load Reductions'!$1:$30,VALUE(RIGHT($B$1,LEN($B$1)-7)+48),FALSE))</f>
        <v>382.86290439453126</v>
      </c>
      <c r="CY12" s="105">
        <f>IF(VALUE(RIGHT($B$1,LEN($B$1)-7))=1,0,VLOOKUP($B12,'Load Reductions'!$1:$30,VALUE(RIGHT($B$1,LEN($B$1)-7)+57),FALSE))</f>
        <v>154.62241552734375</v>
      </c>
      <c r="CZ12" s="105">
        <f>IF(VALUE(RIGHT($B$1,LEN($B$1)-7))=1,0,VLOOKUP($B12,'Load Reductions'!$1:$30,VALUE(RIGHT($B$1,LEN($B$1)-7)+66),FALSE))</f>
        <v>323.1495984375</v>
      </c>
      <c r="DA12" s="136">
        <f>IF(AND($B12 = 2022, $B$1&lt;&gt;"Sample 3"), 0, VLOOKUP($B12,'Washington DSM Scenario Costs'!$A$1:$BN$30,RIGHT($B$1,LEN($B$1)-7)+56,FALSE))</f>
        <v>0</v>
      </c>
      <c r="DB12" s="96">
        <f t="shared" ca="1" si="49"/>
        <v>9089.1820055999997</v>
      </c>
      <c r="DC12" s="82">
        <f t="shared" ca="1" si="50"/>
        <v>5220.2290389599993</v>
      </c>
      <c r="DD12" s="82">
        <f t="shared" ca="1" si="51"/>
        <v>5220.2290439999988</v>
      </c>
      <c r="DE12" s="81">
        <f t="shared" ca="1" si="52"/>
        <v>11724810.560558641</v>
      </c>
      <c r="DF12" s="143">
        <f t="shared" ca="1" si="53"/>
        <v>1.2899742301710744</v>
      </c>
      <c r="DG12" s="82">
        <f t="shared" ca="1" si="54"/>
        <v>8566326.4632764813</v>
      </c>
      <c r="DH12" s="145">
        <f t="shared" ca="1" si="55"/>
        <v>0.94247496177308598</v>
      </c>
      <c r="DI12" s="82">
        <f t="shared" si="62"/>
        <v>0</v>
      </c>
      <c r="DJ12" s="143">
        <f t="shared" ca="1" si="56"/>
        <v>0</v>
      </c>
      <c r="DK12" s="116">
        <f t="shared" ca="1" si="57"/>
        <v>20291137.023835123</v>
      </c>
      <c r="DL12" s="112">
        <f t="shared" ca="1" si="58"/>
        <v>2.2324491919441605</v>
      </c>
      <c r="DM12" s="102" cm="1">
        <f t="array" aca="1" ref="DM12" ca="1">INDIRECT("'Emissions by State'!I"&amp;MATCH($B$1,'Demand by State by ST'!$E:$E,0)+($B12-2022))</f>
        <v>306535</v>
      </c>
      <c r="DN12" s="82">
        <f t="shared" ca="1" si="59"/>
        <v>278083.95397500001</v>
      </c>
      <c r="DO12" s="124"/>
      <c r="DP12" s="58">
        <v>278087</v>
      </c>
      <c r="DQ12" s="4">
        <f t="shared" ca="1" si="60"/>
        <v>57.395962696368848</v>
      </c>
    </row>
    <row r="13" spans="1:123" x14ac:dyDescent="0.25">
      <c r="A13">
        <v>365</v>
      </c>
      <c r="B13">
        <v>2031</v>
      </c>
      <c r="C13" s="92" cm="1">
        <f t="array" aca="1" ref="C13" ca="1">INDIRECT("'Demand by State by ST'!H"&amp;MATCH($B$1,'Demand by State by ST'!$E:$E,0)+($B13-2022))</f>
        <v>62115.644000159999</v>
      </c>
      <c r="D13" s="100" cm="1">
        <f t="array" aca="1" ref="D13" ca="1">INDIRECT("'Demand by State by ST'!J"&amp;MATCH($B$1,'Demand by State by ST'!$E:$E,0)+($B13-2022))</f>
        <v>26920.02800952</v>
      </c>
      <c r="E13" s="96" cm="1">
        <f t="array" aca="1" ref="E13" ca="1">INDIRECT("'Gas Flow by State'!H"&amp;MATCH($B$1,'Demand by State by ST'!$E:$E,0)+($B13-2022))</f>
        <v>88831.057873919999</v>
      </c>
      <c r="F13" s="98">
        <f ca="1">VLOOKUP($B13,'WACOG Calc'!$B$49:$L$78,VALUE(RIGHT($B$1,LEN($B$1)-7))+1,FALSE)</f>
        <v>3.4303589027195209</v>
      </c>
      <c r="G13" s="90">
        <f t="shared" ca="1" si="0"/>
        <v>304722410.21579444</v>
      </c>
      <c r="H13" s="82" cm="1">
        <f t="array" aca="1" ref="H13" ca="1">INDIRECT("'Compliance Resources by State'!H"&amp;MATCH($B$1,'Demand by State by ST'!$E:$E,0)+($B13-2022))</f>
        <v>6210.4992103200002</v>
      </c>
      <c r="I13" s="83" cm="1">
        <f t="array" aca="1" ref="I13" ca="1">INDIRECT("'OR CCI Price'!C"&amp;MATCH($B13,'OR CCI Price'!$A:$A,0))</f>
        <v>6.2109449999999997</v>
      </c>
      <c r="J13" s="90">
        <f t="shared" ca="1" si="1"/>
        <v>38573069.017840952</v>
      </c>
      <c r="K13" s="81" cm="1">
        <f t="array" aca="1" ref="K13" ca="1">INDIRECT("'Compliance Resources by State'!J"&amp;MATCH($B$1,'Demand by State by ST'!$E:$E,0)+($B13-2022))</f>
        <v>7711.4432423999997</v>
      </c>
      <c r="L13" s="82">
        <f t="shared" ca="1" si="2"/>
        <v>0</v>
      </c>
      <c r="M13" s="83" cm="1">
        <f t="array" aca="1" ref="M13" ca="1">INDIRECT("'MC_Supply Price "&amp;K$2&amp;"'!D"&amp;MATCH($B13,'MC_Supply Price RNG Tranche 1'!$A:$A,0)+VALUE(RIGHT($B$1,LEN($B$1)-7))-1)</f>
        <v>11.319000000000001</v>
      </c>
      <c r="N13" s="82">
        <f t="shared" ca="1" si="3"/>
        <v>0</v>
      </c>
      <c r="O13" s="90">
        <f ca="1">SUM(N$4:N13)</f>
        <v>80125296.282689035</v>
      </c>
      <c r="P13" s="81" cm="1">
        <f t="array" aca="1" ref="P13" ca="1">INDIRECT("'Compliance Resources by State'!K"&amp;MATCH($B$1,'Demand by State by ST'!$E:$E,0)+($B13-2022))</f>
        <v>0</v>
      </c>
      <c r="Q13" s="82">
        <f t="shared" ca="1" si="4"/>
        <v>0</v>
      </c>
      <c r="R13" s="83" cm="1">
        <f t="array" aca="1" ref="R13" ca="1">INDIRECT("'MC_Supply Price "&amp;P$2&amp;"'!D"&amp;MATCH($B13,'MC_Supply Price RNG Tranche 2'!$A:$A,0)+VALUE(RIGHT($B$1,LEN($B$1)-7))-1)</f>
        <v>16.318999999999999</v>
      </c>
      <c r="S13" s="82">
        <f t="shared" ca="1" si="5"/>
        <v>0</v>
      </c>
      <c r="T13" s="84">
        <f ca="1">SUM(S$4:S13)</f>
        <v>0</v>
      </c>
      <c r="U13" s="81" cm="1">
        <f t="array" aca="1" ref="U13" ca="1">INDIRECT("'Compliance Resources by State'!I"&amp;MATCH($B$1,'Demand by State by ST'!$E:$E,0)+($B13-2022))</f>
        <v>384.53982239999999</v>
      </c>
      <c r="V13" s="82">
        <f t="shared" ca="1" si="6"/>
        <v>1053.53376</v>
      </c>
      <c r="W13" s="83" cm="1">
        <f t="array" aca="1" ref="W13" ca="1">INDIRECT("'MC_Supply Price "&amp;U$2&amp;"'!D"&amp;MATCH($B13,'MC_Supply Price Hydrogen'!$A:$A,0)+VALUE(RIGHT($B$1,LEN($B$1)-7))-1)</f>
        <v>8.6389999999999993</v>
      </c>
      <c r="X13" s="82">
        <f t="shared" ca="1" si="7"/>
        <v>3322039.5257136002</v>
      </c>
      <c r="Y13" s="90">
        <f ca="1">SUM(X$4:X13)</f>
        <v>3322039.5257136002</v>
      </c>
      <c r="Z13" s="81" cm="1">
        <f t="array" aca="1" ref="Z13" ca="1">INDIRECT("'Compliance Resources by State'!L"&amp;MATCH($B$1,'Demand by State by ST'!$E:$E,0)+($B13-2022))</f>
        <v>0</v>
      </c>
      <c r="AA13" s="82">
        <f t="shared" ca="1" si="8"/>
        <v>0</v>
      </c>
      <c r="AB13" s="83" cm="1">
        <f t="array" aca="1" ref="AB13" ca="1">INDIRECT("'MC_Supply Price Synthetic Metha'!D"&amp;MATCH($B13,'MC_Supply Price Synthetic Metha'!$A:$A,0)+VALUE(RIGHT($B$1,LEN($B$1)-7))-1)</f>
        <v>14.996</v>
      </c>
      <c r="AC13" s="82">
        <f t="shared" ca="1" si="9"/>
        <v>0</v>
      </c>
      <c r="AD13" s="82">
        <f ca="1">SUM(AC$4:AC13)</f>
        <v>0</v>
      </c>
      <c r="AE13" s="127">
        <f t="shared" ca="1" si="10"/>
        <v>0.10730489446253956</v>
      </c>
      <c r="AF13" s="128">
        <f t="shared" ca="1" si="11"/>
        <v>4.318941090916825E-3</v>
      </c>
      <c r="AG13" s="128">
        <f t="shared" ca="1" si="12"/>
        <v>0</v>
      </c>
      <c r="AH13" s="82">
        <f t="shared" ca="1" si="13"/>
        <v>8095.9830647999997</v>
      </c>
      <c r="AI13" s="156">
        <f t="shared" ca="1" si="14"/>
        <v>0.11162383363541167</v>
      </c>
      <c r="AJ13" s="90">
        <f ca="1">VLOOKUP('Compliance Data'!$B13,'Notes and Scenario Inputs'!$B$57:$C$86,2,FALSE)*'Compliance Data'!C13</f>
        <v>9938.5030400256001</v>
      </c>
      <c r="AK13" s="105">
        <f>IF(VALUE(RIGHT($B$1,LEN($B$1)-7))=1,0,VLOOKUP($B13,'Load Reductions'!$1:$30,VALUE(RIGHT($B$1,LEN($B$1)-7)),FALSE))</f>
        <v>5670.4052859375006</v>
      </c>
      <c r="AL13" s="105">
        <f>IF(VALUE(RIGHT($B$1,LEN($B$1)-7))=1,0,VLOOKUP($B13,'Load Reductions'!$1:$30,VALUE(RIGHT($B$1,LEN($B$1)-7)+9),FALSE))</f>
        <v>4249.4198679687497</v>
      </c>
      <c r="AM13" s="155">
        <f>IF(VALUE(RIGHT($B$1,LEN($B$1)-7))=1,0,VLOOKUP($B13,'Load Reductions'!$1:$30,VALUE(RIGHT($B$1,LEN($B$1)-7)+18),FALSE))</f>
        <v>2968.38565625</v>
      </c>
      <c r="AN13" s="105">
        <f>IF(VALUE(RIGHT($B$1,LEN($B$1)-7))=1,0,VLOOKUP($B13,'Load Reductions'!$1:$30,VALUE(RIGHT($B$1,LEN($B$1)-7)+27),FALSE))</f>
        <v>7392.6167875000001</v>
      </c>
      <c r="AO13" s="135">
        <f>VLOOKUP($B13,'Oregon DSM Scenario Costs'!$A$1:$BN$30,RIGHT($B$1,LEN($B$1)-7)+56,FALSE)</f>
        <v>0</v>
      </c>
      <c r="AP13" s="96">
        <f t="shared" ca="1" si="15"/>
        <v>89035.672009679998</v>
      </c>
      <c r="AQ13" s="105">
        <f>'Fixed Contracts'!C13</f>
        <v>768.99997000000008</v>
      </c>
      <c r="AR13" s="82">
        <f>'Fixed Contracts'!B13</f>
        <v>1842.5201459999998</v>
      </c>
      <c r="AS13" s="82">
        <f t="shared" ca="1" si="61"/>
        <v>90716.4620536</v>
      </c>
      <c r="AT13" s="82">
        <f t="shared" ca="1" si="16"/>
        <v>72886.669588560006</v>
      </c>
      <c r="AU13" s="113">
        <f t="shared" ca="1" si="17"/>
        <v>83447335.808402628</v>
      </c>
      <c r="AV13" s="139">
        <f t="shared" ca="1" si="18"/>
        <v>0.9372348624417659</v>
      </c>
      <c r="AW13" s="116">
        <f t="shared" ca="1" si="19"/>
        <v>38573069.017840952</v>
      </c>
      <c r="AX13" s="139">
        <f t="shared" ca="1" si="20"/>
        <v>0.43323162668606879</v>
      </c>
      <c r="AY13" s="116">
        <f t="shared" si="21"/>
        <v>0</v>
      </c>
      <c r="AZ13" s="141">
        <f t="shared" ca="1" si="22"/>
        <v>0</v>
      </c>
      <c r="BA13" s="116">
        <f t="shared" ca="1" si="23"/>
        <v>122020404.82624358</v>
      </c>
      <c r="BB13" s="112">
        <f t="shared" ca="1" si="24"/>
        <v>1.3704664891278346</v>
      </c>
      <c r="BC13" s="102" cm="1">
        <f t="array" aca="1" ref="BC13" ca="1">INDIRECT("'Emissions by State'!H"&amp;MATCH($B$1,'Demand by State by ST'!$E:$E,0)+($B13-2022))</f>
        <v>4275151.0000000102</v>
      </c>
      <c r="BD13" s="82">
        <f t="shared" ca="1" si="25"/>
        <v>3878352.8599350094</v>
      </c>
      <c r="BE13" s="82"/>
      <c r="BF13" s="90">
        <v>3878391.1153846141</v>
      </c>
      <c r="BG13" s="4">
        <f t="shared" ca="1" si="26"/>
        <v>720.8438402353238</v>
      </c>
      <c r="BH13">
        <v>2031</v>
      </c>
      <c r="BI13" s="92" cm="1">
        <f t="array" aca="1" ref="BI13" ca="1">INDIRECT("'Demand by State by ST'!I"&amp;MATCH($B$1,'Demand by State by ST'!$E:$E,0)+($B13-2022))</f>
        <v>7566.8760012000002</v>
      </c>
      <c r="BJ13" s="93" cm="1">
        <f t="array" aca="1" ref="BJ13" ca="1">INDIRECT("'Demand by State by ST'!K"&amp;MATCH($B$1,'Demand by State by ST'!$E:$E,0)+($B13-2022))</f>
        <v>1278.93400008</v>
      </c>
      <c r="BK13" s="96" cm="1">
        <f t="array" aca="1" ref="BK13" ca="1">INDIRECT("'Gas Flow by State'!I"&amp;MATCH($B$1,'Demand by State by ST'!$E:$E,0)+($B13-2022))</f>
        <v>8845.8099993600008</v>
      </c>
      <c r="BL13" s="118">
        <f t="shared" ca="1" si="27"/>
        <v>3.4303589027195209</v>
      </c>
      <c r="BM13" s="93">
        <f t="shared" ca="1" si="28"/>
        <v>30344303.083069939</v>
      </c>
      <c r="BN13" s="81" cm="1">
        <f t="array" aca="1" ref="BN13" ca="1">INDIRECT("'Compliance Resources by State'!M"&amp;MATCH($B$1,'Demand by State by ST'!$E:$E,0)+($B13-2022))</f>
        <v>468.82192343999998</v>
      </c>
      <c r="BO13" s="83">
        <f>VLOOKUP(DATE($BH13,1,1),'MC_Allowance Price'!$A:$K,VALUE(RIGHT($B$1,LEN($B$1)-7))+1,FALSE)</f>
        <v>3.4696024846318703</v>
      </c>
      <c r="BP13">
        <v>5.91</v>
      </c>
      <c r="BQ13" s="90">
        <f t="shared" ca="1" si="29"/>
        <v>1626625.7104173165</v>
      </c>
      <c r="BR13" s="81" cm="1">
        <f t="array" aca="1" ref="BR13" ca="1">INDIRECT("'Compliance Resources by State'!O"&amp;MATCH($B$1,'Demand by State by ST'!$E:$E,0)+($B13-2022))</f>
        <v>2039.83944</v>
      </c>
      <c r="BS13" s="83">
        <f>VLOOKUP(DATE($BH13,1,1),'MC_Supply Price Offsets'!$A:$K,VALUE(RIGHT($B$1,LEN($B$1)-7))+1,FALSE)</f>
        <v>1.133</v>
      </c>
      <c r="BT13" s="90">
        <f t="shared" ca="1" si="30"/>
        <v>2311138.0855200002</v>
      </c>
      <c r="BU13" s="81" cm="1">
        <f t="array" aca="1" ref="BU13" ca="1">INDIRECT("'Compliance Resources by State'!P"&amp;MATCH($B$1,'Demand by State by ST'!$E:$E,0)+($B13-2022))</f>
        <v>1063.3282200000001</v>
      </c>
      <c r="BV13" s="82">
        <f t="shared" ca="1" si="31"/>
        <v>0</v>
      </c>
      <c r="BW13" s="83">
        <f t="shared" ca="1" si="32"/>
        <v>11.319000000000001</v>
      </c>
      <c r="BX13" s="82">
        <f t="shared" ca="1" si="33"/>
        <v>0</v>
      </c>
      <c r="BY13" s="84">
        <f ca="1">SUM(BX$4:BX13)</f>
        <v>10746592.872863041</v>
      </c>
      <c r="BZ13" s="81" cm="1">
        <f t="array" aca="1" ref="BZ13" ca="1">INDIRECT("'Compliance Resources by State'!Q"&amp;MATCH($B$1,'Demand by State by ST'!$E:$E,0)+($B13-2022))</f>
        <v>0</v>
      </c>
      <c r="CA13" s="82">
        <f t="shared" ca="1" si="34"/>
        <v>0</v>
      </c>
      <c r="CB13" s="83">
        <f t="shared" ca="1" si="35"/>
        <v>16.318999999999999</v>
      </c>
      <c r="CC13" s="82">
        <f t="shared" ca="1" si="36"/>
        <v>0</v>
      </c>
      <c r="CD13" s="84">
        <f ca="1">SUM(CC$4:CC13)</f>
        <v>0</v>
      </c>
      <c r="CE13" s="81" cm="1">
        <f t="array" aca="1" ref="CE13" ca="1">INDIRECT("'Compliance Resources by State'!N"&amp;MATCH($B$1,'Demand by State by ST'!$E:$E,0)+($B13-2022))</f>
        <v>147.3720204</v>
      </c>
      <c r="CF13" s="82">
        <f t="shared" ca="1" si="37"/>
        <v>127.69920000000002</v>
      </c>
      <c r="CG13" s="83">
        <f t="shared" ca="1" si="38"/>
        <v>8.6389999999999993</v>
      </c>
      <c r="CH13" s="82">
        <f t="shared" ca="1" si="39"/>
        <v>402665.58691200003</v>
      </c>
      <c r="CI13" s="84">
        <f ca="1">SUM(CH$4:CH13)</f>
        <v>1380883.2746075999</v>
      </c>
      <c r="CJ13" s="81" cm="1">
        <f t="array" aca="1" ref="CJ13" ca="1">INDIRECT("'Compliance Resources by State'!R"&amp;MATCH($B$1,'Demand by State by ST'!$E:$E,0)+($B13-2022))</f>
        <v>0</v>
      </c>
      <c r="CK13" s="82">
        <f t="shared" ca="1" si="40"/>
        <v>0</v>
      </c>
      <c r="CL13" s="83">
        <f t="shared" ca="1" si="41"/>
        <v>14.996</v>
      </c>
      <c r="CM13" s="82">
        <f t="shared" ca="1" si="42"/>
        <v>0</v>
      </c>
      <c r="CN13" s="84">
        <f ca="1">SUM(CM$4:CM13)</f>
        <v>0</v>
      </c>
      <c r="CO13" s="127">
        <f t="shared" ca="1" si="43"/>
        <v>0.12020699289789574</v>
      </c>
      <c r="CP13" s="128">
        <f t="shared" ca="1" si="44"/>
        <v>1.6660093352522276E-2</v>
      </c>
      <c r="CQ13" s="128">
        <f t="shared" ca="1" si="45"/>
        <v>0</v>
      </c>
      <c r="CR13" s="128">
        <f t="shared" ca="1" si="46"/>
        <v>0.13686707718307425</v>
      </c>
      <c r="CS13" s="159">
        <f ca="1">VLOOKUP('Compliance Data'!$B13,'Notes and Scenario Inputs'!$B$57:$C$86,2,FALSE)*BI13</f>
        <v>1210.7001601920001</v>
      </c>
      <c r="CT13" s="120">
        <f t="shared" ca="1" si="47"/>
        <v>1210.7002404</v>
      </c>
      <c r="CU13" s="83">
        <f ca="1">'Notes and Scenario Inputs'!C67*'Compliance Data'!BI13-'Compliance Data'!CV13</f>
        <v>1177.2629983871618</v>
      </c>
      <c r="CV13" s="90">
        <f t="shared" ca="1" si="48"/>
        <v>33.437161804838404</v>
      </c>
      <c r="CW13" s="104">
        <f>IF(VALUE(RIGHT($B$1,LEN($B$1)-7))=1,0,VLOOKUP($B13,'Load Reductions'!$1:$30,VALUE(RIGHT($B$1,LEN($B$1)-7)+39),FALSE))</f>
        <v>1186.5339365234377</v>
      </c>
      <c r="CX13" s="105">
        <f>IF(VALUE(RIGHT($B$1,LEN($B$1)-7))=1,0,VLOOKUP($B13,'Load Reductions'!$1:$30,VALUE(RIGHT($B$1,LEN($B$1)-7)+48),FALSE))</f>
        <v>450.9613408203125</v>
      </c>
      <c r="CY13" s="105">
        <f>IF(VALUE(RIGHT($B$1,LEN($B$1)-7))=1,0,VLOOKUP($B13,'Load Reductions'!$1:$30,VALUE(RIGHT($B$1,LEN($B$1)-7)+57),FALSE))</f>
        <v>172.69160966796875</v>
      </c>
      <c r="CZ13" s="105">
        <f>IF(VALUE(RIGHT($B$1,LEN($B$1)-7))=1,0,VLOOKUP($B13,'Load Reductions'!$1:$30,VALUE(RIGHT($B$1,LEN($B$1)-7)+66),FALSE))</f>
        <v>362.00041093750002</v>
      </c>
      <c r="DA13" s="136">
        <f>IF(AND($B13 = 2022, $B$1&lt;&gt;"Sample 3"), 0, VLOOKUP($B13,'Washington DSM Scenario Costs'!$A$1:$BN$30,RIGHT($B$1,LEN($B$1)-7)+56,FALSE))</f>
        <v>0</v>
      </c>
      <c r="DB13" s="96">
        <f t="shared" ca="1" si="49"/>
        <v>8845.8100012800005</v>
      </c>
      <c r="DC13" s="82">
        <f t="shared" ca="1" si="50"/>
        <v>5126.4483955200003</v>
      </c>
      <c r="DD13" s="82">
        <f t="shared" ca="1" si="51"/>
        <v>5126.44839744</v>
      </c>
      <c r="DE13" s="81">
        <f t="shared" ca="1" si="52"/>
        <v>12127476.147470642</v>
      </c>
      <c r="DF13" s="143">
        <f t="shared" ca="1" si="53"/>
        <v>1.3709853756429067</v>
      </c>
      <c r="DG13" s="82">
        <f t="shared" ca="1" si="54"/>
        <v>3937763.7959373165</v>
      </c>
      <c r="DH13" s="145">
        <f t="shared" ca="1" si="55"/>
        <v>0.4451558190112061</v>
      </c>
      <c r="DI13" s="82">
        <f t="shared" si="62"/>
        <v>0</v>
      </c>
      <c r="DJ13" s="143">
        <f t="shared" ca="1" si="56"/>
        <v>0</v>
      </c>
      <c r="DK13" s="116">
        <f t="shared" ca="1" si="57"/>
        <v>16065239.943407958</v>
      </c>
      <c r="DL13" s="112">
        <f t="shared" ca="1" si="58"/>
        <v>1.8161411946541126</v>
      </c>
      <c r="DM13" s="102" cm="1">
        <f t="array" aca="1" ref="DM13" ca="1">INDIRECT("'Emissions by State'!I"&amp;MATCH($B$1,'Demand by State by ST'!$E:$E,0)+($B13-2022))</f>
        <v>301017.99999998999</v>
      </c>
      <c r="DN13" s="82">
        <f t="shared" ca="1" si="59"/>
        <v>273079.0143299909</v>
      </c>
      <c r="DO13" s="124"/>
      <c r="DP13" s="58">
        <v>273081.5</v>
      </c>
      <c r="DQ13" s="4">
        <f t="shared" ca="1" si="60"/>
        <v>46.837246286077033</v>
      </c>
    </row>
    <row r="14" spans="1:123" x14ac:dyDescent="0.25">
      <c r="A14">
        <v>366</v>
      </c>
      <c r="B14">
        <v>2032</v>
      </c>
      <c r="C14" s="92" cm="1">
        <f t="array" aca="1" ref="C14" ca="1">INDIRECT("'Demand by State by ST'!H"&amp;MATCH($B$1,'Demand by State by ST'!$E:$E,0)+($B14-2022))</f>
        <v>60958.583998319998</v>
      </c>
      <c r="D14" s="100" cm="1">
        <f t="array" aca="1" ref="D14" ca="1">INDIRECT("'Demand by State by ST'!J"&amp;MATCH($B$1,'Demand by State by ST'!$E:$E,0)+($B14-2022))</f>
        <v>26111.187002400002</v>
      </c>
      <c r="E14" s="96" cm="1">
        <f t="array" aca="1" ref="E14" ca="1">INDIRECT("'Gas Flow by State'!H"&amp;MATCH($B$1,'Demand by State by ST'!$E:$E,0)+($B14-2022))</f>
        <v>86848.886131919993</v>
      </c>
      <c r="F14" s="98">
        <f ca="1">VLOOKUP($B14,'WACOG Calc'!$B$49:$L$78,VALUE(RIGHT($B$1,LEN($B$1)-7))+1,FALSE)</f>
        <v>3.4695740365617156</v>
      </c>
      <c r="G14" s="90">
        <f t="shared" ca="1" si="0"/>
        <v>301328640.42761445</v>
      </c>
      <c r="H14" s="82" cm="1">
        <f t="array" aca="1" ref="H14" ca="1">INDIRECT("'Compliance Resources by State'!H"&amp;MATCH($B$1,'Demand by State by ST'!$E:$E,0)+($B14-2022))</f>
        <v>8114.6876172000002</v>
      </c>
      <c r="I14" s="83" cm="1">
        <f t="array" aca="1" ref="I14" ca="1">INDIRECT("'OR CCI Price'!C"&amp;MATCH($B14,'OR CCI Price'!$A:$A,0))</f>
        <v>6.26403</v>
      </c>
      <c r="J14" s="90">
        <f t="shared" ca="1" si="1"/>
        <v>50830646.67476932</v>
      </c>
      <c r="K14" s="81" cm="1">
        <f t="array" aca="1" ref="K14" ca="1">INDIRECT("'Compliance Resources by State'!J"&amp;MATCH($B$1,'Demand by State by ST'!$E:$E,0)+($B14-2022))</f>
        <v>7732.57048416</v>
      </c>
      <c r="L14" s="82">
        <f t="shared" ca="1" si="2"/>
        <v>-3.637978807091713E-12</v>
      </c>
      <c r="M14" s="83" cm="1">
        <f t="array" aca="1" ref="M14" ca="1">INDIRECT("'MC_Supply Price "&amp;K$2&amp;"'!D"&amp;MATCH($B14,'MC_Supply Price RNG Tranche 1'!$A:$A,0)+VALUE(RIGHT($B$1,LEN($B$1)-7))-1)</f>
        <v>11.303000000000001</v>
      </c>
      <c r="N14" s="82">
        <f t="shared" ca="1" si="3"/>
        <v>-1.5049947251100094E-8</v>
      </c>
      <c r="O14" s="90">
        <f ca="1">SUM(N$4:N14)</f>
        <v>80125296.28268902</v>
      </c>
      <c r="P14" s="81" cm="1">
        <f t="array" aca="1" ref="P14" ca="1">INDIRECT("'Compliance Resources by State'!K"&amp;MATCH($B$1,'Demand by State by ST'!$E:$E,0)+($B14-2022))</f>
        <v>0</v>
      </c>
      <c r="Q14" s="82">
        <f t="shared" ca="1" si="4"/>
        <v>0</v>
      </c>
      <c r="R14" s="83" cm="1">
        <f t="array" aca="1" ref="R14" ca="1">INDIRECT("'MC_Supply Price "&amp;P$2&amp;"'!D"&amp;MATCH($B14,'MC_Supply Price RNG Tranche 2'!$A:$A,0)+VALUE(RIGHT($B$1,LEN($B$1)-7))-1)</f>
        <v>16.303000000000001</v>
      </c>
      <c r="S14" s="82">
        <f t="shared" ca="1" si="5"/>
        <v>0</v>
      </c>
      <c r="T14" s="84">
        <f ca="1">SUM(S$4:S14)</f>
        <v>0</v>
      </c>
      <c r="U14" s="81" cm="1">
        <f t="array" aca="1" ref="U14" ca="1">INDIRECT("'Compliance Resources by State'!I"&amp;MATCH($B$1,'Demand by State by ST'!$E:$E,0)+($B14-2022))</f>
        <v>782.8208568</v>
      </c>
      <c r="V14" s="82">
        <f t="shared" ca="1" si="6"/>
        <v>1085.32104</v>
      </c>
      <c r="W14" s="83" cm="1">
        <f t="array" aca="1" ref="W14" ca="1">INDIRECT("'MC_Supply Price "&amp;U$2&amp;"'!D"&amp;MATCH($B14,'MC_Supply Price Hydrogen'!$A:$A,0)+VALUE(RIGHT($B$1,LEN($B$1)-7))-1)</f>
        <v>8.3030000000000008</v>
      </c>
      <c r="X14" s="82">
        <f t="shared" ca="1" si="7"/>
        <v>3298179.9378139209</v>
      </c>
      <c r="Y14" s="90">
        <f ca="1">SUM(X$4:X14)</f>
        <v>6620219.4635275211</v>
      </c>
      <c r="Z14" s="81" cm="1">
        <f t="array" aca="1" ref="Z14" ca="1">INDIRECT("'Compliance Resources by State'!L"&amp;MATCH($B$1,'Demand by State by ST'!$E:$E,0)+($B14-2022))</f>
        <v>0</v>
      </c>
      <c r="AA14" s="82">
        <f t="shared" ca="1" si="8"/>
        <v>0</v>
      </c>
      <c r="AB14" s="83" cm="1">
        <f t="array" aca="1" ref="AB14" ca="1">INDIRECT("'MC_Supply Price Synthetic Metha'!D"&amp;MATCH($B14,'MC_Supply Price Synthetic Metha'!$A:$A,0)+VALUE(RIGHT($B$1,LEN($B$1)-7))-1)</f>
        <v>14.544</v>
      </c>
      <c r="AC14" s="82">
        <f t="shared" ca="1" si="9"/>
        <v>0</v>
      </c>
      <c r="AD14" s="82">
        <f ca="1">SUM(AC$4:AC14)</f>
        <v>0</v>
      </c>
      <c r="AE14" s="127">
        <f t="shared" ca="1" si="10"/>
        <v>0.11002829708235685</v>
      </c>
      <c r="AF14" s="128">
        <f t="shared" ca="1" si="11"/>
        <v>8.9907306267467575E-3</v>
      </c>
      <c r="AG14" s="128">
        <f t="shared" ca="1" si="12"/>
        <v>0</v>
      </c>
      <c r="AH14" s="82">
        <f t="shared" ca="1" si="13"/>
        <v>8515.3913409599991</v>
      </c>
      <c r="AI14" s="156">
        <f t="shared" ca="1" si="14"/>
        <v>0.11901902532428511</v>
      </c>
      <c r="AJ14" s="90">
        <f ca="1">VLOOKUP('Compliance Data'!$B14,'Notes and Scenario Inputs'!$B$57:$C$86,2,FALSE)*'Compliance Data'!C14</f>
        <v>10362.9592797144</v>
      </c>
      <c r="AK14" s="105">
        <f>IF(VALUE(RIGHT($B$1,LEN($B$1)-7))=1,0,VLOOKUP($B14,'Load Reductions'!$1:$30,VALUE(RIGHT($B$1,LEN($B$1)-7)),FALSE))</f>
        <v>6614.8157812500003</v>
      </c>
      <c r="AL14" s="105">
        <f>IF(VALUE(RIGHT($B$1,LEN($B$1)-7))=1,0,VLOOKUP($B14,'Load Reductions'!$1:$30,VALUE(RIGHT($B$1,LEN($B$1)-7)+9),FALSE))</f>
        <v>4887.7591328125</v>
      </c>
      <c r="AM14" s="155">
        <f>IF(VALUE(RIGHT($B$1,LEN($B$1)-7))=1,0,VLOOKUP($B14,'Load Reductions'!$1:$30,VALUE(RIGHT($B$1,LEN($B$1)-7)+18),FALSE))</f>
        <v>3326.6507437499999</v>
      </c>
      <c r="AN14" s="105">
        <f>IF(VALUE(RIGHT($B$1,LEN($B$1)-7))=1,0,VLOOKUP($B14,'Load Reductions'!$1:$30,VALUE(RIGHT($B$1,LEN($B$1)-7)+27),FALSE))</f>
        <v>8225.0278249999992</v>
      </c>
      <c r="AO14" s="135">
        <f>VLOOKUP($B14,'Oregon DSM Scenario Costs'!$A$1:$BN$30,RIGHT($B$1,LEN($B$1)-7)+56,FALSE)</f>
        <v>0</v>
      </c>
      <c r="AP14" s="96">
        <f t="shared" ca="1" si="15"/>
        <v>87069.771000720008</v>
      </c>
      <c r="AQ14" s="105">
        <f>'Fixed Contracts'!C14</f>
        <v>770.99996999999996</v>
      </c>
      <c r="AR14" s="82">
        <f>'Fixed Contracts'!B14</f>
        <v>1847.5681464000002</v>
      </c>
      <c r="AS14" s="82">
        <f t="shared" ca="1" si="61"/>
        <v>86454.94811207999</v>
      </c>
      <c r="AT14" s="82">
        <f t="shared" ca="1" si="16"/>
        <v>68592.123896160017</v>
      </c>
      <c r="AU14" s="113">
        <f t="shared" ca="1" si="17"/>
        <v>86745515.746216536</v>
      </c>
      <c r="AV14" s="139">
        <f t="shared" ca="1" si="18"/>
        <v>0.99627591469718246</v>
      </c>
      <c r="AW14" s="116">
        <f t="shared" ca="1" si="19"/>
        <v>50830646.67476932</v>
      </c>
      <c r="AX14" s="139">
        <f t="shared" ca="1" si="20"/>
        <v>0.58379212544786618</v>
      </c>
      <c r="AY14" s="116">
        <f t="shared" si="21"/>
        <v>0</v>
      </c>
      <c r="AZ14" s="141">
        <f t="shared" ca="1" si="22"/>
        <v>0</v>
      </c>
      <c r="BA14" s="116">
        <f t="shared" ca="1" si="23"/>
        <v>137576162.42098585</v>
      </c>
      <c r="BB14" s="112">
        <f t="shared" ca="1" si="24"/>
        <v>1.5800680401450486</v>
      </c>
      <c r="BC14" s="102" cm="1">
        <f t="array" aca="1" ref="BC14" ca="1">INDIRECT("'Emissions by State'!H"&amp;MATCH($B$1,'Demand by State by ST'!$E:$E,0)+($B14-2022))</f>
        <v>4023671</v>
      </c>
      <c r="BD14" s="82">
        <f t="shared" ca="1" si="25"/>
        <v>3650213.9761350001</v>
      </c>
      <c r="BE14" s="82"/>
      <c r="BF14" s="90">
        <v>3650250.4615384601</v>
      </c>
      <c r="BG14" s="4">
        <f t="shared" ca="1" si="26"/>
        <v>687.4910271448864</v>
      </c>
      <c r="BH14">
        <v>2032</v>
      </c>
      <c r="BI14" s="92" cm="1">
        <f t="array" aca="1" ref="BI14" ca="1">INDIRECT("'Demand by State by ST'!I"&amp;MATCH($B$1,'Demand by State by ST'!$E:$E,0)+($B14-2022))</f>
        <v>7419.3100008000001</v>
      </c>
      <c r="BJ14" s="93" cm="1">
        <f t="array" aca="1" ref="BJ14" ca="1">INDIRECT("'Demand by State by ST'!K"&amp;MATCH($B$1,'Demand by State by ST'!$E:$E,0)+($B14-2022))</f>
        <v>1237.8959973599999</v>
      </c>
      <c r="BK14" s="96" cm="1">
        <f t="array" aca="1" ref="BK14" ca="1">INDIRECT("'Gas Flow by State'!I"&amp;MATCH($B$1,'Demand by State by ST'!$E:$E,0)+($B14-2022))</f>
        <v>8657.2060000799993</v>
      </c>
      <c r="BL14" s="118">
        <f t="shared" ca="1" si="27"/>
        <v>3.4695740365617156</v>
      </c>
      <c r="BM14" s="93">
        <f t="shared" ca="1" si="28"/>
        <v>30036817.167043868</v>
      </c>
      <c r="BN14" s="81" cm="1">
        <f t="array" aca="1" ref="BN14" ca="1">INDIRECT("'Compliance Resources by State'!M"&amp;MATCH($B$1,'Demand by State by ST'!$E:$E,0)+($B14-2022))</f>
        <v>2361.6988214399998</v>
      </c>
      <c r="BO14" s="83">
        <f>VLOOKUP(DATE($BH14,1,1),'MC_Allowance Price'!$A:$K,VALUE(RIGHT($B$1,LEN($B$1)-7))+1,FALSE)</f>
        <v>3.8016643807416939</v>
      </c>
      <c r="BP14">
        <v>5.99</v>
      </c>
      <c r="BQ14" s="90">
        <f t="shared" ca="1" si="29"/>
        <v>8978386.2875080854</v>
      </c>
      <c r="BR14" s="81" cm="1">
        <f t="array" aca="1" ref="BR14" ca="1">INDIRECT("'Compliance Resources by State'!O"&amp;MATCH($B$1,'Demand by State by ST'!$E:$E,0)+($B14-2022))</f>
        <v>0</v>
      </c>
      <c r="BS14" s="83">
        <f>VLOOKUP(DATE($BH14,1,1),'MC_Supply Price Offsets'!$A:$K,VALUE(RIGHT($B$1,LEN($B$1)-7))+1,FALSE)</f>
        <v>1.218</v>
      </c>
      <c r="BT14" s="90">
        <f t="shared" ca="1" si="30"/>
        <v>0</v>
      </c>
      <c r="BU14" s="81" cm="1">
        <f t="array" aca="1" ref="BU14" ca="1">INDIRECT("'Compliance Resources by State'!P"&amp;MATCH($B$1,'Demand by State by ST'!$E:$E,0)+($B14-2022))</f>
        <v>1066.241448</v>
      </c>
      <c r="BV14" s="82">
        <f t="shared" ca="1" si="31"/>
        <v>-4.5474735088646412E-13</v>
      </c>
      <c r="BW14" s="83">
        <f t="shared" ca="1" si="32"/>
        <v>11.303000000000001</v>
      </c>
      <c r="BX14" s="82">
        <f t="shared" ca="1" si="33"/>
        <v>-1.8812434063875117E-9</v>
      </c>
      <c r="BY14" s="84">
        <f ca="1">SUM(BX$4:BX14)</f>
        <v>10746592.872863039</v>
      </c>
      <c r="BZ14" s="81" cm="1">
        <f t="array" aca="1" ref="BZ14" ca="1">INDIRECT("'Compliance Resources by State'!Q"&amp;MATCH($B$1,'Demand by State by ST'!$E:$E,0)+($B14-2022))</f>
        <v>0</v>
      </c>
      <c r="CA14" s="82">
        <f t="shared" ca="1" si="34"/>
        <v>0</v>
      </c>
      <c r="CB14" s="83">
        <f t="shared" ca="1" si="35"/>
        <v>16.303000000000001</v>
      </c>
      <c r="CC14" s="82">
        <f t="shared" ca="1" si="36"/>
        <v>0</v>
      </c>
      <c r="CD14" s="84">
        <f ca="1">SUM(CC$4:CC14)</f>
        <v>0</v>
      </c>
      <c r="CE14" s="81" cm="1">
        <f t="array" aca="1" ref="CE14" ca="1">INDIRECT("'Compliance Resources by State'!N"&amp;MATCH($B$1,'Demand by State by ST'!$E:$E,0)+($B14-2022))</f>
        <v>195.0412536</v>
      </c>
      <c r="CF14" s="82">
        <f t="shared" ca="1" si="37"/>
        <v>129.14063999999996</v>
      </c>
      <c r="CG14" s="83">
        <f t="shared" ca="1" si="38"/>
        <v>8.3030000000000008</v>
      </c>
      <c r="CH14" s="82">
        <f t="shared" ca="1" si="39"/>
        <v>392445.23261471995</v>
      </c>
      <c r="CI14" s="84">
        <f ca="1">SUM(CH$4:CH14)</f>
        <v>1773328.50722232</v>
      </c>
      <c r="CJ14" s="81" cm="1">
        <f t="array" aca="1" ref="CJ14" ca="1">INDIRECT("'Compliance Resources by State'!R"&amp;MATCH($B$1,'Demand by State by ST'!$E:$E,0)+($B14-2022))</f>
        <v>0</v>
      </c>
      <c r="CK14" s="82">
        <f t="shared" ca="1" si="40"/>
        <v>0</v>
      </c>
      <c r="CL14" s="83">
        <f t="shared" ca="1" si="41"/>
        <v>14.544</v>
      </c>
      <c r="CM14" s="82">
        <f t="shared" ca="1" si="42"/>
        <v>0</v>
      </c>
      <c r="CN14" s="84">
        <f ca="1">SUM(CM$4:CM14)</f>
        <v>0</v>
      </c>
      <c r="CO14" s="127">
        <f t="shared" ca="1" si="43"/>
        <v>0.12316230527800986</v>
      </c>
      <c r="CP14" s="128">
        <f t="shared" ca="1" si="44"/>
        <v>2.2529353424355851E-2</v>
      </c>
      <c r="CQ14" s="128">
        <f t="shared" ca="1" si="45"/>
        <v>0</v>
      </c>
      <c r="CR14" s="128">
        <f t="shared" ca="1" si="46"/>
        <v>0.14569165853325805</v>
      </c>
      <c r="CS14" s="159">
        <f ca="1">VLOOKUP('Compliance Data'!$B14,'Notes and Scenario Inputs'!$B$57:$C$86,2,FALSE)*BI14</f>
        <v>1261.2827001360001</v>
      </c>
      <c r="CT14" s="120">
        <f t="shared" ca="1" si="47"/>
        <v>1261.2827016000001</v>
      </c>
      <c r="CU14" s="83">
        <f ca="1">'Notes and Scenario Inputs'!C68*'Compliance Data'!BI14-'Compliance Data'!CV14</f>
        <v>1228.5584614629554</v>
      </c>
      <c r="CV14" s="90">
        <f t="shared" ca="1" si="48"/>
        <v>32.724238673044795</v>
      </c>
      <c r="CW14" s="104">
        <f>IF(VALUE(RIGHT($B$1,LEN($B$1)-7))=1,0,VLOOKUP($B14,'Load Reductions'!$1:$30,VALUE(RIGHT($B$1,LEN($B$1)-7)+39),FALSE))</f>
        <v>1373.2356666015626</v>
      </c>
      <c r="CX14" s="105">
        <f>IF(VALUE(RIGHT($B$1,LEN($B$1)-7))=1,0,VLOOKUP($B14,'Load Reductions'!$1:$30,VALUE(RIGHT($B$1,LEN($B$1)-7)+48),FALSE))</f>
        <v>520.85684208984378</v>
      </c>
      <c r="CY14" s="105">
        <f>IF(VALUE(RIGHT($B$1,LEN($B$1)-7))=1,0,VLOOKUP($B14,'Load Reductions'!$1:$30,VALUE(RIGHT($B$1,LEN($B$1)-7)+57),FALSE))</f>
        <v>192.09689775390626</v>
      </c>
      <c r="CZ14" s="105">
        <f>IF(VALUE(RIGHT($B$1,LEN($B$1)-7))=1,0,VLOOKUP($B14,'Load Reductions'!$1:$30,VALUE(RIGHT($B$1,LEN($B$1)-7)+66),FALSE))</f>
        <v>402.40821640625001</v>
      </c>
      <c r="DA14" s="136">
        <f>IF(AND($B14 = 2022, $B$1&lt;&gt;"Sample 3"), 0, VLOOKUP($B14,'Washington DSM Scenario Costs'!$A$1:$BN$30,RIGHT($B$1,LEN($B$1)-7)+56,FALSE))</f>
        <v>0</v>
      </c>
      <c r="DB14" s="96">
        <f t="shared" ca="1" si="49"/>
        <v>8657.2059981599996</v>
      </c>
      <c r="DC14" s="82">
        <f t="shared" ca="1" si="50"/>
        <v>5034.2244770399993</v>
      </c>
      <c r="DD14" s="82">
        <f t="shared" ca="1" si="51"/>
        <v>5034.2244751199996</v>
      </c>
      <c r="DE14" s="81">
        <f t="shared" ca="1" si="52"/>
        <v>12519921.38008536</v>
      </c>
      <c r="DF14" s="143">
        <f t="shared" ca="1" si="53"/>
        <v>1.4461849911791798</v>
      </c>
      <c r="DG14" s="82">
        <f t="shared" ca="1" si="54"/>
        <v>8978386.2875080854</v>
      </c>
      <c r="DH14" s="145">
        <f t="shared" ca="1" si="55"/>
        <v>1.0370997628353016</v>
      </c>
      <c r="DI14" s="82">
        <f t="shared" si="62"/>
        <v>0</v>
      </c>
      <c r="DJ14" s="143">
        <f t="shared" ca="1" si="56"/>
        <v>0</v>
      </c>
      <c r="DK14" s="116">
        <f t="shared" ca="1" si="57"/>
        <v>21498307.667593446</v>
      </c>
      <c r="DL14" s="112">
        <f t="shared" ca="1" si="58"/>
        <v>2.4832847540144813</v>
      </c>
      <c r="DM14" s="102" cm="1">
        <f t="array" aca="1" ref="DM14" ca="1">INDIRECT("'Emissions by State'!I"&amp;MATCH($B$1,'Demand by State by ST'!$E:$E,0)+($B14-2022))</f>
        <v>295599.00000001001</v>
      </c>
      <c r="DN14" s="82">
        <f t="shared" ca="1" si="59"/>
        <v>268162.97881500906</v>
      </c>
      <c r="DO14" s="124"/>
      <c r="DP14" s="58">
        <v>268166</v>
      </c>
      <c r="DQ14" s="4">
        <f t="shared" ca="1" si="60"/>
        <v>56.927904741234357</v>
      </c>
    </row>
    <row r="15" spans="1:123" x14ac:dyDescent="0.25">
      <c r="A15">
        <v>365</v>
      </c>
      <c r="B15">
        <v>2033</v>
      </c>
      <c r="C15" s="92" cm="1">
        <f t="array" aca="1" ref="C15" ca="1">INDIRECT("'Demand by State by ST'!H"&amp;MATCH($B$1,'Demand by State by ST'!$E:$E,0)+($B15-2022))</f>
        <v>59045.356000560001</v>
      </c>
      <c r="D15" s="100" cm="1">
        <f t="array" aca="1" ref="D15" ca="1">INDIRECT("'Demand by State by ST'!J"&amp;MATCH($B$1,'Demand by State by ST'!$E:$E,0)+($B15-2022))</f>
        <v>24986.776005119998</v>
      </c>
      <c r="E15" s="96" cm="1">
        <f t="array" aca="1" ref="E15" ca="1">INDIRECT("'Gas Flow by State'!H"&amp;MATCH($B$1,'Demand by State by ST'!$E:$E,0)+($B15-2022))</f>
        <v>83806.651479360007</v>
      </c>
      <c r="F15" s="98">
        <f ca="1">VLOOKUP($B15,'WACOG Calc'!$B$49:$L$78,VALUE(RIGHT($B$1,LEN($B$1)-7))+1,FALSE)</f>
        <v>3.4823297335228705</v>
      </c>
      <c r="G15" s="90">
        <f t="shared" ca="1" si="0"/>
        <v>291842394.31356382</v>
      </c>
      <c r="H15" s="82" cm="1">
        <f t="array" aca="1" ref="H15" ca="1">INDIRECT("'Compliance Resources by State'!H"&amp;MATCH($B$1,'Demand by State by ST'!$E:$E,0)+($B15-2022))</f>
        <v>9104.0511871199997</v>
      </c>
      <c r="I15" s="83" cm="1">
        <f t="array" aca="1" ref="I15" ca="1">INDIRECT("'OR CCI Price'!C"&amp;MATCH($B15,'OR CCI Price'!$A:$A,0))</f>
        <v>6.3171150000000003</v>
      </c>
      <c r="J15" s="90">
        <f t="shared" ca="1" si="1"/>
        <v>57511338.314923562</v>
      </c>
      <c r="K15" s="81" cm="1">
        <f t="array" aca="1" ref="K15" ca="1">INDIRECT("'Compliance Resources by State'!J"&amp;MATCH($B$1,'Demand by State by ST'!$E:$E,0)+($B15-2022))</f>
        <v>7711.4432423999997</v>
      </c>
      <c r="L15" s="82">
        <f t="shared" ca="1" si="2"/>
        <v>3.637978807091713E-12</v>
      </c>
      <c r="M15" s="83" cm="1">
        <f t="array" aca="1" ref="M15" ca="1">INDIRECT("'MC_Supply Price "&amp;K$2&amp;"'!D"&amp;MATCH($B15,'MC_Supply Price RNG Tranche 1'!$A:$A,0)+VALUE(RIGHT($B$1,LEN($B$1)-7))-1)</f>
        <v>11.204000000000001</v>
      </c>
      <c r="N15" s="82">
        <f t="shared" ca="1" si="3"/>
        <v>1.4877368812449277E-8</v>
      </c>
      <c r="O15" s="90">
        <f ca="1">SUM(N$4:N15)</f>
        <v>80125296.282689035</v>
      </c>
      <c r="P15" s="81" cm="1">
        <f t="array" aca="1" ref="P15" ca="1">INDIRECT("'Compliance Resources by State'!K"&amp;MATCH($B$1,'Demand by State by ST'!$E:$E,0)+($B15-2022))</f>
        <v>0</v>
      </c>
      <c r="Q15" s="82">
        <f t="shared" ca="1" si="4"/>
        <v>0</v>
      </c>
      <c r="R15" s="83" cm="1">
        <f t="array" aca="1" ref="R15" ca="1">INDIRECT("'MC_Supply Price "&amp;P$2&amp;"'!D"&amp;MATCH($B15,'MC_Supply Price RNG Tranche 2'!$A:$A,0)+VALUE(RIGHT($B$1,LEN($B$1)-7))-1)</f>
        <v>16.204000000000001</v>
      </c>
      <c r="S15" s="82">
        <f t="shared" ca="1" si="5"/>
        <v>0</v>
      </c>
      <c r="T15" s="84">
        <f ca="1">SUM(S$4:S15)</f>
        <v>0</v>
      </c>
      <c r="U15" s="81" cm="1">
        <f t="array" aca="1" ref="U15" ca="1">INDIRECT("'Compliance Resources by State'!I"&amp;MATCH($B$1,'Demand by State by ST'!$E:$E,0)+($B15-2022))</f>
        <v>1074.2008691999999</v>
      </c>
      <c r="V15" s="82">
        <f t="shared" ca="1" si="6"/>
        <v>804.16127999999935</v>
      </c>
      <c r="W15" s="83" cm="1">
        <f t="array" aca="1" ref="W15" ca="1">INDIRECT("'MC_Supply Price "&amp;U$2&amp;"'!D"&amp;MATCH($B15,'MC_Supply Price Hydrogen'!$A:$A,0)+VALUE(RIGHT($B$1,LEN($B$1)-7))-1)</f>
        <v>7.8840000000000003</v>
      </c>
      <c r="X15" s="82">
        <f t="shared" ca="1" si="7"/>
        <v>2314102.7490047985</v>
      </c>
      <c r="Y15" s="90">
        <f ca="1">SUM(X$4:X15)</f>
        <v>8934322.2125323191</v>
      </c>
      <c r="Z15" s="81" cm="1">
        <f t="array" aca="1" ref="Z15" ca="1">INDIRECT("'Compliance Resources by State'!L"&amp;MATCH($B$1,'Demand by State by ST'!$E:$E,0)+($B15-2022))</f>
        <v>0</v>
      </c>
      <c r="AA15" s="82">
        <f t="shared" ca="1" si="8"/>
        <v>0</v>
      </c>
      <c r="AB15" s="83" cm="1">
        <f t="array" aca="1" ref="AB15" ca="1">INDIRECT("'MC_Supply Price Synthetic Metha'!D"&amp;MATCH($B15,'MC_Supply Price Synthetic Metha'!$A:$A,0)+VALUE(RIGHT($B$1,LEN($B$1)-7))-1)</f>
        <v>14.007999999999999</v>
      </c>
      <c r="AC15" s="82">
        <f t="shared" ca="1" si="9"/>
        <v>0</v>
      </c>
      <c r="AD15" s="82">
        <f ca="1">SUM(AC$4:AC15)</f>
        <v>0</v>
      </c>
      <c r="AE15" s="127">
        <f t="shared" ca="1" si="10"/>
        <v>0.11369416865151316</v>
      </c>
      <c r="AF15" s="128">
        <f t="shared" ca="1" si="11"/>
        <v>1.2783215700482183E-2</v>
      </c>
      <c r="AG15" s="128">
        <f t="shared" ca="1" si="12"/>
        <v>0</v>
      </c>
      <c r="AH15" s="82">
        <f t="shared" ca="1" si="13"/>
        <v>8785.6441115999987</v>
      </c>
      <c r="AI15" s="156">
        <f t="shared" ca="1" si="14"/>
        <v>0.12647738223971763</v>
      </c>
      <c r="AJ15" s="90">
        <f ca="1">VLOOKUP('Compliance Data'!$B15,'Notes and Scenario Inputs'!$B$57:$C$86,2,FALSE)*'Compliance Data'!C15</f>
        <v>10628.1640801008</v>
      </c>
      <c r="AK15" s="105">
        <f>IF(VALUE(RIGHT($B$1,LEN($B$1)-7))=1,0,VLOOKUP($B15,'Load Reductions'!$1:$30,VALUE(RIGHT($B$1,LEN($B$1)-7)),FALSE))</f>
        <v>7452.2802281250006</v>
      </c>
      <c r="AL15" s="105">
        <f>IF(VALUE(RIGHT($B$1,LEN($B$1)-7))=1,0,VLOOKUP($B15,'Load Reductions'!$1:$30,VALUE(RIGHT($B$1,LEN($B$1)-7)+9),FALSE))</f>
        <v>5458.4989390624996</v>
      </c>
      <c r="AM15" s="155">
        <f>IF(VALUE(RIGHT($B$1,LEN($B$1)-7))=1,0,VLOOKUP($B15,'Load Reductions'!$1:$30,VALUE(RIGHT($B$1,LEN($B$1)-7)+18),FALSE))</f>
        <v>3638.4859765625001</v>
      </c>
      <c r="AN15" s="105">
        <f>IF(VALUE(RIGHT($B$1,LEN($B$1)-7))=1,0,VLOOKUP($B15,'Load Reductions'!$1:$30,VALUE(RIGHT($B$1,LEN($B$1)-7)+27),FALSE))</f>
        <v>8935.5099375000009</v>
      </c>
      <c r="AO15" s="135">
        <f>VLOOKUP($B15,'Oregon DSM Scenario Costs'!$A$1:$BN$30,RIGHT($B$1,LEN($B$1)-7)+56,FALSE)</f>
        <v>0</v>
      </c>
      <c r="AP15" s="96">
        <f t="shared" ca="1" si="15"/>
        <v>84032.132005680003</v>
      </c>
      <c r="AQ15" s="105">
        <f>'Fixed Contracts'!C15</f>
        <v>768.99997000000008</v>
      </c>
      <c r="AR15" s="82">
        <f>'Fixed Contracts'!B15</f>
        <v>1842.5201459999998</v>
      </c>
      <c r="AS15" s="82">
        <f t="shared" ca="1" si="61"/>
        <v>82108.842635440014</v>
      </c>
      <c r="AT15" s="82">
        <f t="shared" ca="1" si="16"/>
        <v>64299.91656096001</v>
      </c>
      <c r="AU15" s="113">
        <f t="shared" ca="1" si="17"/>
        <v>89059618.495221347</v>
      </c>
      <c r="AV15" s="139">
        <f t="shared" ca="1" si="18"/>
        <v>1.0598281439438133</v>
      </c>
      <c r="AW15" s="116">
        <f t="shared" ca="1" si="19"/>
        <v>57511338.314923562</v>
      </c>
      <c r="AX15" s="139">
        <f t="shared" ca="1" si="20"/>
        <v>0.6843969912727691</v>
      </c>
      <c r="AY15" s="116">
        <f t="shared" si="21"/>
        <v>0</v>
      </c>
      <c r="AZ15" s="141">
        <f t="shared" ca="1" si="22"/>
        <v>0</v>
      </c>
      <c r="BA15" s="116">
        <f t="shared" ca="1" si="23"/>
        <v>146570956.8101449</v>
      </c>
      <c r="BB15" s="112">
        <f t="shared" ca="1" si="24"/>
        <v>1.7442251352165823</v>
      </c>
      <c r="BC15" s="102" cm="1">
        <f t="array" aca="1" ref="BC15" ca="1">INDIRECT("'Emissions by State'!H"&amp;MATCH($B$1,'Demand by State by ST'!$E:$E,0)+($B15-2022))</f>
        <v>3772192</v>
      </c>
      <c r="BD15" s="82">
        <f t="shared" ca="1" si="25"/>
        <v>3422075.9995200001</v>
      </c>
      <c r="BE15" s="82"/>
      <c r="BF15" s="90">
        <v>3422109.8076923061</v>
      </c>
      <c r="BG15" s="4">
        <f t="shared" ca="1" si="26"/>
        <v>637.04421221670839</v>
      </c>
      <c r="BH15">
        <v>2033</v>
      </c>
      <c r="BI15" s="92" cm="1">
        <f t="array" aca="1" ref="BI15" ca="1">INDIRECT("'Demand by State by ST'!I"&amp;MATCH($B$1,'Demand by State by ST'!$E:$E,0)+($B15-2022))</f>
        <v>7182.7090010399997</v>
      </c>
      <c r="BJ15" s="93" cm="1">
        <f t="array" aca="1" ref="BJ15" ca="1">INDIRECT("'Demand by State by ST'!K"&amp;MATCH($B$1,'Demand by State by ST'!$E:$E,0)+($B15-2022))</f>
        <v>1182.6100022400001</v>
      </c>
      <c r="BK15" s="96" cm="1">
        <f t="array" aca="1" ref="BK15" ca="1">INDIRECT("'Gas Flow by State'!I"&amp;MATCH($B$1,'Demand by State by ST'!$E:$E,0)+($B15-2022))</f>
        <v>8365.31899944</v>
      </c>
      <c r="BL15" s="118">
        <f t="shared" ca="1" si="27"/>
        <v>3.4823297335228705</v>
      </c>
      <c r="BM15" s="93">
        <f t="shared" ca="1" si="28"/>
        <v>29130799.0821537</v>
      </c>
      <c r="BN15" s="81" cm="1">
        <f t="array" aca="1" ref="BN15" ca="1">INDIRECT("'Compliance Resources by State'!M"&amp;MATCH($B$1,'Demand by State by ST'!$E:$E,0)+($B15-2022))</f>
        <v>2128.5148999200001</v>
      </c>
      <c r="BO15" s="83">
        <f>VLOOKUP(DATE($BH15,1,1),'MC_Allowance Price'!$A:$K,VALUE(RIGHT($B$1,LEN($B$1)-7))+1,FALSE)</f>
        <v>4.1657946983243246</v>
      </c>
      <c r="BP15">
        <v>6.06</v>
      </c>
      <c r="BQ15" s="90">
        <f t="shared" ca="1" si="29"/>
        <v>8866956.085391067</v>
      </c>
      <c r="BR15" s="81" cm="1">
        <f t="array" aca="1" ref="BR15" ca="1">INDIRECT("'Compliance Resources by State'!O"&amp;MATCH($B$1,'Demand by State by ST'!$E:$E,0)+($B15-2022))</f>
        <v>0</v>
      </c>
      <c r="BS15" s="83">
        <f>VLOOKUP(DATE($BH15,1,1),'MC_Supply Price Offsets'!$A:$K,VALUE(RIGHT($B$1,LEN($B$1)-7))+1,FALSE)</f>
        <v>1.306</v>
      </c>
      <c r="BT15" s="90">
        <f t="shared" ca="1" si="30"/>
        <v>0</v>
      </c>
      <c r="BU15" s="81" cm="1">
        <f t="array" aca="1" ref="BU15" ca="1">INDIRECT("'Compliance Resources by State'!P"&amp;MATCH($B$1,'Demand by State by ST'!$E:$E,0)+($B15-2022))</f>
        <v>1063.3282200000001</v>
      </c>
      <c r="BV15" s="82">
        <f t="shared" ca="1" si="31"/>
        <v>4.5474735088646412E-13</v>
      </c>
      <c r="BW15" s="83">
        <f t="shared" ca="1" si="32"/>
        <v>11.204000000000001</v>
      </c>
      <c r="BX15" s="82">
        <f t="shared" ca="1" si="33"/>
        <v>1.8596711015561596E-9</v>
      </c>
      <c r="BY15" s="84">
        <f ca="1">SUM(BX$4:BX15)</f>
        <v>10746592.872863041</v>
      </c>
      <c r="BZ15" s="81" cm="1">
        <f t="array" aca="1" ref="BZ15" ca="1">INDIRECT("'Compliance Resources by State'!Q"&amp;MATCH($B$1,'Demand by State by ST'!$E:$E,0)+($B15-2022))</f>
        <v>0</v>
      </c>
      <c r="CA15" s="82">
        <f t="shared" ca="1" si="34"/>
        <v>0</v>
      </c>
      <c r="CB15" s="83">
        <f t="shared" ca="1" si="35"/>
        <v>16.204000000000001</v>
      </c>
      <c r="CC15" s="82">
        <f t="shared" ca="1" si="36"/>
        <v>0</v>
      </c>
      <c r="CD15" s="84">
        <f ca="1">SUM(CC$4:CC15)</f>
        <v>0</v>
      </c>
      <c r="CE15" s="81" cm="1">
        <f t="array" aca="1" ref="CE15" ca="1">INDIRECT("'Compliance Resources by State'!N"&amp;MATCH($B$1,'Demand by State by ST'!$E:$E,0)+($B15-2022))</f>
        <v>229.5594792</v>
      </c>
      <c r="CF15" s="82">
        <f t="shared" ca="1" si="37"/>
        <v>96.030480000000011</v>
      </c>
      <c r="CG15" s="83">
        <f t="shared" ca="1" si="38"/>
        <v>7.8840000000000003</v>
      </c>
      <c r="CH15" s="82">
        <f t="shared" ca="1" si="39"/>
        <v>276343.07107680006</v>
      </c>
      <c r="CI15" s="84">
        <f ca="1">SUM(CH$4:CH15)</f>
        <v>2049671.5782991201</v>
      </c>
      <c r="CJ15" s="81" cm="1">
        <f t="array" aca="1" ref="CJ15" ca="1">INDIRECT("'Compliance Resources by State'!R"&amp;MATCH($B$1,'Demand by State by ST'!$E:$E,0)+($B15-2022))</f>
        <v>0</v>
      </c>
      <c r="CK15" s="82">
        <f t="shared" ca="1" si="40"/>
        <v>0</v>
      </c>
      <c r="CL15" s="83">
        <f t="shared" ca="1" si="41"/>
        <v>14.007999999999999</v>
      </c>
      <c r="CM15" s="82">
        <f t="shared" ca="1" si="42"/>
        <v>0</v>
      </c>
      <c r="CN15" s="84">
        <f ca="1">SUM(CM$4:CM15)</f>
        <v>0</v>
      </c>
      <c r="CO15" s="127">
        <f t="shared" ca="1" si="43"/>
        <v>0.1271114968339013</v>
      </c>
      <c r="CP15" s="128">
        <f t="shared" ca="1" si="44"/>
        <v>2.7441808149813639E-2</v>
      </c>
      <c r="CQ15" s="128">
        <f t="shared" ca="1" si="45"/>
        <v>0</v>
      </c>
      <c r="CR15" s="128">
        <f t="shared" ca="1" si="46"/>
        <v>0.15455329553843256</v>
      </c>
      <c r="CS15" s="159">
        <f ca="1">VLOOKUP('Compliance Data'!$B15,'Notes and Scenario Inputs'!$B$57:$C$86,2,FALSE)*BI15</f>
        <v>1292.8876201871999</v>
      </c>
      <c r="CT15" s="120">
        <f t="shared" ca="1" si="47"/>
        <v>1292.8876992</v>
      </c>
      <c r="CU15" s="83">
        <f ca="1">'Notes and Scenario Inputs'!C69*'Compliance Data'!BI15-'Compliance Data'!CV15</f>
        <v>1261.2667143548015</v>
      </c>
      <c r="CV15" s="90">
        <f t="shared" ca="1" si="48"/>
        <v>31.620905832398396</v>
      </c>
      <c r="CW15" s="104">
        <f>IF(VALUE(RIGHT($B$1,LEN($B$1)-7))=1,0,VLOOKUP($B15,'Load Reductions'!$1:$30,VALUE(RIGHT($B$1,LEN($B$1)-7)+39),FALSE))</f>
        <v>1542.0111197265626</v>
      </c>
      <c r="CX15" s="105">
        <f>IF(VALUE(RIGHT($B$1,LEN($B$1)-7))=1,0,VLOOKUP($B15,'Load Reductions'!$1:$30,VALUE(RIGHT($B$1,LEN($B$1)-7)+48),FALSE))</f>
        <v>585.436992578125</v>
      </c>
      <c r="CY15" s="105">
        <f>IF(VALUE(RIGHT($B$1,LEN($B$1)-7))=1,0,VLOOKUP($B15,'Load Reductions'!$1:$30,VALUE(RIGHT($B$1,LEN($B$1)-7)+57),FALSE))</f>
        <v>208.03687373046876</v>
      </c>
      <c r="CZ15" s="105">
        <f>IF(VALUE(RIGHT($B$1,LEN($B$1)-7))=1,0,VLOOKUP($B15,'Load Reductions'!$1:$30,VALUE(RIGHT($B$1,LEN($B$1)-7)+66),FALSE))</f>
        <v>437.01275332031253</v>
      </c>
      <c r="DA15" s="136">
        <f>IF(AND($B15 = 2022, $B$1&lt;&gt;"Sample 3"), 0, VLOOKUP($B15,'Washington DSM Scenario Costs'!$A$1:$BN$30,RIGHT($B$1,LEN($B$1)-7)+56,FALSE))</f>
        <v>0</v>
      </c>
      <c r="DB15" s="96">
        <f t="shared" ca="1" si="49"/>
        <v>8365.3190032799994</v>
      </c>
      <c r="DC15" s="82">
        <f t="shared" ca="1" si="50"/>
        <v>4943.9164003199994</v>
      </c>
      <c r="DD15" s="82">
        <f t="shared" ca="1" si="51"/>
        <v>4943.9164041599988</v>
      </c>
      <c r="DE15" s="81">
        <f t="shared" ca="1" si="52"/>
        <v>12796264.451162161</v>
      </c>
      <c r="DF15" s="143">
        <f t="shared" ca="1" si="53"/>
        <v>1.5296803918828212</v>
      </c>
      <c r="DG15" s="82">
        <f t="shared" ca="1" si="54"/>
        <v>8866956.085391067</v>
      </c>
      <c r="DH15" s="145">
        <f t="shared" ca="1" si="55"/>
        <v>1.0599662824471341</v>
      </c>
      <c r="DI15" s="82">
        <f t="shared" si="62"/>
        <v>0</v>
      </c>
      <c r="DJ15" s="143">
        <f t="shared" ca="1" si="56"/>
        <v>0</v>
      </c>
      <c r="DK15" s="116">
        <f t="shared" ca="1" si="57"/>
        <v>21663220.536553226</v>
      </c>
      <c r="DL15" s="112">
        <f t="shared" ca="1" si="58"/>
        <v>2.5896466743299551</v>
      </c>
      <c r="DM15" s="102" cm="1">
        <f t="array" aca="1" ref="DM15" ca="1">INDIRECT("'Emissions by State'!I"&amp;MATCH($B$1,'Demand by State by ST'!$E:$E,0)+($B15-2022))</f>
        <v>290278.99999998999</v>
      </c>
      <c r="DN15" s="82">
        <f t="shared" ca="1" si="59"/>
        <v>263336.7546149909</v>
      </c>
      <c r="DO15" s="124"/>
      <c r="DP15" s="58">
        <v>263339</v>
      </c>
      <c r="DQ15" s="4">
        <f t="shared" ca="1" si="60"/>
        <v>42.309578621840046</v>
      </c>
    </row>
    <row r="16" spans="1:123" x14ac:dyDescent="0.25">
      <c r="A16">
        <v>365</v>
      </c>
      <c r="B16">
        <v>2034</v>
      </c>
      <c r="C16" s="92" cm="1">
        <f t="array" aca="1" ref="C16" ca="1">INDIRECT("'Demand by State by ST'!H"&amp;MATCH($B$1,'Demand by State by ST'!$E:$E,0)+($B16-2022))</f>
        <v>57516.626999040003</v>
      </c>
      <c r="D16" s="100" cm="1">
        <f t="array" aca="1" ref="D16" ca="1">INDIRECT("'Demand by State by ST'!J"&amp;MATCH($B$1,'Demand by State by ST'!$E:$E,0)+($B16-2022))</f>
        <v>24053.803997520001</v>
      </c>
      <c r="E16" s="96" cm="1">
        <f t="array" aca="1" ref="E16" ca="1">INDIRECT("'Gas Flow by State'!H"&amp;MATCH($B$1,'Demand by State by ST'!$E:$E,0)+($B16-2022))</f>
        <v>80920.633390560004</v>
      </c>
      <c r="F16" s="98">
        <f ca="1">VLOOKUP($B16,'WACOG Calc'!$B$49:$L$78,VALUE(RIGHT($B$1,LEN($B$1)-7))+1,FALSE)</f>
        <v>3.5005296760916496</v>
      </c>
      <c r="G16" s="90">
        <f t="shared" ca="1" si="0"/>
        <v>283265078.59178811</v>
      </c>
      <c r="H16" s="82" cm="1">
        <f t="array" aca="1" ref="H16" ca="1">INDIRECT("'Compliance Resources by State'!H"&amp;MATCH($B$1,'Demand by State by ST'!$E:$E,0)+($B16-2022))</f>
        <v>10635.82697448</v>
      </c>
      <c r="I16" s="83" cm="1">
        <f t="array" aca="1" ref="I16" ca="1">INDIRECT("'OR CCI Price'!C"&amp;MATCH($B16,'OR CCI Price'!$A:$A,0))</f>
        <v>6.3701999999999996</v>
      </c>
      <c r="J16" s="90">
        <f t="shared" ca="1" si="1"/>
        <v>67752344.992832497</v>
      </c>
      <c r="K16" s="81" cm="1">
        <f t="array" aca="1" ref="K16" ca="1">INDIRECT("'Compliance Resources by State'!J"&amp;MATCH($B$1,'Demand by State by ST'!$E:$E,0)+($B16-2022))</f>
        <v>7711.4432423999997</v>
      </c>
      <c r="L16" s="82">
        <f t="shared" ca="1" si="2"/>
        <v>0</v>
      </c>
      <c r="M16" s="83" cm="1">
        <f t="array" aca="1" ref="M16" ca="1">INDIRECT("'MC_Supply Price "&amp;K$2&amp;"'!D"&amp;MATCH($B16,'MC_Supply Price RNG Tranche 1'!$A:$A,0)+VALUE(RIGHT($B$1,LEN($B$1)-7))-1)</f>
        <v>11.250999999999999</v>
      </c>
      <c r="N16" s="82">
        <f t="shared" ca="1" si="3"/>
        <v>0</v>
      </c>
      <c r="O16" s="90">
        <f ca="1">SUM(N$4:N16)</f>
        <v>80125296.282689035</v>
      </c>
      <c r="P16" s="81" cm="1">
        <f t="array" aca="1" ref="P16" ca="1">INDIRECT("'Compliance Resources by State'!K"&amp;MATCH($B$1,'Demand by State by ST'!$E:$E,0)+($B16-2022))</f>
        <v>0</v>
      </c>
      <c r="Q16" s="82">
        <f t="shared" ca="1" si="4"/>
        <v>0</v>
      </c>
      <c r="R16" s="83" cm="1">
        <f t="array" aca="1" ref="R16" ca="1">INDIRECT("'MC_Supply Price "&amp;P$2&amp;"'!D"&amp;MATCH($B16,'MC_Supply Price RNG Tranche 2'!$A:$A,0)+VALUE(RIGHT($B$1,LEN($B$1)-7))-1)</f>
        <v>16.251000000000001</v>
      </c>
      <c r="S16" s="82">
        <f t="shared" ca="1" si="5"/>
        <v>0</v>
      </c>
      <c r="T16" s="84">
        <f ca="1">SUM(S$4:S16)</f>
        <v>0</v>
      </c>
      <c r="U16" s="81" cm="1">
        <f t="array" aca="1" ref="U16" ca="1">INDIRECT("'Compliance Resources by State'!I"&amp;MATCH($B$1,'Demand by State by ST'!$E:$E,0)+($B16-2022))</f>
        <v>1374.1959168000001</v>
      </c>
      <c r="V16" s="82">
        <f t="shared" ca="1" si="6"/>
        <v>821.90424000000075</v>
      </c>
      <c r="W16" s="83" cm="1">
        <f t="array" aca="1" ref="W16" ca="1">INDIRECT("'MC_Supply Price "&amp;U$2&amp;"'!D"&amp;MATCH($B16,'MC_Supply Price Hydrogen'!$A:$A,0)+VALUE(RIGHT($B$1,LEN($B$1)-7))-1)</f>
        <v>7.601</v>
      </c>
      <c r="X16" s="82">
        <f t="shared" ca="1" si="7"/>
        <v>2280262.3568076021</v>
      </c>
      <c r="Y16" s="90">
        <f ca="1">SUM(X$4:X16)</f>
        <v>11214584.569339922</v>
      </c>
      <c r="Z16" s="81" cm="1">
        <f t="array" aca="1" ref="Z16" ca="1">INDIRECT("'Compliance Resources by State'!L"&amp;MATCH($B$1,'Demand by State by ST'!$E:$E,0)+($B16-2022))</f>
        <v>0</v>
      </c>
      <c r="AA16" s="82">
        <f t="shared" ca="1" si="8"/>
        <v>0</v>
      </c>
      <c r="AB16" s="83" cm="1">
        <f t="array" aca="1" ref="AB16" ca="1">INDIRECT("'MC_Supply Price Synthetic Metha'!D"&amp;MATCH($B16,'MC_Supply Price Synthetic Metha'!$A:$A,0)+VALUE(RIGHT($B$1,LEN($B$1)-7))-1)</f>
        <v>13.617000000000001</v>
      </c>
      <c r="AC16" s="82">
        <f t="shared" ca="1" si="9"/>
        <v>0</v>
      </c>
      <c r="AD16" s="82">
        <f ca="1">SUM(AC$4:AC16)</f>
        <v>0</v>
      </c>
      <c r="AE16" s="127">
        <f t="shared" ca="1" si="10"/>
        <v>0.11712532680871714</v>
      </c>
      <c r="AF16" s="128">
        <f t="shared" ca="1" si="11"/>
        <v>1.6846740908576945E-2</v>
      </c>
      <c r="AG16" s="128">
        <f t="shared" ca="1" si="12"/>
        <v>0</v>
      </c>
      <c r="AH16" s="82">
        <f t="shared" ca="1" si="13"/>
        <v>9085.6391592</v>
      </c>
      <c r="AI16" s="156">
        <f t="shared" ca="1" si="14"/>
        <v>0.13397206556722085</v>
      </c>
      <c r="AJ16" s="90">
        <f ca="1">VLOOKUP('Compliance Data'!$B16,'Notes and Scenario Inputs'!$B$57:$C$86,2,FALSE)*'Compliance Data'!C16</f>
        <v>10928.159129817601</v>
      </c>
      <c r="AK16" s="105">
        <f>IF(VALUE(RIGHT($B$1,LEN($B$1)-7))=1,0,VLOOKUP($B16,'Load Reductions'!$1:$30,VALUE(RIGHT($B$1,LEN($B$1)-7)),FALSE))</f>
        <v>8290.8851156250003</v>
      </c>
      <c r="AL16" s="105">
        <f>IF(VALUE(RIGHT($B$1,LEN($B$1)-7))=1,0,VLOOKUP($B16,'Load Reductions'!$1:$30,VALUE(RIGHT($B$1,LEN($B$1)-7)+9),FALSE))</f>
        <v>6039.7461031250004</v>
      </c>
      <c r="AM16" s="155">
        <f>IF(VALUE(RIGHT($B$1,LEN($B$1)-7))=1,0,VLOOKUP($B16,'Load Reductions'!$1:$30,VALUE(RIGHT($B$1,LEN($B$1)-7)+18),FALSE))</f>
        <v>3979.610878125</v>
      </c>
      <c r="AN16" s="105">
        <f>IF(VALUE(RIGHT($B$1,LEN($B$1)-7))=1,0,VLOOKUP($B16,'Load Reductions'!$1:$30,VALUE(RIGHT($B$1,LEN($B$1)-7)+27),FALSE))</f>
        <v>9675.0120437500009</v>
      </c>
      <c r="AO16" s="135">
        <f>VLOOKUP($B16,'Oregon DSM Scenario Costs'!$A$1:$BN$30,RIGHT($B$1,LEN($B$1)-7)+56,FALSE)</f>
        <v>0</v>
      </c>
      <c r="AP16" s="96">
        <f t="shared" ca="1" si="15"/>
        <v>81570.430996559997</v>
      </c>
      <c r="AQ16" s="105">
        <f>'Fixed Contracts'!C16</f>
        <v>768.99997000000008</v>
      </c>
      <c r="AR16" s="82">
        <f>'Fixed Contracts'!B16</f>
        <v>1842.5201459999998</v>
      </c>
      <c r="AS16" s="82">
        <f t="shared" ca="1" si="61"/>
        <v>77391.053711679997</v>
      </c>
      <c r="AT16" s="82">
        <f t="shared" ca="1" si="16"/>
        <v>60006.444716879989</v>
      </c>
      <c r="AU16" s="113">
        <f t="shared" ca="1" si="17"/>
        <v>91339880.852028951</v>
      </c>
      <c r="AV16" s="139">
        <f t="shared" ca="1" si="18"/>
        <v>1.1197670496050334</v>
      </c>
      <c r="AW16" s="116">
        <f t="shared" ca="1" si="19"/>
        <v>67752344.992832497</v>
      </c>
      <c r="AX16" s="139">
        <f t="shared" ca="1" si="20"/>
        <v>0.83059932582297824</v>
      </c>
      <c r="AY16" s="116">
        <f t="shared" si="21"/>
        <v>0</v>
      </c>
      <c r="AZ16" s="141">
        <f t="shared" ca="1" si="22"/>
        <v>0</v>
      </c>
      <c r="BA16" s="116">
        <f t="shared" ca="1" si="23"/>
        <v>159092225.84486145</v>
      </c>
      <c r="BB16" s="112">
        <f t="shared" ca="1" si="24"/>
        <v>1.9503663754280116</v>
      </c>
      <c r="BC16" s="102" cm="1">
        <f t="array" aca="1" ref="BC16" ca="1">INDIRECT("'Emissions by State'!H"&amp;MATCH($B$1,'Demand by State by ST'!$E:$E,0)+($B16-2022))</f>
        <v>3520712</v>
      </c>
      <c r="BD16" s="82">
        <f t="shared" ca="1" si="25"/>
        <v>3193937.1157200001</v>
      </c>
      <c r="BE16" s="82"/>
      <c r="BF16" s="90">
        <v>3193969.1538461521</v>
      </c>
      <c r="BG16" s="4">
        <f t="shared" ca="1" si="26"/>
        <v>603.69139895078263</v>
      </c>
      <c r="BH16">
        <v>2034</v>
      </c>
      <c r="BI16" s="92" cm="1">
        <f t="array" aca="1" ref="BI16" ca="1">INDIRECT("'Demand by State by ST'!I"&amp;MATCH($B$1,'Demand by State by ST'!$E:$E,0)+($B16-2022))</f>
        <v>6993.0569997599996</v>
      </c>
      <c r="BJ16" s="93" cm="1">
        <f t="array" aca="1" ref="BJ16" ca="1">INDIRECT("'Demand by State by ST'!K"&amp;MATCH($B$1,'Demand by State by ST'!$E:$E,0)+($B16-2022))</f>
        <v>1135.9319872799999</v>
      </c>
      <c r="BK16" s="96" cm="1">
        <f t="array" aca="1" ref="BK16" ca="1">INDIRECT("'Gas Flow by State'!I"&amp;MATCH($B$1,'Demand by State by ST'!$E:$E,0)+($B16-2022))</f>
        <v>8128.98900168</v>
      </c>
      <c r="BL16" s="118">
        <f t="shared" ca="1" si="27"/>
        <v>3.5005296760916496</v>
      </c>
      <c r="BM16" s="93">
        <f t="shared" ca="1" si="28"/>
        <v>28455767.237003472</v>
      </c>
      <c r="BN16" s="81" cm="1">
        <f t="array" aca="1" ref="BN16" ca="1">INDIRECT("'Compliance Resources by State'!M"&amp;MATCH($B$1,'Demand by State by ST'!$E:$E,0)+($B16-2022))</f>
        <v>1945.19608296</v>
      </c>
      <c r="BO16" s="83">
        <f>VLOOKUP(DATE($BH16,1,1),'MC_Allowance Price'!$A:$K,VALUE(RIGHT($B$1,LEN($B$1)-7))+1,FALSE)</f>
        <v>4.5654558835919028</v>
      </c>
      <c r="BP16">
        <v>6.14</v>
      </c>
      <c r="BQ16" s="90">
        <f t="shared" ca="1" si="29"/>
        <v>8880706.9016896542</v>
      </c>
      <c r="BR16" s="81" cm="1">
        <f t="array" aca="1" ref="BR16" ca="1">INDIRECT("'Compliance Resources by State'!O"&amp;MATCH($B$1,'Demand by State by ST'!$E:$E,0)+($B16-2022))</f>
        <v>0</v>
      </c>
      <c r="BS16" s="83">
        <f>VLOOKUP(DATE($BH16,1,1),'MC_Supply Price Offsets'!$A:$K,VALUE(RIGHT($B$1,LEN($B$1)-7))+1,FALSE)</f>
        <v>1.4179999999999999</v>
      </c>
      <c r="BT16" s="90">
        <f t="shared" ca="1" si="30"/>
        <v>0</v>
      </c>
      <c r="BU16" s="81" cm="1">
        <f t="array" aca="1" ref="BU16" ca="1">INDIRECT("'Compliance Resources by State'!P"&amp;MATCH($B$1,'Demand by State by ST'!$E:$E,0)+($B16-2022))</f>
        <v>1063.3282200000001</v>
      </c>
      <c r="BV16" s="82">
        <f t="shared" ca="1" si="31"/>
        <v>0</v>
      </c>
      <c r="BW16" s="83">
        <f t="shared" ca="1" si="32"/>
        <v>11.250999999999999</v>
      </c>
      <c r="BX16" s="82">
        <f t="shared" ca="1" si="33"/>
        <v>0</v>
      </c>
      <c r="BY16" s="84">
        <f ca="1">SUM(BX$4:BX16)</f>
        <v>10746592.872863041</v>
      </c>
      <c r="BZ16" s="81" cm="1">
        <f t="array" aca="1" ref="BZ16" ca="1">INDIRECT("'Compliance Resources by State'!Q"&amp;MATCH($B$1,'Demand by State by ST'!$E:$E,0)+($B16-2022))</f>
        <v>0</v>
      </c>
      <c r="CA16" s="82">
        <f t="shared" ca="1" si="34"/>
        <v>0</v>
      </c>
      <c r="CB16" s="83">
        <f t="shared" ca="1" si="35"/>
        <v>16.251000000000001</v>
      </c>
      <c r="CC16" s="82">
        <f t="shared" ca="1" si="36"/>
        <v>0</v>
      </c>
      <c r="CD16" s="84">
        <f ca="1">SUM(CC$4:CC16)</f>
        <v>0</v>
      </c>
      <c r="CE16" s="81" cm="1">
        <f t="array" aca="1" ref="CE16" ca="1">INDIRECT("'Compliance Resources by State'!N"&amp;MATCH($B$1,'Demand by State by ST'!$E:$E,0)+($B16-2022))</f>
        <v>265.352664</v>
      </c>
      <c r="CF16" s="82">
        <f t="shared" ca="1" si="37"/>
        <v>98.06352000000004</v>
      </c>
      <c r="CG16" s="83">
        <f t="shared" ca="1" si="38"/>
        <v>7.601</v>
      </c>
      <c r="CH16" s="82">
        <f t="shared" ca="1" si="39"/>
        <v>272063.99766480009</v>
      </c>
      <c r="CI16" s="84">
        <f ca="1">SUM(CH$4:CH16)</f>
        <v>2321735.57596392</v>
      </c>
      <c r="CJ16" s="81" cm="1">
        <f t="array" aca="1" ref="CJ16" ca="1">INDIRECT("'Compliance Resources by State'!R"&amp;MATCH($B$1,'Demand by State by ST'!$E:$E,0)+($B16-2022))</f>
        <v>0</v>
      </c>
      <c r="CK16" s="82">
        <f t="shared" ca="1" si="40"/>
        <v>0</v>
      </c>
      <c r="CL16" s="83">
        <f t="shared" ca="1" si="41"/>
        <v>13.617000000000001</v>
      </c>
      <c r="CM16" s="82">
        <f t="shared" ca="1" si="42"/>
        <v>0</v>
      </c>
      <c r="CN16" s="84">
        <f ca="1">SUM(CM$4:CM16)</f>
        <v>0</v>
      </c>
      <c r="CO16" s="127">
        <f t="shared" ca="1" si="43"/>
        <v>0.13080694557407546</v>
      </c>
      <c r="CP16" s="128">
        <f t="shared" ca="1" si="44"/>
        <v>3.2642763377223202E-2</v>
      </c>
      <c r="CQ16" s="128">
        <f t="shared" ca="1" si="45"/>
        <v>0</v>
      </c>
      <c r="CR16" s="128">
        <f t="shared" ca="1" si="46"/>
        <v>0.1634497023027966</v>
      </c>
      <c r="CS16" s="159">
        <f ca="1">VLOOKUP('Compliance Data'!$B16,'Notes and Scenario Inputs'!$B$57:$C$86,2,FALSE)*BI16</f>
        <v>1328.6808299544</v>
      </c>
      <c r="CT16" s="120">
        <f t="shared" ca="1" si="47"/>
        <v>1328.6808840000001</v>
      </c>
      <c r="CU16" s="83">
        <f ca="1">'Notes and Scenario Inputs'!C70*'Compliance Data'!BI16-'Compliance Data'!CV16</f>
        <v>1297.9532515833887</v>
      </c>
      <c r="CV16" s="90">
        <f t="shared" ca="1" si="48"/>
        <v>30.727578371011198</v>
      </c>
      <c r="CW16" s="104">
        <f>IF(VALUE(RIGHT($B$1,LEN($B$1)-7))=1,0,VLOOKUP($B16,'Load Reductions'!$1:$30,VALUE(RIGHT($B$1,LEN($B$1)-7)+39),FALSE))</f>
        <v>1717.9048300781251</v>
      </c>
      <c r="CX16" s="105">
        <f>IF(VALUE(RIGHT($B$1,LEN($B$1)-7))=1,0,VLOOKUP($B16,'Load Reductions'!$1:$30,VALUE(RIGHT($B$1,LEN($B$1)-7)+48),FALSE))</f>
        <v>652.03407343749996</v>
      </c>
      <c r="CY16" s="105">
        <f>IF(VALUE(RIGHT($B$1,LEN($B$1)-7))=1,0,VLOOKUP($B16,'Load Reductions'!$1:$30,VALUE(RIGHT($B$1,LEN($B$1)-7)+57),FALSE))</f>
        <v>225.32048271484376</v>
      </c>
      <c r="CZ16" s="105">
        <f>IF(VALUE(RIGHT($B$1,LEN($B$1)-7))=1,0,VLOOKUP($B16,'Load Reductions'!$1:$30,VALUE(RIGHT($B$1,LEN($B$1)-7)+66),FALSE))</f>
        <v>473.12196308593752</v>
      </c>
      <c r="DA16" s="136">
        <f>IF(AND($B16 = 2022, $B$1&lt;&gt;"Sample 3"), 0, VLOOKUP($B16,'Washington DSM Scenario Costs'!$A$1:$BN$30,RIGHT($B$1,LEN($B$1)-7)+56,FALSE))</f>
        <v>0</v>
      </c>
      <c r="DB16" s="96">
        <f t="shared" ca="1" si="49"/>
        <v>8128.9889870399993</v>
      </c>
      <c r="DC16" s="82">
        <f t="shared" ca="1" si="50"/>
        <v>4855.1120347199994</v>
      </c>
      <c r="DD16" s="82">
        <f t="shared" ca="1" si="51"/>
        <v>4855.1120200799987</v>
      </c>
      <c r="DE16" s="81">
        <f t="shared" ca="1" si="52"/>
        <v>13068328.448826961</v>
      </c>
      <c r="DF16" s="143">
        <f t="shared" ca="1" si="53"/>
        <v>1.607620390390702</v>
      </c>
      <c r="DG16" s="82">
        <f t="shared" ca="1" si="54"/>
        <v>8880706.9016896542</v>
      </c>
      <c r="DH16" s="145">
        <f t="shared" ca="1" si="55"/>
        <v>1.0924737277720655</v>
      </c>
      <c r="DI16" s="82">
        <f t="shared" si="62"/>
        <v>0</v>
      </c>
      <c r="DJ16" s="143">
        <f t="shared" ca="1" si="56"/>
        <v>0</v>
      </c>
      <c r="DK16" s="116">
        <f t="shared" ca="1" si="57"/>
        <v>21949035.350516617</v>
      </c>
      <c r="DL16" s="112">
        <f t="shared" ca="1" si="58"/>
        <v>2.7000941181627676</v>
      </c>
      <c r="DM16" s="102" cm="1">
        <f t="array" aca="1" ref="DM16" ca="1">INDIRECT("'Emissions by State'!I"&amp;MATCH($B$1,'Demand by State by ST'!$E:$E,0)+($B16-2022))</f>
        <v>285054</v>
      </c>
      <c r="DN16" s="82">
        <f t="shared" ca="1" si="59"/>
        <v>258596.71299</v>
      </c>
      <c r="DO16" s="124"/>
      <c r="DP16" s="58">
        <v>258598.9</v>
      </c>
      <c r="DQ16" s="4">
        <f t="shared" ca="1" si="60"/>
        <v>41.209623813565706</v>
      </c>
    </row>
    <row r="17" spans="1:121" x14ac:dyDescent="0.25">
      <c r="A17">
        <v>365</v>
      </c>
      <c r="B17">
        <v>2035</v>
      </c>
      <c r="C17" s="92" cm="1">
        <f t="array" aca="1" ref="C17" ca="1">INDIRECT("'Demand by State by ST'!H"&amp;MATCH($B$1,'Demand by State by ST'!$E:$E,0)+($B17-2022))</f>
        <v>56012.815000080001</v>
      </c>
      <c r="D17" s="100" cm="1">
        <f t="array" aca="1" ref="D17" ca="1">INDIRECT("'Demand by State by ST'!J"&amp;MATCH($B$1,'Demand by State by ST'!$E:$E,0)+($B17-2022))</f>
        <v>23143.671007199999</v>
      </c>
      <c r="E17" s="96" cm="1">
        <f t="array" aca="1" ref="E17" ca="1">INDIRECT("'Gas Flow by State'!H"&amp;MATCH($B$1,'Demand by State by ST'!$E:$E,0)+($B17-2022))</f>
        <v>78461.816101200006</v>
      </c>
      <c r="F17" s="98">
        <f ca="1">VLOOKUP($B17,'WACOG Calc'!$B$49:$L$78,VALUE(RIGHT($B$1,LEN($B$1)-7))+1,FALSE)</f>
        <v>3.4985802763702174</v>
      </c>
      <c r="G17" s="90">
        <f t="shared" ca="1" si="0"/>
        <v>274504962.2598455</v>
      </c>
      <c r="H17" s="82" cm="1">
        <f t="array" aca="1" ref="H17" ca="1">INDIRECT("'Compliance Resources by State'!H"&amp;MATCH($B$1,'Demand by State by ST'!$E:$E,0)+($B17-2022))</f>
        <v>12241.036278240001</v>
      </c>
      <c r="I17" s="83" cm="1">
        <f t="array" aca="1" ref="I17" ca="1">INDIRECT("'OR CCI Price'!C"&amp;MATCH($B17,'OR CCI Price'!$A:$A,0))</f>
        <v>6.4232849999999999</v>
      </c>
      <c r="J17" s="90">
        <f t="shared" ca="1" si="1"/>
        <v>78627664.710474819</v>
      </c>
      <c r="K17" s="81" cm="1">
        <f t="array" aca="1" ref="K17" ca="1">INDIRECT("'Compliance Resources by State'!J"&amp;MATCH($B$1,'Demand by State by ST'!$E:$E,0)+($B17-2022))</f>
        <v>7711.4432423999997</v>
      </c>
      <c r="L17" s="82">
        <f t="shared" ca="1" si="2"/>
        <v>0</v>
      </c>
      <c r="M17" s="83" cm="1">
        <f t="array" aca="1" ref="M17" ca="1">INDIRECT("'MC_Supply Price "&amp;K$2&amp;"'!D"&amp;MATCH($B17,'MC_Supply Price RNG Tranche 1'!$A:$A,0)+VALUE(RIGHT($B$1,LEN($B$1)-7))-1)</f>
        <v>11.278</v>
      </c>
      <c r="N17" s="82">
        <f t="shared" ca="1" si="3"/>
        <v>0</v>
      </c>
      <c r="O17" s="90">
        <f ca="1">SUM(N$4:N17)</f>
        <v>80125296.282689035</v>
      </c>
      <c r="P17" s="81" cm="1">
        <f t="array" aca="1" ref="P17" ca="1">INDIRECT("'Compliance Resources by State'!K"&amp;MATCH($B$1,'Demand by State by ST'!$E:$E,0)+($B17-2022))</f>
        <v>0</v>
      </c>
      <c r="Q17" s="82">
        <f t="shared" ca="1" si="4"/>
        <v>0</v>
      </c>
      <c r="R17" s="83" cm="1">
        <f t="array" aca="1" ref="R17" ca="1">INDIRECT("'MC_Supply Price "&amp;P$2&amp;"'!D"&amp;MATCH($B17,'MC_Supply Price RNG Tranche 2'!$A:$A,0)+VALUE(RIGHT($B$1,LEN($B$1)-7))-1)</f>
        <v>16.277999999999999</v>
      </c>
      <c r="S17" s="82">
        <f t="shared" ca="1" si="5"/>
        <v>0</v>
      </c>
      <c r="T17" s="84">
        <f ca="1">SUM(S$4:S17)</f>
        <v>0</v>
      </c>
      <c r="U17" s="81" cm="1">
        <f t="array" aca="1" ref="U17" ca="1">INDIRECT("'Compliance Resources by State'!I"&amp;MATCH($B$1,'Demand by State by ST'!$E:$E,0)+($B17-2022))</f>
        <v>1648.5997632000001</v>
      </c>
      <c r="V17" s="82">
        <f t="shared" ca="1" si="6"/>
        <v>751.79136000000017</v>
      </c>
      <c r="W17" s="83" cm="1">
        <f t="array" aca="1" ref="W17" ca="1">INDIRECT("'MC_Supply Price "&amp;U$2&amp;"'!D"&amp;MATCH($B17,'MC_Supply Price Hydrogen'!$A:$A,0)+VALUE(RIGHT($B$1,LEN($B$1)-7))-1)</f>
        <v>7.3079999999999998</v>
      </c>
      <c r="X17" s="82">
        <f t="shared" ca="1" si="7"/>
        <v>2005343.3094912004</v>
      </c>
      <c r="Y17" s="90">
        <f ca="1">SUM(X$4:X17)</f>
        <v>13219927.878831122</v>
      </c>
      <c r="Z17" s="81" cm="1">
        <f t="array" aca="1" ref="Z17" ca="1">INDIRECT("'Compliance Resources by State'!L"&amp;MATCH($B$1,'Demand by State by ST'!$E:$E,0)+($B17-2022))</f>
        <v>0</v>
      </c>
      <c r="AA17" s="82">
        <f t="shared" ca="1" si="8"/>
        <v>0</v>
      </c>
      <c r="AB17" s="83" cm="1">
        <f t="array" aca="1" ref="AB17" ca="1">INDIRECT("'MC_Supply Price Synthetic Metha'!D"&amp;MATCH($B17,'MC_Supply Price Synthetic Metha'!$A:$A,0)+VALUE(RIGHT($B$1,LEN($B$1)-7))-1)</f>
        <v>13.208</v>
      </c>
      <c r="AC17" s="82">
        <f t="shared" ca="1" si="9"/>
        <v>0</v>
      </c>
      <c r="AD17" s="82">
        <f ca="1">SUM(AC$4:AC17)</f>
        <v>0</v>
      </c>
      <c r="AE17" s="127">
        <f t="shared" ca="1" si="10"/>
        <v>0.12069716419095869</v>
      </c>
      <c r="AF17" s="128">
        <f t="shared" ca="1" si="11"/>
        <v>2.0827096380306456E-2</v>
      </c>
      <c r="AG17" s="128">
        <f t="shared" ca="1" si="12"/>
        <v>0</v>
      </c>
      <c r="AH17" s="82">
        <f t="shared" ca="1" si="13"/>
        <v>9360.0430056000005</v>
      </c>
      <c r="AI17" s="156">
        <f t="shared" ca="1" si="14"/>
        <v>0.14152425865627366</v>
      </c>
      <c r="AJ17" s="90">
        <f ca="1">VLOOKUP('Compliance Data'!$B17,'Notes and Scenario Inputs'!$B$57:$C$86,2,FALSE)*'Compliance Data'!C17</f>
        <v>11202.563000016002</v>
      </c>
      <c r="AK17" s="105">
        <f>IF(VALUE(RIGHT($B$1,LEN($B$1)-7))=1,0,VLOOKUP($B17,'Load Reductions'!$1:$30,VALUE(RIGHT($B$1,LEN($B$1)-7)),FALSE))</f>
        <v>9111.7673062499998</v>
      </c>
      <c r="AL17" s="105">
        <f>IF(VALUE(RIGHT($B$1,LEN($B$1)-7))=1,0,VLOOKUP($B17,'Load Reductions'!$1:$30,VALUE(RIGHT($B$1,LEN($B$1)-7)+9),FALSE))</f>
        <v>6614.4385976562498</v>
      </c>
      <c r="AM17" s="155">
        <f>IF(VALUE(RIGHT($B$1,LEN($B$1)-7))=1,0,VLOOKUP($B17,'Load Reductions'!$1:$30,VALUE(RIGHT($B$1,LEN($B$1)-7)+18),FALSE))</f>
        <v>4324.5376609374998</v>
      </c>
      <c r="AN17" s="105">
        <f>IF(VALUE(RIGHT($B$1,LEN($B$1)-7))=1,0,VLOOKUP($B17,'Load Reductions'!$1:$30,VALUE(RIGHT($B$1,LEN($B$1)-7)+27),FALSE))</f>
        <v>10392.71380625</v>
      </c>
      <c r="AO17" s="135">
        <f>VLOOKUP($B17,'Oregon DSM Scenario Costs'!$A$1:$BN$30,RIGHT($B$1,LEN($B$1)-7)+56,FALSE)</f>
        <v>0</v>
      </c>
      <c r="AP17" s="96">
        <f t="shared" ca="1" si="15"/>
        <v>79156.486007280007</v>
      </c>
      <c r="AQ17" s="105">
        <f>'Fixed Contracts'!C17</f>
        <v>768.99997000000008</v>
      </c>
      <c r="AR17" s="82">
        <f>'Fixed Contracts'!B17</f>
        <v>1842.5201459999998</v>
      </c>
      <c r="AS17" s="82">
        <f t="shared" ca="1" si="61"/>
        <v>73052.623272159995</v>
      </c>
      <c r="AT17" s="82">
        <f t="shared" ca="1" si="16"/>
        <v>55712.886577440004</v>
      </c>
      <c r="AU17" s="113">
        <f t="shared" ca="1" si="17"/>
        <v>93345224.161520153</v>
      </c>
      <c r="AV17" s="139">
        <f t="shared" ca="1" si="18"/>
        <v>1.1792492172143065</v>
      </c>
      <c r="AW17" s="116">
        <f t="shared" ca="1" si="19"/>
        <v>78627664.710474819</v>
      </c>
      <c r="AX17" s="139">
        <f t="shared" ca="1" si="20"/>
        <v>0.99331929291610355</v>
      </c>
      <c r="AY17" s="116">
        <f t="shared" si="21"/>
        <v>0</v>
      </c>
      <c r="AZ17" s="141">
        <f t="shared" ca="1" si="22"/>
        <v>0</v>
      </c>
      <c r="BA17" s="116">
        <f t="shared" ca="1" si="23"/>
        <v>171972888.87199497</v>
      </c>
      <c r="BB17" s="112">
        <f t="shared" ca="1" si="24"/>
        <v>2.17256851013041</v>
      </c>
      <c r="BC17" s="102" cm="1">
        <f t="array" aca="1" ref="BC17" ca="1">INDIRECT("'Emissions by State'!H"&amp;MATCH($B$1,'Demand by State by ST'!$E:$E,0)+($B17-2022))</f>
        <v>3269233</v>
      </c>
      <c r="BD17" s="82">
        <f t="shared" ca="1" si="25"/>
        <v>2965799.1391050001</v>
      </c>
      <c r="BE17" s="82"/>
      <c r="BF17" s="90">
        <v>2965828.5</v>
      </c>
      <c r="BG17" s="4">
        <f t="shared" ca="1" si="26"/>
        <v>553.24458405770235</v>
      </c>
      <c r="BH17">
        <v>2035</v>
      </c>
      <c r="BI17" s="92" cm="1">
        <f t="array" aca="1" ref="BI17" ca="1">INDIRECT("'Demand by State by ST'!I"&amp;MATCH($B$1,'Demand by State by ST'!$E:$E,0)+($B17-2022))</f>
        <v>6804.6419975999997</v>
      </c>
      <c r="BJ17" s="93" cm="1">
        <f t="array" aca="1" ref="BJ17" ca="1">INDIRECT("'Demand by State by ST'!K"&amp;MATCH($B$1,'Demand by State by ST'!$E:$E,0)+($B17-2022))</f>
        <v>1090.31600712</v>
      </c>
      <c r="BK17" s="96" cm="1">
        <f t="array" aca="1" ref="BK17" ca="1">INDIRECT("'Gas Flow by State'!I"&amp;MATCH($B$1,'Demand by State by ST'!$E:$E,0)+($B17-2022))</f>
        <v>7894.9580003999999</v>
      </c>
      <c r="BL17" s="118">
        <f t="shared" ca="1" si="27"/>
        <v>3.4985802763702174</v>
      </c>
      <c r="BM17" s="93">
        <f t="shared" ca="1" si="28"/>
        <v>27621144.342970692</v>
      </c>
      <c r="BN17" s="81" cm="1">
        <f t="array" aca="1" ref="BN17" ca="1">INDIRECT("'Compliance Resources by State'!M"&amp;MATCH($B$1,'Demand by State by ST'!$E:$E,0)+($B17-2022))</f>
        <v>0</v>
      </c>
      <c r="BO17" s="83">
        <f>VLOOKUP(DATE($BH17,1,1),'MC_Allowance Price'!$A:$K,VALUE(RIGHT($B$1,LEN($B$1)-7))+1,FALSE)</f>
        <v>5.0035008741682265</v>
      </c>
      <c r="BP17">
        <v>6.22</v>
      </c>
      <c r="BQ17" s="90">
        <f t="shared" ca="1" si="29"/>
        <v>0</v>
      </c>
      <c r="BR17" s="81" cm="1">
        <f t="array" aca="1" ref="BR17" ca="1">INDIRECT("'Compliance Resources by State'!O"&amp;MATCH($B$1,'Demand by State by ST'!$E:$E,0)+($B17-2022))</f>
        <v>1766.12004744</v>
      </c>
      <c r="BS17" s="83">
        <f>VLOOKUP(DATE($BH17,1,1),'MC_Supply Price Offsets'!$A:$K,VALUE(RIGHT($B$1,LEN($B$1)-7))+1,FALSE)</f>
        <v>1.532</v>
      </c>
      <c r="BT17" s="90">
        <f t="shared" ca="1" si="30"/>
        <v>2705695.9126780801</v>
      </c>
      <c r="BU17" s="81" cm="1">
        <f t="array" aca="1" ref="BU17" ca="1">INDIRECT("'Compliance Resources by State'!P"&amp;MATCH($B$1,'Demand by State by ST'!$E:$E,0)+($B17-2022))</f>
        <v>1063.3282200000001</v>
      </c>
      <c r="BV17" s="82">
        <f t="shared" ca="1" si="31"/>
        <v>0</v>
      </c>
      <c r="BW17" s="83">
        <f t="shared" ca="1" si="32"/>
        <v>11.278</v>
      </c>
      <c r="BX17" s="82">
        <f t="shared" ca="1" si="33"/>
        <v>0</v>
      </c>
      <c r="BY17" s="84">
        <f ca="1">SUM(BX$4:BX17)</f>
        <v>10746592.872863041</v>
      </c>
      <c r="BZ17" s="81" cm="1">
        <f t="array" aca="1" ref="BZ17" ca="1">INDIRECT("'Compliance Resources by State'!Q"&amp;MATCH($B$1,'Demand by State by ST'!$E:$E,0)+($B17-2022))</f>
        <v>0</v>
      </c>
      <c r="CA17" s="82">
        <f t="shared" ca="1" si="34"/>
        <v>0</v>
      </c>
      <c r="CB17" s="83">
        <f t="shared" ca="1" si="35"/>
        <v>16.277999999999999</v>
      </c>
      <c r="CC17" s="82">
        <f t="shared" ca="1" si="36"/>
        <v>0</v>
      </c>
      <c r="CD17" s="84">
        <f ca="1">SUM(CC$4:CC17)</f>
        <v>0</v>
      </c>
      <c r="CE17" s="81" cm="1">
        <f t="array" aca="1" ref="CE17" ca="1">INDIRECT("'Compliance Resources by State'!N"&amp;MATCH($B$1,'Demand by State by ST'!$E:$E,0)+($B17-2022))</f>
        <v>297.6002388</v>
      </c>
      <c r="CF17" s="82">
        <f t="shared" ca="1" si="37"/>
        <v>88.349519999999984</v>
      </c>
      <c r="CG17" s="83">
        <f t="shared" ca="1" si="38"/>
        <v>7.3079999999999998</v>
      </c>
      <c r="CH17" s="82">
        <f t="shared" ca="1" si="39"/>
        <v>235665.27663839996</v>
      </c>
      <c r="CI17" s="84">
        <f ca="1">SUM(CH$4:CH17)</f>
        <v>2557400.8526023198</v>
      </c>
      <c r="CJ17" s="81" cm="1">
        <f t="array" aca="1" ref="CJ17" ca="1">INDIRECT("'Compliance Resources by State'!R"&amp;MATCH($B$1,'Demand by State by ST'!$E:$E,0)+($B17-2022))</f>
        <v>0</v>
      </c>
      <c r="CK17" s="82">
        <f t="shared" ca="1" si="40"/>
        <v>0</v>
      </c>
      <c r="CL17" s="83">
        <f t="shared" ca="1" si="41"/>
        <v>13.208</v>
      </c>
      <c r="CM17" s="82">
        <f t="shared" ca="1" si="42"/>
        <v>0</v>
      </c>
      <c r="CN17" s="84">
        <f ca="1">SUM(CM$4:CM17)</f>
        <v>0</v>
      </c>
      <c r="CO17" s="127">
        <f t="shared" ca="1" si="43"/>
        <v>0.13468446815857532</v>
      </c>
      <c r="CP17" s="128">
        <f t="shared" ca="1" si="44"/>
        <v>3.7694974263584397E-2</v>
      </c>
      <c r="CQ17" s="128">
        <f t="shared" ca="1" si="45"/>
        <v>0</v>
      </c>
      <c r="CR17" s="128">
        <f t="shared" ca="1" si="46"/>
        <v>0.17237943491357005</v>
      </c>
      <c r="CS17" s="159">
        <f ca="1">VLOOKUP('Compliance Data'!$B17,'Notes and Scenario Inputs'!$B$57:$C$86,2,FALSE)*BI17</f>
        <v>1360.9283995200001</v>
      </c>
      <c r="CT17" s="120">
        <f t="shared" ca="1" si="47"/>
        <v>1360.9284588</v>
      </c>
      <c r="CU17" s="83">
        <f ca="1">'Notes and Scenario Inputs'!C71*'Compliance Data'!BI17-'Compliance Data'!CV17</f>
        <v>1331.0854582621585</v>
      </c>
      <c r="CV17" s="90">
        <f t="shared" ca="1" si="48"/>
        <v>29.842941257841598</v>
      </c>
      <c r="CW17" s="104">
        <f>IF(VALUE(RIGHT($B$1,LEN($B$1)-7))=1,0,VLOOKUP($B17,'Load Reductions'!$1:$30,VALUE(RIGHT($B$1,LEN($B$1)-7)+39),FALSE))</f>
        <v>1892.45301015625</v>
      </c>
      <c r="CX17" s="105">
        <f>IF(VALUE(RIGHT($B$1,LEN($B$1)-7))=1,0,VLOOKUP($B17,'Load Reductions'!$1:$30,VALUE(RIGHT($B$1,LEN($B$1)-7)+48),FALSE))</f>
        <v>718.30432480468755</v>
      </c>
      <c r="CY17" s="105">
        <f>IF(VALUE(RIGHT($B$1,LEN($B$1)-7))=1,0,VLOOKUP($B17,'Load Reductions'!$1:$30,VALUE(RIGHT($B$1,LEN($B$1)-7)+57),FALSE))</f>
        <v>242.36812890625001</v>
      </c>
      <c r="CZ17" s="105">
        <f>IF(VALUE(RIGHT($B$1,LEN($B$1)-7))=1,0,VLOOKUP($B17,'Load Reductions'!$1:$30,VALUE(RIGHT($B$1,LEN($B$1)-7)+66),FALSE))</f>
        <v>508.17008378906252</v>
      </c>
      <c r="DA17" s="136">
        <f>IF(AND($B17 = 2022, $B$1&lt;&gt;"Sample 3"), 0, VLOOKUP($B17,'Washington DSM Scenario Costs'!$A$1:$BN$30,RIGHT($B$1,LEN($B$1)-7)+56,FALSE))</f>
        <v>0</v>
      </c>
      <c r="DB17" s="96">
        <f t="shared" ca="1" si="49"/>
        <v>7894.9580047199997</v>
      </c>
      <c r="DC17" s="82">
        <f t="shared" ca="1" si="50"/>
        <v>4767.9094941599997</v>
      </c>
      <c r="DD17" s="82">
        <f t="shared" ca="1" si="51"/>
        <v>4767.9094984799995</v>
      </c>
      <c r="DE17" s="81">
        <f t="shared" ca="1" si="52"/>
        <v>13303993.725465361</v>
      </c>
      <c r="DF17" s="143">
        <f t="shared" ca="1" si="53"/>
        <v>1.6851253315738437</v>
      </c>
      <c r="DG17" s="82">
        <f t="shared" ca="1" si="54"/>
        <v>2705695.9126780801</v>
      </c>
      <c r="DH17" s="145">
        <f t="shared" ca="1" si="55"/>
        <v>0.34271188156548521</v>
      </c>
      <c r="DI17" s="82">
        <f t="shared" si="62"/>
        <v>0</v>
      </c>
      <c r="DJ17" s="143">
        <f t="shared" ca="1" si="56"/>
        <v>0</v>
      </c>
      <c r="DK17" s="116">
        <f t="shared" ca="1" si="57"/>
        <v>16009689.638143441</v>
      </c>
      <c r="DL17" s="112">
        <f t="shared" ca="1" si="58"/>
        <v>2.0278372131393287</v>
      </c>
      <c r="DM17" s="102" cm="1">
        <f t="array" aca="1" ref="DM17" ca="1">INDIRECT("'Emissions by State'!I"&amp;MATCH($B$1,'Demand by State by ST'!$E:$E,0)+($B17-2022))</f>
        <v>279923</v>
      </c>
      <c r="DN17" s="82">
        <f t="shared" ca="1" si="59"/>
        <v>253941.94675500001</v>
      </c>
      <c r="DO17" s="124"/>
      <c r="DP17" s="58">
        <v>253944.1</v>
      </c>
      <c r="DQ17" s="4">
        <f t="shared" ca="1" si="60"/>
        <v>40.573393093050427</v>
      </c>
    </row>
    <row r="18" spans="1:121" x14ac:dyDescent="0.25">
      <c r="A18">
        <v>366</v>
      </c>
      <c r="B18">
        <v>2036</v>
      </c>
      <c r="C18" s="92" cm="1">
        <f t="array" aca="1" ref="C18" ca="1">INDIRECT("'Demand by State by ST'!H"&amp;MATCH($B$1,'Demand by State by ST'!$E:$E,0)+($B18-2022))</f>
        <v>54858.38700024</v>
      </c>
      <c r="D18" s="100" cm="1">
        <f t="array" aca="1" ref="D18" ca="1">INDIRECT("'Demand by State by ST'!J"&amp;MATCH($B$1,'Demand by State by ST'!$E:$E,0)+($B18-2022))</f>
        <v>22410.350002560001</v>
      </c>
      <c r="E18" s="96" cm="1">
        <f t="array" aca="1" ref="E18" ca="1">INDIRECT("'Gas Flow by State'!H"&amp;MATCH($B$1,'Demand by State by ST'!$E:$E,0)+($B18-2022))</f>
        <v>76552.354450319996</v>
      </c>
      <c r="F18" s="98">
        <f ca="1">VLOOKUP($B18,'WACOG Calc'!$B$49:$L$78,VALUE(RIGHT($B$1,LEN($B$1)-7))+1,FALSE)</f>
        <v>3.5441647036519144</v>
      </c>
      <c r="G18" s="90">
        <f t="shared" ca="1" si="0"/>
        <v>271314152.62427467</v>
      </c>
      <c r="H18" s="82" cm="1">
        <f t="array" aca="1" ref="H18" ca="1">INDIRECT("'Compliance Resources by State'!H"&amp;MATCH($B$1,'Demand by State by ST'!$E:$E,0)+($B18-2022))</f>
        <v>10924.299747360001</v>
      </c>
      <c r="I18" s="83" cm="1">
        <f t="array" aca="1" ref="I18" ca="1">INDIRECT("'OR CCI Price'!C"&amp;MATCH($B18,'OR CCI Price'!$A:$A,0))</f>
        <v>6.4763700000000002</v>
      </c>
      <c r="J18" s="90">
        <f t="shared" ca="1" si="1"/>
        <v>70749807.154809892</v>
      </c>
      <c r="K18" s="81" cm="1">
        <f t="array" aca="1" ref="K18" ca="1">INDIRECT("'Compliance Resources by State'!J"&amp;MATCH($B$1,'Demand by State by ST'!$E:$E,0)+($B18-2022))</f>
        <v>7732.57048416</v>
      </c>
      <c r="L18" s="82">
        <f t="shared" ca="1" si="2"/>
        <v>-3.637978807091713E-12</v>
      </c>
      <c r="M18" s="83" cm="1">
        <f t="array" aca="1" ref="M18" ca="1">INDIRECT("'MC_Supply Price "&amp;K$2&amp;"'!D"&amp;MATCH($B18,'MC_Supply Price RNG Tranche 1'!$A:$A,0)+VALUE(RIGHT($B$1,LEN($B$1)-7))-1)</f>
        <v>11.257999999999999</v>
      </c>
      <c r="N18" s="82">
        <f t="shared" ca="1" si="3"/>
        <v>-1.4990029740147292E-8</v>
      </c>
      <c r="O18" s="90">
        <f ca="1">SUM(N$4:N18)</f>
        <v>80125296.28268902</v>
      </c>
      <c r="P18" s="81" cm="1">
        <f t="array" aca="1" ref="P18" ca="1">INDIRECT("'Compliance Resources by State'!K"&amp;MATCH($B$1,'Demand by State by ST'!$E:$E,0)+($B18-2022))</f>
        <v>0</v>
      </c>
      <c r="Q18" s="82">
        <f t="shared" ca="1" si="4"/>
        <v>0</v>
      </c>
      <c r="R18" s="83" cm="1">
        <f t="array" aca="1" ref="R18" ca="1">INDIRECT("'MC_Supply Price "&amp;P$2&amp;"'!D"&amp;MATCH($B18,'MC_Supply Price RNG Tranche 2'!$A:$A,0)+VALUE(RIGHT($B$1,LEN($B$1)-7))-1)</f>
        <v>16.257999999999999</v>
      </c>
      <c r="S18" s="82">
        <f t="shared" ca="1" si="5"/>
        <v>0</v>
      </c>
      <c r="T18" s="84">
        <f ca="1">SUM(S$4:S18)</f>
        <v>0</v>
      </c>
      <c r="U18" s="81" cm="1">
        <f t="array" aca="1" ref="U18" ca="1">INDIRECT("'Compliance Resources by State'!I"&amp;MATCH($B$1,'Demand by State by ST'!$E:$E,0)+($B18-2022))</f>
        <v>4027.8193127999998</v>
      </c>
      <c r="V18" s="82">
        <f t="shared" ca="1" si="6"/>
        <v>6488.2591199999988</v>
      </c>
      <c r="W18" s="83" cm="1">
        <f t="array" aca="1" ref="W18" ca="1">INDIRECT("'MC_Supply Price "&amp;U$2&amp;"'!D"&amp;MATCH($B18,'MC_Supply Price Hydrogen'!$A:$A,0)+VALUE(RIGHT($B$1,LEN($B$1)-7))-1)</f>
        <v>6.9580000000000002</v>
      </c>
      <c r="X18" s="82">
        <f t="shared" ca="1" si="7"/>
        <v>16523182.346247356</v>
      </c>
      <c r="Y18" s="90">
        <f ca="1">SUM(X$4:X18)</f>
        <v>29743110.225078478</v>
      </c>
      <c r="Z18" s="81" cm="1">
        <f t="array" aca="1" ref="Z18" ca="1">INDIRECT("'Compliance Resources by State'!L"&amp;MATCH($B$1,'Demand by State by ST'!$E:$E,0)+($B18-2022))</f>
        <v>0</v>
      </c>
      <c r="AA18" s="82">
        <f t="shared" ca="1" si="8"/>
        <v>0</v>
      </c>
      <c r="AB18" s="83" cm="1">
        <f t="array" aca="1" ref="AB18" ca="1">INDIRECT("'MC_Supply Price Synthetic Metha'!D"&amp;MATCH($B18,'MC_Supply Price Synthetic Metha'!$A:$A,0)+VALUE(RIGHT($B$1,LEN($B$1)-7))-1)</f>
        <v>12.750999999999999</v>
      </c>
      <c r="AC18" s="82">
        <f t="shared" ca="1" si="9"/>
        <v>0</v>
      </c>
      <c r="AD18" s="82">
        <f ca="1">SUM(AC$4:AC18)</f>
        <v>0</v>
      </c>
      <c r="AE18" s="127">
        <f t="shared" ca="1" si="10"/>
        <v>0.12398466704862594</v>
      </c>
      <c r="AF18" s="128">
        <f t="shared" ca="1" si="11"/>
        <v>5.2127412314944957E-2</v>
      </c>
      <c r="AG18" s="128">
        <f t="shared" ca="1" si="12"/>
        <v>0</v>
      </c>
      <c r="AH18" s="82">
        <f t="shared" ca="1" si="13"/>
        <v>11760.38979696</v>
      </c>
      <c r="AI18" s="156">
        <f t="shared" ca="1" si="14"/>
        <v>0.14909343308708331</v>
      </c>
      <c r="AJ18" s="90">
        <f ca="1">VLOOKUP('Compliance Data'!$B18,'Notes and Scenario Inputs'!$B$57:$C$86,2,FALSE)*'Compliance Data'!C18</f>
        <v>11520.2612700504</v>
      </c>
      <c r="AK18" s="105">
        <f>IF(VALUE(RIGHT($B$1,LEN($B$1)-7))=1,0,VLOOKUP($B18,'Load Reductions'!$1:$30,VALUE(RIGHT($B$1,LEN($B$1)-7)),FALSE))</f>
        <v>9978.9099304687497</v>
      </c>
      <c r="AL18" s="105">
        <f>IF(VALUE(RIGHT($B$1,LEN($B$1)-7))=1,0,VLOOKUP($B18,'Load Reductions'!$1:$30,VALUE(RIGHT($B$1,LEN($B$1)-7)+9),FALSE))</f>
        <v>7222.5907429687504</v>
      </c>
      <c r="AM18" s="155">
        <f>IF(VALUE(RIGHT($B$1,LEN($B$1)-7))=1,0,VLOOKUP($B18,'Load Reductions'!$1:$30,VALUE(RIGHT($B$1,LEN($B$1)-7)+18),FALSE))</f>
        <v>4710.3065500000002</v>
      </c>
      <c r="AN18" s="105">
        <f>IF(VALUE(RIGHT($B$1,LEN($B$1)-7))=1,0,VLOOKUP($B18,'Load Reductions'!$1:$30,VALUE(RIGHT($B$1,LEN($B$1)-7)+27),FALSE))</f>
        <v>11148.822893750001</v>
      </c>
      <c r="AO18" s="135">
        <f>VLOOKUP($B18,'Oregon DSM Scenario Costs'!$A$1:$BN$30,RIGHT($B$1,LEN($B$1)-7)+56,FALSE)</f>
        <v>0</v>
      </c>
      <c r="AP18" s="96">
        <f t="shared" ca="1" si="15"/>
        <v>77268.7370028</v>
      </c>
      <c r="AQ18" s="105">
        <f>'Fixed Contracts'!C18</f>
        <v>770.99996999999996</v>
      </c>
      <c r="AR18" s="82">
        <f>'Fixed Contracts'!B18</f>
        <v>1847.5681464000002</v>
      </c>
      <c r="AS18" s="82">
        <f t="shared" ca="1" si="61"/>
        <v>70103.805844319999</v>
      </c>
      <c r="AT18" s="82">
        <f t="shared" ca="1" si="16"/>
        <v>52736.479312080002</v>
      </c>
      <c r="AU18" s="113">
        <f t="shared" ca="1" si="17"/>
        <v>109868406.5077675</v>
      </c>
      <c r="AV18" s="139">
        <f t="shared" ca="1" si="18"/>
        <v>1.4218998623438892</v>
      </c>
      <c r="AW18" s="116">
        <f t="shared" ca="1" si="19"/>
        <v>70749807.154809892</v>
      </c>
      <c r="AX18" s="139">
        <f t="shared" ca="1" si="20"/>
        <v>0.91563302182933459</v>
      </c>
      <c r="AY18" s="116">
        <f t="shared" si="21"/>
        <v>0</v>
      </c>
      <c r="AZ18" s="141">
        <f t="shared" ca="1" si="22"/>
        <v>0</v>
      </c>
      <c r="BA18" s="116">
        <f t="shared" ca="1" si="23"/>
        <v>180618213.66257739</v>
      </c>
      <c r="BB18" s="112">
        <f t="shared" ca="1" si="24"/>
        <v>2.3375328841732239</v>
      </c>
      <c r="BC18" s="102" cm="1">
        <f t="array" aca="1" ref="BC18" ca="1">INDIRECT("'Emissions by State'!H"&amp;MATCH($B$1,'Demand by State by ST'!$E:$E,0)+($B18-2022))</f>
        <v>3094874.0000000098</v>
      </c>
      <c r="BD18" s="82">
        <f t="shared" ca="1" si="25"/>
        <v>2807623.2696900088</v>
      </c>
      <c r="BE18" s="82"/>
      <c r="BF18" s="90">
        <v>2807650.98</v>
      </c>
      <c r="BG18" s="4">
        <f t="shared" ca="1" si="26"/>
        <v>522.14276592037015</v>
      </c>
      <c r="BH18">
        <v>2036</v>
      </c>
      <c r="BI18" s="92" cm="1">
        <f t="array" aca="1" ref="BI18" ca="1">INDIRECT("'Demand by State by ST'!I"&amp;MATCH($B$1,'Demand by State by ST'!$E:$E,0)+($B18-2022))</f>
        <v>6658.5910000800004</v>
      </c>
      <c r="BJ18" s="93" cm="1">
        <f t="array" aca="1" ref="BJ18" ca="1">INDIRECT("'Demand by State by ST'!K"&amp;MATCH($B$1,'Demand by State by ST'!$E:$E,0)+($B18-2022))</f>
        <v>1052.2599948</v>
      </c>
      <c r="BK18" s="96" cm="1">
        <f t="array" aca="1" ref="BK18" ca="1">INDIRECT("'Gas Flow by State'!I"&amp;MATCH($B$1,'Demand by State by ST'!$E:$E,0)+($B18-2022))</f>
        <v>7710.8510006400002</v>
      </c>
      <c r="BL18" s="118">
        <f t="shared" ca="1" si="27"/>
        <v>3.5441647036519144</v>
      </c>
      <c r="BM18" s="93">
        <f t="shared" ca="1" si="28"/>
        <v>27328525.951587334</v>
      </c>
      <c r="BN18" s="81" cm="1">
        <f t="array" aca="1" ref="BN18" ca="1">INDIRECT("'Compliance Resources by State'!M"&amp;MATCH($B$1,'Demand by State by ST'!$E:$E,0)+($B18-2022))</f>
        <v>1581.6762960000001</v>
      </c>
      <c r="BO18" s="83">
        <f>VLOOKUP(DATE($BH18,1,1),'MC_Allowance Price'!$A:$K,VALUE(RIGHT($B$1,LEN($B$1)-7))+1,FALSE)</f>
        <v>5.1473793563843691</v>
      </c>
      <c r="BP18">
        <v>6.31</v>
      </c>
      <c r="BQ18" s="90">
        <f t="shared" ca="1" si="29"/>
        <v>8141487.9145128932</v>
      </c>
      <c r="BR18" s="81" cm="1">
        <f t="array" aca="1" ref="BR18" ca="1">INDIRECT("'Compliance Resources by State'!O"&amp;MATCH($B$1,'Demand by State by ST'!$E:$E,0)+($B18-2022))</f>
        <v>48.699052559999998</v>
      </c>
      <c r="BS18" s="83">
        <f>VLOOKUP(DATE($BH18,1,1),'MC_Supply Price Offsets'!$A:$K,VALUE(RIGHT($B$1,LEN($B$1)-7))+1,FALSE)</f>
        <v>1.6619999999999999</v>
      </c>
      <c r="BT18" s="90">
        <f t="shared" ca="1" si="30"/>
        <v>80937.825354719986</v>
      </c>
      <c r="BU18" s="81" cm="1">
        <f t="array" aca="1" ref="BU18" ca="1">INDIRECT("'Compliance Resources by State'!P"&amp;MATCH($B$1,'Demand by State by ST'!$E:$E,0)+($B18-2022))</f>
        <v>1066.241448</v>
      </c>
      <c r="BV18" s="82">
        <f t="shared" ca="1" si="31"/>
        <v>-4.5474735088646412E-13</v>
      </c>
      <c r="BW18" s="83">
        <f t="shared" ca="1" si="32"/>
        <v>11.257999999999999</v>
      </c>
      <c r="BX18" s="82">
        <f t="shared" ca="1" si="33"/>
        <v>-1.8737537175184115E-9</v>
      </c>
      <c r="BY18" s="84">
        <f ca="1">SUM(BX$4:BX18)</f>
        <v>10746592.872863039</v>
      </c>
      <c r="BZ18" s="81" cm="1">
        <f t="array" aca="1" ref="BZ18" ca="1">INDIRECT("'Compliance Resources by State'!Q"&amp;MATCH($B$1,'Demand by State by ST'!$E:$E,0)+($B18-2022))</f>
        <v>0</v>
      </c>
      <c r="CA18" s="82">
        <f t="shared" ca="1" si="34"/>
        <v>0</v>
      </c>
      <c r="CB18" s="83">
        <f t="shared" ca="1" si="35"/>
        <v>16.257999999999999</v>
      </c>
      <c r="CC18" s="82">
        <f t="shared" ca="1" si="36"/>
        <v>0</v>
      </c>
      <c r="CD18" s="84">
        <f ca="1">SUM(CC$4:CC18)</f>
        <v>0</v>
      </c>
      <c r="CE18" s="81" cm="1">
        <f t="array" aca="1" ref="CE18" ca="1">INDIRECT("'Compliance Resources by State'!N"&amp;MATCH($B$1,'Demand by State by ST'!$E:$E,0)+($B18-2022))</f>
        <v>332.06269392000002</v>
      </c>
      <c r="CF18" s="82">
        <f t="shared" ca="1" si="37"/>
        <v>91.932000000000016</v>
      </c>
      <c r="CG18" s="83">
        <f t="shared" ca="1" si="38"/>
        <v>6.9580000000000002</v>
      </c>
      <c r="CH18" s="82">
        <f t="shared" ca="1" si="39"/>
        <v>234116.60529600005</v>
      </c>
      <c r="CI18" s="84">
        <f ca="1">SUM(CH$4:CH18)</f>
        <v>2791517.4578983197</v>
      </c>
      <c r="CJ18" s="81" cm="1">
        <f t="array" aca="1" ref="CJ18" ca="1">INDIRECT("'Compliance Resources by State'!R"&amp;MATCH($B$1,'Demand by State by ST'!$E:$E,0)+($B18-2022))</f>
        <v>0</v>
      </c>
      <c r="CK18" s="82">
        <f t="shared" ca="1" si="40"/>
        <v>0</v>
      </c>
      <c r="CL18" s="83">
        <f t="shared" ca="1" si="41"/>
        <v>12.750999999999999</v>
      </c>
      <c r="CM18" s="82">
        <f t="shared" ca="1" si="42"/>
        <v>0</v>
      </c>
      <c r="CN18" s="84">
        <f ca="1">SUM(CM$4:CM18)</f>
        <v>0</v>
      </c>
      <c r="CO18" s="127">
        <f t="shared" ca="1" si="43"/>
        <v>0.13827805111368169</v>
      </c>
      <c r="CP18" s="128">
        <f t="shared" ca="1" si="44"/>
        <v>4.3064338053022864E-2</v>
      </c>
      <c r="CQ18" s="128">
        <f t="shared" ca="1" si="45"/>
        <v>0</v>
      </c>
      <c r="CR18" s="128">
        <f t="shared" ca="1" si="46"/>
        <v>0.18134238502926239</v>
      </c>
      <c r="CS18" s="159">
        <f ca="1">VLOOKUP('Compliance Data'!$B18,'Notes and Scenario Inputs'!$B$57:$C$86,2,FALSE)*BI18</f>
        <v>1398.3041100168</v>
      </c>
      <c r="CT18" s="120">
        <f t="shared" ca="1" si="47"/>
        <v>1398.3041419199999</v>
      </c>
      <c r="CU18" s="83">
        <f ca="1">'Notes and Scenario Inputs'!C72*'Compliance Data'!BI18-'Compliance Data'!CV18</f>
        <v>1369.1570932561535</v>
      </c>
      <c r="CV18" s="90">
        <f t="shared" ca="1" si="48"/>
        <v>29.147016760646402</v>
      </c>
      <c r="CW18" s="104">
        <f>IF(VALUE(RIGHT($B$1,LEN($B$1)-7))=1,0,VLOOKUP($B18,'Load Reductions'!$1:$30,VALUE(RIGHT($B$1,LEN($B$1)-7)+39),FALSE))</f>
        <v>2078.5447099609378</v>
      </c>
      <c r="CX18" s="105">
        <f>IF(VALUE(RIGHT($B$1,LEN($B$1)-7))=1,0,VLOOKUP($B18,'Load Reductions'!$1:$30,VALUE(RIGHT($B$1,LEN($B$1)-7)+48),FALSE))</f>
        <v>787.83793017578125</v>
      </c>
      <c r="CY18" s="105">
        <f>IF(VALUE(RIGHT($B$1,LEN($B$1)-7))=1,0,VLOOKUP($B18,'Load Reductions'!$1:$30,VALUE(RIGHT($B$1,LEN($B$1)-7)+57),FALSE))</f>
        <v>261.34770283203125</v>
      </c>
      <c r="CZ18" s="105">
        <f>IF(VALUE(RIGHT($B$1,LEN($B$1)-7))=1,0,VLOOKUP($B18,'Load Reductions'!$1:$30,VALUE(RIGHT($B$1,LEN($B$1)-7)+66),FALSE))</f>
        <v>545.54618417968754</v>
      </c>
      <c r="DA18" s="136">
        <f>IF(AND($B18 = 2022, $B$1&lt;&gt;"Sample 3"), 0, VLOOKUP($B18,'Washington DSM Scenario Costs'!$A$1:$BN$30,RIGHT($B$1,LEN($B$1)-7)+56,FALSE))</f>
        <v>0</v>
      </c>
      <c r="DB18" s="96">
        <f t="shared" ca="1" si="49"/>
        <v>7710.8509948800001</v>
      </c>
      <c r="DC18" s="82">
        <f t="shared" ca="1" si="50"/>
        <v>4682.1715101599993</v>
      </c>
      <c r="DD18" s="82">
        <f t="shared" ca="1" si="51"/>
        <v>4682.1715044000002</v>
      </c>
      <c r="DE18" s="81">
        <f t="shared" ca="1" si="52"/>
        <v>13538110.330761358</v>
      </c>
      <c r="DF18" s="143">
        <f t="shared" ca="1" si="53"/>
        <v>1.7557219481676736</v>
      </c>
      <c r="DG18" s="82">
        <f t="shared" ca="1" si="54"/>
        <v>8222425.7398676127</v>
      </c>
      <c r="DH18" s="145">
        <f t="shared" ca="1" si="55"/>
        <v>1.0663447841654958</v>
      </c>
      <c r="DI18" s="82">
        <f t="shared" si="62"/>
        <v>0</v>
      </c>
      <c r="DJ18" s="143">
        <f t="shared" ca="1" si="56"/>
        <v>0</v>
      </c>
      <c r="DK18" s="116">
        <f t="shared" ca="1" si="57"/>
        <v>21760536.070628971</v>
      </c>
      <c r="DL18" s="112">
        <f t="shared" ca="1" si="58"/>
        <v>2.8220667323331696</v>
      </c>
      <c r="DM18" s="102" cm="1">
        <f t="array" aca="1" ref="DM18" ca="1">INDIRECT("'Emissions by State'!I"&amp;MATCH($B$1,'Demand by State by ST'!$E:$E,0)+($B18-2022))</f>
        <v>274884.00000001001</v>
      </c>
      <c r="DN18" s="82">
        <f t="shared" ca="1" si="59"/>
        <v>249370.64154000909</v>
      </c>
      <c r="DO18" s="124"/>
      <c r="DP18" s="58">
        <v>249373.1</v>
      </c>
      <c r="DQ18" s="4">
        <f t="shared" ca="1" si="60"/>
        <v>46.324530471528014</v>
      </c>
    </row>
    <row r="19" spans="1:121" x14ac:dyDescent="0.25">
      <c r="A19">
        <v>365</v>
      </c>
      <c r="B19">
        <v>2037</v>
      </c>
      <c r="C19" s="92" cm="1">
        <f t="array" aca="1" ref="C19" ca="1">INDIRECT("'Demand by State by ST'!H"&amp;MATCH($B$1,'Demand by State by ST'!$E:$E,0)+($B19-2022))</f>
        <v>53021.226999600003</v>
      </c>
      <c r="D19" s="100" cm="1">
        <f t="array" aca="1" ref="D19" ca="1">INDIRECT("'Demand by State by ST'!J"&amp;MATCH($B$1,'Demand by State by ST'!$E:$E,0)+($B19-2022))</f>
        <v>21412.183998</v>
      </c>
      <c r="E19" s="96" cm="1">
        <f t="array" aca="1" ref="E19" ca="1">INDIRECT("'Gas Flow by State'!H"&amp;MATCH($B$1,'Demand by State by ST'!$E:$E,0)+($B19-2022))</f>
        <v>73722.935519520004</v>
      </c>
      <c r="F19" s="98">
        <f ca="1">VLOOKUP($B19,'WACOG Calc'!$B$49:$L$78,VALUE(RIGHT($B$1,LEN($B$1)-7))+1,FALSE)</f>
        <v>3.5568881684963229</v>
      </c>
      <c r="G19" s="90">
        <f t="shared" ca="1" si="0"/>
        <v>262224237.09619802</v>
      </c>
      <c r="H19" s="82" cm="1">
        <f t="array" aca="1" ref="H19" ca="1">INDIRECT("'Compliance Resources by State'!H"&amp;MATCH($B$1,'Demand by State by ST'!$E:$E,0)+($B19-2022))</f>
        <v>11100.5089032</v>
      </c>
      <c r="I19" s="83" cm="1">
        <f t="array" aca="1" ref="I19" ca="1">INDIRECT("'OR CCI Price'!C"&amp;MATCH($B19,'OR CCI Price'!$A:$A,0))</f>
        <v>6.5294549999999996</v>
      </c>
      <c r="J19" s="90">
        <f t="shared" ca="1" si="1"/>
        <v>72480273.360543758</v>
      </c>
      <c r="K19" s="81" cm="1">
        <f t="array" aca="1" ref="K19" ca="1">INDIRECT("'Compliance Resources by State'!J"&amp;MATCH($B$1,'Demand by State by ST'!$E:$E,0)+($B19-2022))</f>
        <v>7711.4432423999997</v>
      </c>
      <c r="L19" s="82">
        <f t="shared" ca="1" si="2"/>
        <v>3.637978807091713E-12</v>
      </c>
      <c r="M19" s="83" cm="1">
        <f t="array" aca="1" ref="M19" ca="1">INDIRECT("'MC_Supply Price "&amp;K$2&amp;"'!D"&amp;MATCH($B19,'MC_Supply Price RNG Tranche 1'!$A:$A,0)+VALUE(RIGHT($B$1,LEN($B$1)-7))-1)</f>
        <v>11.252000000000001</v>
      </c>
      <c r="N19" s="82">
        <f t="shared" ca="1" si="3"/>
        <v>1.4941106201149525E-8</v>
      </c>
      <c r="O19" s="90">
        <f ca="1">SUM(N$4:N19)</f>
        <v>80125296.282689035</v>
      </c>
      <c r="P19" s="81" cm="1">
        <f t="array" aca="1" ref="P19" ca="1">INDIRECT("'Compliance Resources by State'!K"&amp;MATCH($B$1,'Demand by State by ST'!$E:$E,0)+($B19-2022))</f>
        <v>0</v>
      </c>
      <c r="Q19" s="82">
        <f t="shared" ca="1" si="4"/>
        <v>0</v>
      </c>
      <c r="R19" s="83" cm="1">
        <f t="array" aca="1" ref="R19" ca="1">INDIRECT("'MC_Supply Price "&amp;P$2&amp;"'!D"&amp;MATCH($B19,'MC_Supply Price RNG Tranche 2'!$A:$A,0)+VALUE(RIGHT($B$1,LEN($B$1)-7))-1)</f>
        <v>16.251999999999999</v>
      </c>
      <c r="S19" s="82">
        <f t="shared" ca="1" si="5"/>
        <v>0</v>
      </c>
      <c r="T19" s="84">
        <f ca="1">SUM(S$4:S19)</f>
        <v>0</v>
      </c>
      <c r="U19" s="81" cm="1">
        <f t="array" aca="1" ref="U19" ca="1">INDIRECT("'Compliance Resources by State'!I"&amp;MATCH($B$1,'Demand by State by ST'!$E:$E,0)+($B19-2022))</f>
        <v>4016.8143420000001</v>
      </c>
      <c r="V19" s="82">
        <f t="shared" ca="1" si="6"/>
        <v>1.8189894035458565E-12</v>
      </c>
      <c r="W19" s="83" cm="1">
        <f t="array" aca="1" ref="W19" ca="1">INDIRECT("'MC_Supply Price "&amp;U$2&amp;"'!D"&amp;MATCH($B19,'MC_Supply Price Hydrogen'!$A:$A,0)+VALUE(RIGHT($B$1,LEN($B$1)-7))-1)</f>
        <v>6.6319999999999997</v>
      </c>
      <c r="X19" s="82">
        <f t="shared" ca="1" si="7"/>
        <v>4.4031912693753836E-9</v>
      </c>
      <c r="Y19" s="90">
        <f ca="1">SUM(X$4:X19)</f>
        <v>29743110.225078482</v>
      </c>
      <c r="Z19" s="81" cm="1">
        <f t="array" aca="1" ref="Z19" ca="1">INDIRECT("'Compliance Resources by State'!L"&amp;MATCH($B$1,'Demand by State by ST'!$E:$E,0)+($B19-2022))</f>
        <v>0</v>
      </c>
      <c r="AA19" s="82">
        <f t="shared" ca="1" si="8"/>
        <v>0</v>
      </c>
      <c r="AB19" s="83" cm="1">
        <f t="array" aca="1" ref="AB19" ca="1">INDIRECT("'MC_Supply Price Synthetic Metha'!D"&amp;MATCH($B19,'MC_Supply Price Synthetic Metha'!$A:$A,0)+VALUE(RIGHT($B$1,LEN($B$1)-7))-1)</f>
        <v>12.308</v>
      </c>
      <c r="AC19" s="82">
        <f t="shared" ca="1" si="9"/>
        <v>0</v>
      </c>
      <c r="AD19" s="82">
        <f ca="1">SUM(AC$4:AC19)</f>
        <v>0</v>
      </c>
      <c r="AE19" s="127">
        <f t="shared" ca="1" si="10"/>
        <v>0.12835584531666905</v>
      </c>
      <c r="AF19" s="128">
        <f t="shared" ca="1" si="11"/>
        <v>5.3965205788157639E-2</v>
      </c>
      <c r="AG19" s="128">
        <f t="shared" ca="1" si="12"/>
        <v>0</v>
      </c>
      <c r="AH19" s="82">
        <f t="shared" ca="1" si="13"/>
        <v>11728.2575844</v>
      </c>
      <c r="AI19" s="156">
        <f t="shared" ca="1" si="14"/>
        <v>0.15671282269044623</v>
      </c>
      <c r="AJ19" s="90">
        <f ca="1">VLOOKUP('Compliance Data'!$B19,'Notes and Scenario Inputs'!$B$57:$C$86,2,FALSE)*'Compliance Data'!C19</f>
        <v>11664.669939912001</v>
      </c>
      <c r="AK19" s="105">
        <f>IF(VALUE(RIGHT($B$1,LEN($B$1)-7))=1,0,VLOOKUP($B19,'Load Reductions'!$1:$30,VALUE(RIGHT($B$1,LEN($B$1)-7)),FALSE))</f>
        <v>10709.7358859375</v>
      </c>
      <c r="AL19" s="105">
        <f>IF(VALUE(RIGHT($B$1,LEN($B$1)-7))=1,0,VLOOKUP($B19,'Load Reductions'!$1:$30,VALUE(RIGHT($B$1,LEN($B$1)-7)+9),FALSE))</f>
        <v>7741.3821289062498</v>
      </c>
      <c r="AM19" s="155">
        <f>IF(VALUE(RIGHT($B$1,LEN($B$1)-7))=1,0,VLOOKUP($B19,'Load Reductions'!$1:$30,VALUE(RIGHT($B$1,LEN($B$1)-7)+18),FALSE))</f>
        <v>5027.9886593749998</v>
      </c>
      <c r="AN19" s="105">
        <f>IF(VALUE(RIGHT($B$1,LEN($B$1)-7))=1,0,VLOOKUP($B19,'Load Reductions'!$1:$30,VALUE(RIGHT($B$1,LEN($B$1)-7)+27),FALSE))</f>
        <v>11742.477440625</v>
      </c>
      <c r="AO19" s="135">
        <f>VLOOKUP($B19,'Oregon DSM Scenario Costs'!$A$1:$BN$30,RIGHT($B$1,LEN($B$1)-7)+56,FALSE)</f>
        <v>0</v>
      </c>
      <c r="AP19" s="96">
        <f t="shared" ca="1" si="15"/>
        <v>74433.410997600004</v>
      </c>
      <c r="AQ19" s="105">
        <f>'Fixed Contracts'!C19</f>
        <v>768.99997000000008</v>
      </c>
      <c r="AR19" s="82">
        <f>'Fixed Contracts'!B19</f>
        <v>1842.5201459999998</v>
      </c>
      <c r="AS19" s="82">
        <f t="shared" ca="1" si="61"/>
        <v>67086.055486720012</v>
      </c>
      <c r="AT19" s="82">
        <f t="shared" ca="1" si="16"/>
        <v>49762.12436400001</v>
      </c>
      <c r="AU19" s="113">
        <f t="shared" ca="1" si="17"/>
        <v>109868406.50776751</v>
      </c>
      <c r="AV19" s="139">
        <f t="shared" ca="1" si="18"/>
        <v>1.4760630345331085</v>
      </c>
      <c r="AW19" s="116">
        <f t="shared" ca="1" si="19"/>
        <v>72480273.360543758</v>
      </c>
      <c r="AX19" s="139">
        <f t="shared" ca="1" si="20"/>
        <v>0.97375993373299496</v>
      </c>
      <c r="AY19" s="116">
        <f t="shared" si="21"/>
        <v>0</v>
      </c>
      <c r="AZ19" s="141">
        <f t="shared" ca="1" si="22"/>
        <v>0</v>
      </c>
      <c r="BA19" s="116">
        <f t="shared" ca="1" si="23"/>
        <v>182348679.86831129</v>
      </c>
      <c r="BB19" s="112">
        <f t="shared" ca="1" si="24"/>
        <v>2.4498229682661035</v>
      </c>
      <c r="BC19" s="102" cm="1">
        <f t="array" aca="1" ref="BC19" ca="1">INDIRECT("'Emissions by State'!H"&amp;MATCH($B$1,'Demand by State by ST'!$E:$E,0)+($B19-2022))</f>
        <v>2920515</v>
      </c>
      <c r="BD19" s="82">
        <f t="shared" ca="1" si="25"/>
        <v>2649447.4002749999</v>
      </c>
      <c r="BE19" s="82"/>
      <c r="BF19" s="90">
        <v>2649473.46</v>
      </c>
      <c r="BG19" s="4">
        <f t="shared" ca="1" si="26"/>
        <v>491.04094811646559</v>
      </c>
      <c r="BH19">
        <v>2037</v>
      </c>
      <c r="BI19" s="92" cm="1">
        <f t="array" aca="1" ref="BI19" ca="1">INDIRECT("'Demand by State by ST'!I"&amp;MATCH($B$1,'Demand by State by ST'!$E:$E,0)+($B19-2022))</f>
        <v>6431.7820017599997</v>
      </c>
      <c r="BJ19" s="93" cm="1">
        <f t="array" aca="1" ref="BJ19" ca="1">INDIRECT("'Demand by State by ST'!K"&amp;MATCH($B$1,'Demand by State by ST'!$E:$E,0)+($B19-2022))</f>
        <v>1002.36298776</v>
      </c>
      <c r="BK19" s="96" cm="1">
        <f t="array" aca="1" ref="BK19" ca="1">INDIRECT("'Gas Flow by State'!I"&amp;MATCH($B$1,'Demand by State by ST'!$E:$E,0)+($B19-2022))</f>
        <v>7434.1450003199998</v>
      </c>
      <c r="BL19" s="118">
        <f t="shared" ca="1" si="27"/>
        <v>3.5568881684963229</v>
      </c>
      <c r="BM19" s="93">
        <f t="shared" ca="1" si="28"/>
        <v>26442422.394524299</v>
      </c>
      <c r="BN19" s="81" cm="1">
        <f t="array" aca="1" ref="BN19" ca="1">INDIRECT("'Compliance Resources by State'!M"&amp;MATCH($B$1,'Demand by State by ST'!$E:$E,0)+($B19-2022))</f>
        <v>1420.96332192</v>
      </c>
      <c r="BO19" s="83">
        <f>VLOOKUP(DATE($BH19,1,1),'MC_Allowance Price'!$A:$K,VALUE(RIGHT($B$1,LEN($B$1)-7))+1,FALSE)</f>
        <v>5.2963381923007766</v>
      </c>
      <c r="BP19">
        <v>6.4</v>
      </c>
      <c r="BQ19" s="90">
        <f t="shared" ca="1" si="29"/>
        <v>7525902.3117434792</v>
      </c>
      <c r="BR19" s="81" cm="1">
        <f t="array" aca="1" ref="BR19" ca="1">INDIRECT("'Compliance Resources by State'!O"&amp;MATCH($B$1,'Demand by State by ST'!$E:$E,0)+($B19-2022))</f>
        <v>0</v>
      </c>
      <c r="BS19" s="83">
        <f>VLOOKUP(DATE($BH19,1,1),'MC_Supply Price Offsets'!$A:$K,VALUE(RIGHT($B$1,LEN($B$1)-7))+1,FALSE)</f>
        <v>1.8140000000000001</v>
      </c>
      <c r="BT19" s="90">
        <f t="shared" ca="1" si="30"/>
        <v>0</v>
      </c>
      <c r="BU19" s="81" cm="1">
        <f t="array" aca="1" ref="BU19" ca="1">INDIRECT("'Compliance Resources by State'!P"&amp;MATCH($B$1,'Demand by State by ST'!$E:$E,0)+($B19-2022))</f>
        <v>1063.3282200000001</v>
      </c>
      <c r="BV19" s="82">
        <f t="shared" ca="1" si="31"/>
        <v>4.5474735088646412E-13</v>
      </c>
      <c r="BW19" s="83">
        <f t="shared" ca="1" si="32"/>
        <v>11.252000000000001</v>
      </c>
      <c r="BX19" s="82">
        <f t="shared" ca="1" si="33"/>
        <v>1.8676382751436906E-9</v>
      </c>
      <c r="BY19" s="84">
        <f ca="1">SUM(BX$4:BX19)</f>
        <v>10746592.872863041</v>
      </c>
      <c r="BZ19" s="81" cm="1">
        <f t="array" aca="1" ref="BZ19" ca="1">INDIRECT("'Compliance Resources by State'!Q"&amp;MATCH($B$1,'Demand by State by ST'!$E:$E,0)+($B19-2022))</f>
        <v>0</v>
      </c>
      <c r="CA19" s="82">
        <f t="shared" ca="1" si="34"/>
        <v>0</v>
      </c>
      <c r="CB19" s="83">
        <f t="shared" ca="1" si="35"/>
        <v>16.251999999999999</v>
      </c>
      <c r="CC19" s="82">
        <f t="shared" ca="1" si="36"/>
        <v>0</v>
      </c>
      <c r="CD19" s="84">
        <f ca="1">SUM(CC$4:CC19)</f>
        <v>0</v>
      </c>
      <c r="CE19" s="81" cm="1">
        <f t="array" aca="1" ref="CE19" ca="1">INDIRECT("'Compliance Resources by State'!N"&amp;MATCH($B$1,'Demand by State by ST'!$E:$E,0)+($B19-2022))</f>
        <v>351.66389279999999</v>
      </c>
      <c r="CF19" s="82">
        <f t="shared" ca="1" si="37"/>
        <v>56.187599999999861</v>
      </c>
      <c r="CG19" s="83">
        <f t="shared" ca="1" si="38"/>
        <v>6.6319999999999997</v>
      </c>
      <c r="CH19" s="82">
        <f t="shared" ca="1" si="39"/>
        <v>136012.19956799966</v>
      </c>
      <c r="CI19" s="84">
        <f ca="1">SUM(CH$4:CH19)</f>
        <v>2927529.6574663194</v>
      </c>
      <c r="CJ19" s="81" cm="1">
        <f t="array" aca="1" ref="CJ19" ca="1">INDIRECT("'Compliance Resources by State'!R"&amp;MATCH($B$1,'Demand by State by ST'!$E:$E,0)+($B19-2022))</f>
        <v>0</v>
      </c>
      <c r="CK19" s="82">
        <f t="shared" ca="1" si="40"/>
        <v>0</v>
      </c>
      <c r="CL19" s="83">
        <f t="shared" ca="1" si="41"/>
        <v>12.308</v>
      </c>
      <c r="CM19" s="82">
        <f t="shared" ca="1" si="42"/>
        <v>0</v>
      </c>
      <c r="CN19" s="84">
        <f ca="1">SUM(CM$4:CM19)</f>
        <v>0</v>
      </c>
      <c r="CO19" s="127">
        <f t="shared" ca="1" si="43"/>
        <v>0.14303302148384062</v>
      </c>
      <c r="CP19" s="128">
        <f t="shared" ca="1" si="44"/>
        <v>4.7303878696977886E-2</v>
      </c>
      <c r="CQ19" s="128">
        <f t="shared" ca="1" si="45"/>
        <v>0</v>
      </c>
      <c r="CR19" s="128">
        <f t="shared" ca="1" si="46"/>
        <v>0.19033689044024979</v>
      </c>
      <c r="CS19" s="159">
        <f ca="1">VLOOKUP('Compliance Data'!$B19,'Notes and Scenario Inputs'!$B$57:$C$86,2,FALSE)*BI19</f>
        <v>1414.9920403871999</v>
      </c>
      <c r="CT19" s="120">
        <f t="shared" ca="1" si="47"/>
        <v>1414.9921128000001</v>
      </c>
      <c r="CU19" s="83">
        <f ca="1">'Notes and Scenario Inputs'!C73*'Compliance Data'!BI19-'Compliance Data'!CV19</f>
        <v>1386.8909723268143</v>
      </c>
      <c r="CV19" s="90">
        <f t="shared" ca="1" si="48"/>
        <v>28.101068060385597</v>
      </c>
      <c r="CW19" s="104">
        <f>IF(VALUE(RIGHT($B$1,LEN($B$1)-7))=1,0,VLOOKUP($B19,'Load Reductions'!$1:$30,VALUE(RIGHT($B$1,LEN($B$1)-7)+39),FALSE))</f>
        <v>2237.4695095703128</v>
      </c>
      <c r="CX19" s="105">
        <f>IF(VALUE(RIGHT($B$1,LEN($B$1)-7))=1,0,VLOOKUP($B19,'Load Reductions'!$1:$30,VALUE(RIGHT($B$1,LEN($B$1)-7)+48),FALSE))</f>
        <v>849.17327177734376</v>
      </c>
      <c r="CY19" s="105">
        <f>IF(VALUE(RIGHT($B$1,LEN($B$1)-7))=1,0,VLOOKUP($B19,'Load Reductions'!$1:$30,VALUE(RIGHT($B$1,LEN($B$1)-7)+57),FALSE))</f>
        <v>275.79302275390626</v>
      </c>
      <c r="CZ19" s="105">
        <f>IF(VALUE(RIGHT($B$1,LEN($B$1)-7))=1,0,VLOOKUP($B19,'Load Reductions'!$1:$30,VALUE(RIGHT($B$1,LEN($B$1)-7)+66),FALSE))</f>
        <v>575.28667363281249</v>
      </c>
      <c r="DA19" s="136">
        <f>IF(AND($B19 = 2022, $B$1&lt;&gt;"Sample 3"), 0, VLOOKUP($B19,'Washington DSM Scenario Costs'!$A$1:$BN$30,RIGHT($B$1,LEN($B$1)-7)+56,FALSE))</f>
        <v>0</v>
      </c>
      <c r="DB19" s="96">
        <f t="shared" ca="1" si="49"/>
        <v>7434.1449895199994</v>
      </c>
      <c r="DC19" s="82">
        <f t="shared" ca="1" si="50"/>
        <v>4598.1895655999997</v>
      </c>
      <c r="DD19" s="82">
        <f t="shared" ca="1" si="51"/>
        <v>4598.1895547999993</v>
      </c>
      <c r="DE19" s="81">
        <f t="shared" ca="1" si="52"/>
        <v>13674122.530329362</v>
      </c>
      <c r="DF19" s="143">
        <f t="shared" ca="1" si="53"/>
        <v>1.8393672102986869</v>
      </c>
      <c r="DG19" s="82">
        <f t="shared" ca="1" si="54"/>
        <v>7525902.3117434792</v>
      </c>
      <c r="DH19" s="145">
        <f t="shared" ca="1" si="55"/>
        <v>1.0123426866644154</v>
      </c>
      <c r="DI19" s="82">
        <f t="shared" si="62"/>
        <v>0</v>
      </c>
      <c r="DJ19" s="143">
        <f t="shared" ca="1" si="56"/>
        <v>0</v>
      </c>
      <c r="DK19" s="116">
        <f t="shared" ca="1" si="57"/>
        <v>21200024.842072841</v>
      </c>
      <c r="DL19" s="112">
        <f t="shared" ca="1" si="58"/>
        <v>2.8517098969631025</v>
      </c>
      <c r="DM19" s="102" cm="1">
        <f t="array" aca="1" ref="DM19" ca="1">INDIRECT("'Emissions by State'!I"&amp;MATCH($B$1,'Demand by State by ST'!$E:$E,0)+($B19-2022))</f>
        <v>269935.99999998999</v>
      </c>
      <c r="DN19" s="82">
        <f t="shared" ca="1" si="59"/>
        <v>244881.89015999093</v>
      </c>
      <c r="DO19" s="124"/>
      <c r="DP19" s="58">
        <v>244884.4</v>
      </c>
      <c r="DQ19" s="4">
        <f t="shared" ca="1" si="60"/>
        <v>47.292679322941026</v>
      </c>
    </row>
    <row r="20" spans="1:121" x14ac:dyDescent="0.25">
      <c r="A20">
        <v>365</v>
      </c>
      <c r="B20">
        <v>2038</v>
      </c>
      <c r="C20" s="92" cm="1">
        <f t="array" aca="1" ref="C20" ca="1">INDIRECT("'Demand by State by ST'!H"&amp;MATCH($B$1,'Demand by State by ST'!$E:$E,0)+($B20-2022))</f>
        <v>51534.608000879998</v>
      </c>
      <c r="D20" s="100" cm="1">
        <f t="array" aca="1" ref="D20" ca="1">INDIRECT("'Demand by State by ST'!J"&amp;MATCH($B$1,'Demand by State by ST'!$E:$E,0)+($B20-2022))</f>
        <v>20577.956988000002</v>
      </c>
      <c r="E20" s="96" cm="1">
        <f t="array" aca="1" ref="E20" ca="1">INDIRECT("'Gas Flow by State'!H"&amp;MATCH($B$1,'Demand by State by ST'!$E:$E,0)+($B20-2022))</f>
        <v>71407.415837520006</v>
      </c>
      <c r="F20" s="98">
        <f ca="1">VLOOKUP($B20,'WACOG Calc'!$B$49:$L$78,VALUE(RIGHT($B$1,LEN($B$1)-7))+1,FALSE)</f>
        <v>3.5992180775086782</v>
      </c>
      <c r="G20" s="90">
        <f t="shared" ca="1" si="0"/>
        <v>257010861.95058149</v>
      </c>
      <c r="H20" s="82" cm="1">
        <f t="array" aca="1" ref="H20" ca="1">INDIRECT("'Compliance Resources by State'!H"&amp;MATCH($B$1,'Demand by State by ST'!$E:$E,0)+($B20-2022))</f>
        <v>8198.6022525600001</v>
      </c>
      <c r="I20" s="83" cm="1">
        <f t="array" aca="1" ref="I20" ca="1">INDIRECT("'OR CCI Price'!C"&amp;MATCH($B20,'OR CCI Price'!$A:$A,0))</f>
        <v>6.5825399999999998</v>
      </c>
      <c r="J20" s="90">
        <f t="shared" ca="1" si="1"/>
        <v>53967627.271566302</v>
      </c>
      <c r="K20" s="81" cm="1">
        <f t="array" aca="1" ref="K20" ca="1">INDIRECT("'Compliance Resources by State'!J"&amp;MATCH($B$1,'Demand by State by ST'!$E:$E,0)+($B20-2022))</f>
        <v>7711.4432423999997</v>
      </c>
      <c r="L20" s="82">
        <f t="shared" ca="1" si="2"/>
        <v>0</v>
      </c>
      <c r="M20" s="83" cm="1">
        <f t="array" aca="1" ref="M20" ca="1">INDIRECT("'MC_Supply Price "&amp;K$2&amp;"'!D"&amp;MATCH($B20,'MC_Supply Price RNG Tranche 1'!$A:$A,0)+VALUE(RIGHT($B$1,LEN($B$1)-7))-1)</f>
        <v>11.255000000000001</v>
      </c>
      <c r="N20" s="82">
        <f t="shared" ca="1" si="3"/>
        <v>0</v>
      </c>
      <c r="O20" s="90">
        <f ca="1">SUM(N$4:N20)</f>
        <v>80125296.282689035</v>
      </c>
      <c r="P20" s="81" cm="1">
        <f t="array" aca="1" ref="P20" ca="1">INDIRECT("'Compliance Resources by State'!K"&amp;MATCH($B$1,'Demand by State by ST'!$E:$E,0)+($B20-2022))</f>
        <v>0</v>
      </c>
      <c r="Q20" s="82">
        <f t="shared" ca="1" si="4"/>
        <v>0</v>
      </c>
      <c r="R20" s="83" cm="1">
        <f t="array" aca="1" ref="R20" ca="1">INDIRECT("'MC_Supply Price "&amp;P$2&amp;"'!D"&amp;MATCH($B20,'MC_Supply Price RNG Tranche 2'!$A:$A,0)+VALUE(RIGHT($B$1,LEN($B$1)-7))-1)</f>
        <v>16.254999999999999</v>
      </c>
      <c r="S20" s="82">
        <f t="shared" ca="1" si="5"/>
        <v>0</v>
      </c>
      <c r="T20" s="84">
        <f ca="1">SUM(S$4:S20)</f>
        <v>0</v>
      </c>
      <c r="U20" s="81" cm="1">
        <f t="array" aca="1" ref="U20" ca="1">INDIRECT("'Compliance Resources by State'!I"&amp;MATCH($B$1,'Demand by State by ST'!$E:$E,0)+($B20-2022))</f>
        <v>7573.3442076000001</v>
      </c>
      <c r="V20" s="82">
        <f t="shared" ca="1" si="6"/>
        <v>9743.9174399999993</v>
      </c>
      <c r="W20" s="83" cm="1">
        <f t="array" aca="1" ref="W20" ca="1">INDIRECT("'MC_Supply Price "&amp;U$2&amp;"'!D"&amp;MATCH($B20,'MC_Supply Price Hydrogen'!$A:$A,0)+VALUE(RIGHT($B$1,LEN($B$1)-7))-1)</f>
        <v>6.3150000000000004</v>
      </c>
      <c r="X20" s="82">
        <f t="shared" ca="1" si="7"/>
        <v>22459486.101264</v>
      </c>
      <c r="Y20" s="90">
        <f ca="1">SUM(X$4:X20)</f>
        <v>52202596.326342478</v>
      </c>
      <c r="Z20" s="81" cm="1">
        <f t="array" aca="1" ref="Z20" ca="1">INDIRECT("'Compliance Resources by State'!L"&amp;MATCH($B$1,'Demand by State by ST'!$E:$E,0)+($B20-2022))</f>
        <v>0</v>
      </c>
      <c r="AA20" s="82">
        <f t="shared" ca="1" si="8"/>
        <v>0</v>
      </c>
      <c r="AB20" s="83" cm="1">
        <f t="array" aca="1" ref="AB20" ca="1">INDIRECT("'MC_Supply Price Synthetic Metha'!D"&amp;MATCH($B20,'MC_Supply Price Synthetic Metha'!$A:$A,0)+VALUE(RIGHT($B$1,LEN($B$1)-7))-1)</f>
        <v>11.874000000000001</v>
      </c>
      <c r="AC20" s="82">
        <f t="shared" ca="1" si="9"/>
        <v>0</v>
      </c>
      <c r="AD20" s="82">
        <f ca="1">SUM(AC$4:AC20)</f>
        <v>0</v>
      </c>
      <c r="AE20" s="127">
        <f t="shared" ca="1" si="10"/>
        <v>0.13248680573036409</v>
      </c>
      <c r="AF20" s="128">
        <f t="shared" ca="1" si="11"/>
        <v>0.10502114588168977</v>
      </c>
      <c r="AG20" s="128">
        <f t="shared" ca="1" si="12"/>
        <v>0</v>
      </c>
      <c r="AH20" s="82">
        <f t="shared" ca="1" si="13"/>
        <v>15284.78745</v>
      </c>
      <c r="AI20" s="156">
        <f t="shared" ca="1" si="14"/>
        <v>0.16436746969172664</v>
      </c>
      <c r="AJ20" s="90">
        <f ca="1">VLOOKUP('Compliance Data'!$B20,'Notes and Scenario Inputs'!$B$57:$C$86,2,FALSE)*'Compliance Data'!C20</f>
        <v>11852.9598402024</v>
      </c>
      <c r="AK20" s="105">
        <f>IF(VALUE(RIGHT($B$1,LEN($B$1)-7))=1,0,VLOOKUP($B20,'Load Reductions'!$1:$30,VALUE(RIGHT($B$1,LEN($B$1)-7)),FALSE))</f>
        <v>11480.214889062501</v>
      </c>
      <c r="AL20" s="105">
        <f>IF(VALUE(RIGHT($B$1,LEN($B$1)-7))=1,0,VLOOKUP($B20,'Load Reductions'!$1:$30,VALUE(RIGHT($B$1,LEN($B$1)-7)+9),FALSE))</f>
        <v>8280.8878695312505</v>
      </c>
      <c r="AM20" s="155">
        <f>IF(VALUE(RIGHT($B$1,LEN($B$1)-7))=1,0,VLOOKUP($B20,'Load Reductions'!$1:$30,VALUE(RIGHT($B$1,LEN($B$1)-7)+18),FALSE))</f>
        <v>5384.0905578125003</v>
      </c>
      <c r="AN20" s="105">
        <f>IF(VALUE(RIGHT($B$1,LEN($B$1)-7))=1,0,VLOOKUP($B20,'Load Reductions'!$1:$30,VALUE(RIGHT($B$1,LEN($B$1)-7)+27),FALSE))</f>
        <v>12387.421478124999</v>
      </c>
      <c r="AO20" s="135">
        <f>VLOOKUP($B20,'Oregon DSM Scenario Costs'!$A$1:$BN$30,RIGHT($B$1,LEN($B$1)-7)+56,FALSE)</f>
        <v>0</v>
      </c>
      <c r="AP20" s="96">
        <f t="shared" ca="1" si="15"/>
        <v>72112.564988879996</v>
      </c>
      <c r="AQ20" s="105">
        <f>'Fixed Contracts'!C20</f>
        <v>768.99997000000008</v>
      </c>
      <c r="AR20" s="82">
        <f>'Fixed Contracts'!B20</f>
        <v>1842.5201459999998</v>
      </c>
      <c r="AS20" s="82">
        <f t="shared" ca="1" si="61"/>
        <v>64115.912589760002</v>
      </c>
      <c r="AT20" s="82">
        <f t="shared" ca="1" si="16"/>
        <v>46786.655140319999</v>
      </c>
      <c r="AU20" s="113">
        <f t="shared" ca="1" si="17"/>
        <v>132327892.60903151</v>
      </c>
      <c r="AV20" s="139">
        <f t="shared" ca="1" si="18"/>
        <v>1.8350185245724782</v>
      </c>
      <c r="AW20" s="116">
        <f t="shared" ca="1" si="19"/>
        <v>53967627.271566302</v>
      </c>
      <c r="AX20" s="139">
        <f t="shared" ca="1" si="20"/>
        <v>0.74838035895531241</v>
      </c>
      <c r="AY20" s="116">
        <f t="shared" si="21"/>
        <v>0</v>
      </c>
      <c r="AZ20" s="141">
        <f t="shared" ca="1" si="22"/>
        <v>0</v>
      </c>
      <c r="BA20" s="116">
        <f t="shared" ca="1" si="23"/>
        <v>186295519.88059783</v>
      </c>
      <c r="BB20" s="112">
        <f t="shared" ca="1" si="24"/>
        <v>2.5833988835277908</v>
      </c>
      <c r="BC20" s="102" cm="1">
        <f t="array" aca="1" ref="BC20" ca="1">INDIRECT("'Emissions by State'!H"&amp;MATCH($B$1,'Demand by State by ST'!$E:$E,0)+($B20-2022))</f>
        <v>2746156</v>
      </c>
      <c r="BD20" s="82">
        <f t="shared" ca="1" si="25"/>
        <v>2491271.5308599998</v>
      </c>
      <c r="BE20" s="82"/>
      <c r="BF20" s="90">
        <v>2491295.94</v>
      </c>
      <c r="BG20" s="4">
        <f t="shared" ca="1" si="26"/>
        <v>459.93913014584717</v>
      </c>
      <c r="BH20">
        <v>2038</v>
      </c>
      <c r="BI20" s="92" cm="1">
        <f t="array" aca="1" ref="BI20" ca="1">INDIRECT("'Demand by State by ST'!I"&amp;MATCH($B$1,'Demand by State by ST'!$E:$E,0)+($B20-2022))</f>
        <v>6247.1899987200004</v>
      </c>
      <c r="BJ20" s="93" cm="1">
        <f t="array" aca="1" ref="BJ20" ca="1">INDIRECT("'Demand by State by ST'!K"&amp;MATCH($B$1,'Demand by State by ST'!$E:$E,0)+($B20-2022))</f>
        <v>959.84100720000004</v>
      </c>
      <c r="BK20" s="96" cm="1">
        <f t="array" aca="1" ref="BK20" ca="1">INDIRECT("'Gas Flow by State'!I"&amp;MATCH($B$1,'Demand by State by ST'!$E:$E,0)+($B20-2022))</f>
        <v>7207.0310008799997</v>
      </c>
      <c r="BL20" s="118">
        <f t="shared" ca="1" si="27"/>
        <v>3.5992180775086782</v>
      </c>
      <c r="BM20" s="93">
        <f t="shared" ca="1" si="28"/>
        <v>25939676.263532758</v>
      </c>
      <c r="BN20" s="81" cm="1">
        <f t="array" aca="1" ref="BN20" ca="1">INDIRECT("'Compliance Resources by State'!M"&amp;MATCH($B$1,'Demand by State by ST'!$E:$E,0)+($B20-2022))</f>
        <v>1254.5556048000001</v>
      </c>
      <c r="BO20" s="83">
        <f>VLOOKUP(DATE($BH20,1,1),'MC_Allowance Price'!$A:$K,VALUE(RIGHT($B$1,LEN($B$1)-7))+1,FALSE)</f>
        <v>5.4493081891352544</v>
      </c>
      <c r="BP20">
        <v>6.49</v>
      </c>
      <c r="BQ20" s="90">
        <f t="shared" ca="1" si="29"/>
        <v>6836460.1309621725</v>
      </c>
      <c r="BR20" s="81" cm="1">
        <f t="array" aca="1" ref="BR20" ca="1">INDIRECT("'Compliance Resources by State'!O"&amp;MATCH($B$1,'Demand by State by ST'!$E:$E,0)+($B20-2022))</f>
        <v>0</v>
      </c>
      <c r="BS20" s="83">
        <f>VLOOKUP(DATE($BH20,1,1),'MC_Supply Price Offsets'!$A:$K,VALUE(RIGHT($B$1,LEN($B$1)-7))+1,FALSE)</f>
        <v>1.964</v>
      </c>
      <c r="BT20" s="90">
        <f t="shared" ca="1" si="30"/>
        <v>0</v>
      </c>
      <c r="BU20" s="81" cm="1">
        <f t="array" aca="1" ref="BU20" ca="1">INDIRECT("'Compliance Resources by State'!P"&amp;MATCH($B$1,'Demand by State by ST'!$E:$E,0)+($B20-2022))</f>
        <v>1063.3282200000001</v>
      </c>
      <c r="BV20" s="82">
        <f t="shared" ca="1" si="31"/>
        <v>0</v>
      </c>
      <c r="BW20" s="83">
        <f t="shared" ca="1" si="32"/>
        <v>11.255000000000001</v>
      </c>
      <c r="BX20" s="82">
        <f t="shared" ca="1" si="33"/>
        <v>0</v>
      </c>
      <c r="BY20" s="84">
        <f ca="1">SUM(BX$4:BX20)</f>
        <v>10746592.872863041</v>
      </c>
      <c r="BZ20" s="81" cm="1">
        <f t="array" aca="1" ref="BZ20" ca="1">INDIRECT("'Compliance Resources by State'!Q"&amp;MATCH($B$1,'Demand by State by ST'!$E:$E,0)+($B20-2022))</f>
        <v>0</v>
      </c>
      <c r="CA20" s="82">
        <f t="shared" ca="1" si="34"/>
        <v>0</v>
      </c>
      <c r="CB20" s="83">
        <f t="shared" ca="1" si="35"/>
        <v>16.254999999999999</v>
      </c>
      <c r="CC20" s="82">
        <f t="shared" ca="1" si="36"/>
        <v>0</v>
      </c>
      <c r="CD20" s="84">
        <f ca="1">SUM(CC$4:CC20)</f>
        <v>0</v>
      </c>
      <c r="CE20" s="81" cm="1">
        <f t="array" aca="1" ref="CE20" ca="1">INDIRECT("'Compliance Resources by State'!N"&amp;MATCH($B$1,'Demand by State by ST'!$E:$E,0)+($B20-2022))</f>
        <v>373.52552400000002</v>
      </c>
      <c r="CF20" s="82">
        <f t="shared" ca="1" si="37"/>
        <v>59.894880000000171</v>
      </c>
      <c r="CG20" s="83">
        <f t="shared" ca="1" si="38"/>
        <v>6.3150000000000004</v>
      </c>
      <c r="CH20" s="82">
        <f t="shared" ca="1" si="39"/>
        <v>138056.20102800039</v>
      </c>
      <c r="CI20" s="84">
        <f ca="1">SUM(CH$4:CH20)</f>
        <v>3065585.85849432</v>
      </c>
      <c r="CJ20" s="81" cm="1">
        <f t="array" aca="1" ref="CJ20" ca="1">INDIRECT("'Compliance Resources by State'!R"&amp;MATCH($B$1,'Demand by State by ST'!$E:$E,0)+($B20-2022))</f>
        <v>0</v>
      </c>
      <c r="CK20" s="82">
        <f t="shared" ca="1" si="40"/>
        <v>0</v>
      </c>
      <c r="CL20" s="83">
        <f t="shared" ca="1" si="41"/>
        <v>11.874000000000001</v>
      </c>
      <c r="CM20" s="82">
        <f t="shared" ca="1" si="42"/>
        <v>0</v>
      </c>
      <c r="CN20" s="84">
        <f ca="1">SUM(CM$4:CM20)</f>
        <v>0</v>
      </c>
      <c r="CO20" s="127">
        <f t="shared" ca="1" si="43"/>
        <v>0.14754039758210571</v>
      </c>
      <c r="CP20" s="128">
        <f t="shared" ca="1" si="44"/>
        <v>5.1827933540618688E-2</v>
      </c>
      <c r="CQ20" s="128">
        <f t="shared" ca="1" si="45"/>
        <v>0</v>
      </c>
      <c r="CR20" s="128">
        <f t="shared" ca="1" si="46"/>
        <v>0.19936832497672613</v>
      </c>
      <c r="CS20" s="159">
        <f ca="1">VLOOKUP('Compliance Data'!$B20,'Notes and Scenario Inputs'!$B$57:$C$86,2,FALSE)*BI20</f>
        <v>1436.8536997056001</v>
      </c>
      <c r="CT20" s="120">
        <f t="shared" ca="1" si="47"/>
        <v>1436.853744</v>
      </c>
      <c r="CU20" s="83">
        <f ca="1">'Notes and Scenario Inputs'!C74*'Compliance Data'!BI20-'Compliance Data'!CV20</f>
        <v>1409.6111225032225</v>
      </c>
      <c r="CV20" s="90">
        <f t="shared" ca="1" si="48"/>
        <v>27.2425772023776</v>
      </c>
      <c r="CW20" s="104">
        <f>IF(VALUE(RIGHT($B$1,LEN($B$1)-7))=1,0,VLOOKUP($B20,'Load Reductions'!$1:$30,VALUE(RIGHT($B$1,LEN($B$1)-7)+39),FALSE))</f>
        <v>2407.9677246093752</v>
      </c>
      <c r="CX20" s="105">
        <f>IF(VALUE(RIGHT($B$1,LEN($B$1)-7))=1,0,VLOOKUP($B20,'Load Reductions'!$1:$30,VALUE(RIGHT($B$1,LEN($B$1)-7)+48),FALSE))</f>
        <v>913.15590625000004</v>
      </c>
      <c r="CY20" s="105">
        <f>IF(VALUE(RIGHT($B$1,LEN($B$1)-7))=1,0,VLOOKUP($B20,'Load Reductions'!$1:$30,VALUE(RIGHT($B$1,LEN($B$1)-7)+57),FALSE))</f>
        <v>292.18573359375</v>
      </c>
      <c r="CZ20" s="105">
        <f>IF(VALUE(RIGHT($B$1,LEN($B$1)-7))=1,0,VLOOKUP($B20,'Load Reductions'!$1:$30,VALUE(RIGHT($B$1,LEN($B$1)-7)+66),FALSE))</f>
        <v>607.43499921875002</v>
      </c>
      <c r="DA20" s="136">
        <f>IF(AND($B20 = 2022, $B$1&lt;&gt;"Sample 3"), 0, VLOOKUP($B20,'Washington DSM Scenario Costs'!$A$1:$BN$30,RIGHT($B$1,LEN($B$1)-7)+56,FALSE))</f>
        <v>0</v>
      </c>
      <c r="DB20" s="96">
        <f t="shared" ca="1" si="49"/>
        <v>7207.0310059200001</v>
      </c>
      <c r="DC20" s="82">
        <f t="shared" ca="1" si="50"/>
        <v>4515.6216520799999</v>
      </c>
      <c r="DD20" s="82">
        <f t="shared" ca="1" si="51"/>
        <v>4515.6216571200002</v>
      </c>
      <c r="DE20" s="81">
        <f t="shared" ca="1" si="52"/>
        <v>13812178.731357362</v>
      </c>
      <c r="DF20" s="143">
        <f t="shared" ca="1" si="53"/>
        <v>1.9164866531046918</v>
      </c>
      <c r="DG20" s="82">
        <f t="shared" ca="1" si="54"/>
        <v>6836460.1309621725</v>
      </c>
      <c r="DH20" s="145">
        <f t="shared" ca="1" si="55"/>
        <v>0.94858203403684072</v>
      </c>
      <c r="DI20" s="82">
        <f t="shared" si="62"/>
        <v>0</v>
      </c>
      <c r="DJ20" s="143">
        <f t="shared" ca="1" si="56"/>
        <v>0</v>
      </c>
      <c r="DK20" s="116">
        <f t="shared" ca="1" si="57"/>
        <v>20648638.862319537</v>
      </c>
      <c r="DL20" s="112">
        <f t="shared" ca="1" si="58"/>
        <v>2.865068687141533</v>
      </c>
      <c r="DM20" s="102" cm="1">
        <f t="array" aca="1" ref="DM20" ca="1">INDIRECT("'Emissions by State'!I"&amp;MATCH($B$1,'Demand by State by ST'!$E:$E,0)+($B20-2022))</f>
        <v>265077.00000001001</v>
      </c>
      <c r="DN20" s="82">
        <f t="shared" ca="1" si="59"/>
        <v>240473.87824500908</v>
      </c>
      <c r="DO20" s="124"/>
      <c r="DP20" s="58">
        <v>240476.5</v>
      </c>
      <c r="DQ20" s="4">
        <f t="shared" ca="1" si="60"/>
        <v>49.40148280411492</v>
      </c>
    </row>
    <row r="21" spans="1:121" x14ac:dyDescent="0.25">
      <c r="A21">
        <v>365</v>
      </c>
      <c r="B21">
        <v>2039</v>
      </c>
      <c r="C21" s="92" cm="1">
        <f t="array" aca="1" ref="C21" ca="1">INDIRECT("'Demand by State by ST'!H"&amp;MATCH($B$1,'Demand by State by ST'!$E:$E,0)+($B21-2022))</f>
        <v>50053.207998960002</v>
      </c>
      <c r="D21" s="100" cm="1">
        <f t="array" aca="1" ref="D21" ca="1">INDIRECT("'Demand by State by ST'!J"&amp;MATCH($B$1,'Demand by State by ST'!$E:$E,0)+($B21-2022))</f>
        <v>19757.57400936</v>
      </c>
      <c r="E21" s="96" cm="1">
        <f t="array" aca="1" ref="E21" ca="1">INDIRECT("'Gas Flow by State'!H"&amp;MATCH($B$1,'Demand by State by ST'!$E:$E,0)+($B21-2022))</f>
        <v>69110.565856800007</v>
      </c>
      <c r="F21" s="98">
        <f ca="1">VLOOKUP($B21,'WACOG Calc'!$B$49:$L$78,VALUE(RIGHT($B$1,LEN($B$1)-7))+1,FALSE)</f>
        <v>3.667307554817576</v>
      </c>
      <c r="G21" s="90">
        <f t="shared" ca="1" si="0"/>
        <v>253449700.28436029</v>
      </c>
      <c r="H21" s="82" cm="1">
        <f t="array" aca="1" ref="H21" ca="1">INDIRECT("'Compliance Resources by State'!H"&amp;MATCH($B$1,'Demand by State by ST'!$E:$E,0)+($B21-2022))</f>
        <v>8872.3468439999997</v>
      </c>
      <c r="I21" s="83" cm="1">
        <f t="array" aca="1" ref="I21" ca="1">INDIRECT("'OR CCI Price'!C"&amp;MATCH($B21,'OR CCI Price'!$A:$A,0))</f>
        <v>6.6356250000000001</v>
      </c>
      <c r="J21" s="90">
        <f t="shared" ca="1" si="1"/>
        <v>58873566.526717499</v>
      </c>
      <c r="K21" s="81" cm="1">
        <f t="array" aca="1" ref="K21" ca="1">INDIRECT("'Compliance Resources by State'!J"&amp;MATCH($B$1,'Demand by State by ST'!$E:$E,0)+($B21-2022))</f>
        <v>7711.4432423999997</v>
      </c>
      <c r="L21" s="82">
        <f t="shared" ca="1" si="2"/>
        <v>0</v>
      </c>
      <c r="M21" s="83" cm="1">
        <f t="array" aca="1" ref="M21" ca="1">INDIRECT("'MC_Supply Price "&amp;K$2&amp;"'!D"&amp;MATCH($B21,'MC_Supply Price RNG Tranche 1'!$A:$A,0)+VALUE(RIGHT($B$1,LEN($B$1)-7))-1)</f>
        <v>11.231</v>
      </c>
      <c r="N21" s="82">
        <f t="shared" ca="1" si="3"/>
        <v>0</v>
      </c>
      <c r="O21" s="90">
        <f ca="1">SUM(N$4:N21)</f>
        <v>80125296.282689035</v>
      </c>
      <c r="P21" s="81" cm="1">
        <f t="array" aca="1" ref="P21" ca="1">INDIRECT("'Compliance Resources by State'!K"&amp;MATCH($B$1,'Demand by State by ST'!$E:$E,0)+($B21-2022))</f>
        <v>0</v>
      </c>
      <c r="Q21" s="82">
        <f t="shared" ca="1" si="4"/>
        <v>0</v>
      </c>
      <c r="R21" s="83" cm="1">
        <f t="array" aca="1" ref="R21" ca="1">INDIRECT("'MC_Supply Price "&amp;P$2&amp;"'!D"&amp;MATCH($B21,'MC_Supply Price RNG Tranche 2'!$A:$A,0)+VALUE(RIGHT($B$1,LEN($B$1)-7))-1)</f>
        <v>16.231000000000002</v>
      </c>
      <c r="S21" s="82">
        <f t="shared" ca="1" si="5"/>
        <v>0</v>
      </c>
      <c r="T21" s="84">
        <f ca="1">SUM(S$4:S21)</f>
        <v>0</v>
      </c>
      <c r="U21" s="81" cm="1">
        <f t="array" aca="1" ref="U21" ca="1">INDIRECT("'Compliance Resources by State'!I"&amp;MATCH($B$1,'Demand by State by ST'!$E:$E,0)+($B21-2022))</f>
        <v>7573.3442076000001</v>
      </c>
      <c r="V21" s="82">
        <f t="shared" ca="1" si="6"/>
        <v>0</v>
      </c>
      <c r="W21" s="83" cm="1">
        <f t="array" aca="1" ref="W21" ca="1">INDIRECT("'MC_Supply Price "&amp;U$2&amp;"'!D"&amp;MATCH($B21,'MC_Supply Price Hydrogen'!$A:$A,0)+VALUE(RIGHT($B$1,LEN($B$1)-7))-1)</f>
        <v>5.9610000000000003</v>
      </c>
      <c r="X21" s="82">
        <f t="shared" ca="1" si="7"/>
        <v>0</v>
      </c>
      <c r="Y21" s="90">
        <f ca="1">SUM(X$4:X21)</f>
        <v>52202596.326342478</v>
      </c>
      <c r="Z21" s="81" cm="1">
        <f t="array" aca="1" ref="Z21" ca="1">INDIRECT("'Compliance Resources by State'!L"&amp;MATCH($B$1,'Demand by State by ST'!$E:$E,0)+($B21-2022))</f>
        <v>0</v>
      </c>
      <c r="AA21" s="82">
        <f t="shared" ca="1" si="8"/>
        <v>0</v>
      </c>
      <c r="AB21" s="83" cm="1">
        <f t="array" aca="1" ref="AB21" ca="1">INDIRECT("'MC_Supply Price Synthetic Metha'!D"&amp;MATCH($B21,'MC_Supply Price Synthetic Metha'!$A:$A,0)+VALUE(RIGHT($B$1,LEN($B$1)-7))-1)</f>
        <v>11.414</v>
      </c>
      <c r="AC21" s="82">
        <f t="shared" ca="1" si="9"/>
        <v>0</v>
      </c>
      <c r="AD21" s="82">
        <f ca="1">SUM(AC$4:AC21)</f>
        <v>0</v>
      </c>
      <c r="AE21" s="127">
        <f t="shared" ca="1" si="10"/>
        <v>0.13685512629354823</v>
      </c>
      <c r="AF21" s="128">
        <f t="shared" ca="1" si="11"/>
        <v>0.10848387583879827</v>
      </c>
      <c r="AG21" s="128">
        <f t="shared" ca="1" si="12"/>
        <v>0</v>
      </c>
      <c r="AH21" s="82">
        <f t="shared" ca="1" si="13"/>
        <v>15284.78745</v>
      </c>
      <c r="AI21" s="156">
        <f t="shared" ca="1" si="14"/>
        <v>0.17207614030621698</v>
      </c>
      <c r="AJ21" s="90">
        <f ca="1">VLOOKUP('Compliance Data'!$B21,'Notes and Scenario Inputs'!$B$57:$C$86,2,FALSE)*'Compliance Data'!C21</f>
        <v>12012.769919750401</v>
      </c>
      <c r="AK21" s="105">
        <f>IF(VALUE(RIGHT($B$1,LEN($B$1)-7))=1,0,VLOOKUP($B21,'Load Reductions'!$1:$30,VALUE(RIGHT($B$1,LEN($B$1)-7)),FALSE))</f>
        <v>12230.679894531251</v>
      </c>
      <c r="AL21" s="105">
        <f>IF(VALUE(RIGHT($B$1,LEN($B$1)-7))=1,0,VLOOKUP($B21,'Load Reductions'!$1:$30,VALUE(RIGHT($B$1,LEN($B$1)-7)+9),FALSE))</f>
        <v>8803.1896640625</v>
      </c>
      <c r="AM21" s="155">
        <f>IF(VALUE(RIGHT($B$1,LEN($B$1)-7))=1,0,VLOOKUP($B21,'Load Reductions'!$1:$30,VALUE(RIGHT($B$1,LEN($B$1)-7)+18),FALSE))</f>
        <v>5742.984565625</v>
      </c>
      <c r="AN21" s="105">
        <f>IF(VALUE(RIGHT($B$1,LEN($B$1)-7))=1,0,VLOOKUP($B21,'Load Reductions'!$1:$30,VALUE(RIGHT($B$1,LEN($B$1)-7)+27),FALSE))</f>
        <v>13019.573946875</v>
      </c>
      <c r="AO21" s="135">
        <f>VLOOKUP($B21,'Oregon DSM Scenario Costs'!$A$1:$BN$30,RIGHT($B$1,LEN($B$1)-7)+56,FALSE)</f>
        <v>0</v>
      </c>
      <c r="AP21" s="96">
        <f t="shared" ca="1" si="15"/>
        <v>69810.782008320006</v>
      </c>
      <c r="AQ21" s="105">
        <f>'Fixed Contracts'!C21</f>
        <v>768.99997000000008</v>
      </c>
      <c r="AR21" s="82">
        <f>'Fixed Contracts'!B21</f>
        <v>1842.5201459999998</v>
      </c>
      <c r="AS21" s="82">
        <f t="shared" ca="1" si="61"/>
        <v>61145.318017600002</v>
      </c>
      <c r="AT21" s="82">
        <f t="shared" ca="1" si="16"/>
        <v>43811.127568320007</v>
      </c>
      <c r="AU21" s="113">
        <f t="shared" ca="1" si="17"/>
        <v>132327892.60903151</v>
      </c>
      <c r="AV21" s="139">
        <f t="shared" ca="1" si="18"/>
        <v>1.8955222789691821</v>
      </c>
      <c r="AW21" s="116">
        <f t="shared" ca="1" si="19"/>
        <v>58873566.526717499</v>
      </c>
      <c r="AX21" s="139">
        <f t="shared" ca="1" si="20"/>
        <v>0.84333056919060134</v>
      </c>
      <c r="AY21" s="116">
        <f t="shared" si="21"/>
        <v>0</v>
      </c>
      <c r="AZ21" s="141">
        <f t="shared" ca="1" si="22"/>
        <v>0</v>
      </c>
      <c r="BA21" s="116">
        <f t="shared" ca="1" si="23"/>
        <v>191201459.13574901</v>
      </c>
      <c r="BB21" s="112">
        <f t="shared" ca="1" si="24"/>
        <v>2.7388528481597834</v>
      </c>
      <c r="BC21" s="102" cm="1">
        <f t="array" aca="1" ref="BC21" ca="1">INDIRECT("'Emissions by State'!H"&amp;MATCH($B$1,'Demand by State by ST'!$E:$E,0)+($B21-2022))</f>
        <v>2571796.0000000098</v>
      </c>
      <c r="BD21" s="82">
        <f t="shared" ca="1" si="25"/>
        <v>2333094.7542600087</v>
      </c>
      <c r="BE21" s="82"/>
      <c r="BF21" s="90">
        <v>2333118.42</v>
      </c>
      <c r="BG21" s="4">
        <f t="shared" ca="1" si="26"/>
        <v>445.93131367076717</v>
      </c>
      <c r="BH21">
        <v>2039</v>
      </c>
      <c r="BI21" s="92" cm="1">
        <f t="array" aca="1" ref="BI21" ca="1">INDIRECT("'Demand by State by ST'!I"&amp;MATCH($B$1,'Demand by State by ST'!$E:$E,0)+($B21-2022))</f>
        <v>6064.0449998399999</v>
      </c>
      <c r="BJ21" s="93" cm="1">
        <f t="array" aca="1" ref="BJ21" ca="1">INDIRECT("'Demand by State by ST'!K"&amp;MATCH($B$1,'Demand by State by ST'!$E:$E,0)+($B21-2022))</f>
        <v>918.34900728000002</v>
      </c>
      <c r="BK21" s="96" cm="1">
        <f t="array" aca="1" ref="BK21" ca="1">INDIRECT("'Gas Flow by State'!I"&amp;MATCH($B$1,'Demand by State by ST'!$E:$E,0)+($B21-2022))</f>
        <v>6982.3939982399997</v>
      </c>
      <c r="BL21" s="118">
        <f t="shared" ca="1" si="27"/>
        <v>3.667307554817576</v>
      </c>
      <c r="BM21" s="93">
        <f t="shared" ca="1" si="28"/>
        <v>25606586.260458451</v>
      </c>
      <c r="BN21" s="81" cm="1">
        <f t="array" aca="1" ref="BN21" ca="1">INDIRECT("'Compliance Resources by State'!M"&amp;MATCH($B$1,'Demand by State by ST'!$E:$E,0)+($B21-2022))</f>
        <v>0</v>
      </c>
      <c r="BO21" s="83">
        <f>VLOOKUP(DATE($BH21,1,1),'MC_Allowance Price'!$A:$K,VALUE(RIGHT($B$1,LEN($B$1)-7))+1,FALSE)</f>
        <v>5.606890825278958</v>
      </c>
      <c r="BP21">
        <v>6.58</v>
      </c>
      <c r="BQ21" s="90">
        <f t="shared" ca="1" si="29"/>
        <v>0</v>
      </c>
      <c r="BR21" s="81" cm="1">
        <f t="array" aca="1" ref="BR21" ca="1">INDIRECT("'Compliance Resources by State'!O"&amp;MATCH($B$1,'Demand by State by ST'!$E:$E,0)+($B21-2022))</f>
        <v>1092.4705387199999</v>
      </c>
      <c r="BS21" s="83">
        <f>VLOOKUP(DATE($BH21,1,1),'MC_Supply Price Offsets'!$A:$K,VALUE(RIGHT($B$1,LEN($B$1)-7))+1,FALSE)</f>
        <v>2.1389999999999998</v>
      </c>
      <c r="BT21" s="90">
        <f t="shared" ca="1" si="30"/>
        <v>2336794.4823220796</v>
      </c>
      <c r="BU21" s="81" cm="1">
        <f t="array" aca="1" ref="BU21" ca="1">INDIRECT("'Compliance Resources by State'!P"&amp;MATCH($B$1,'Demand by State by ST'!$E:$E,0)+($B21-2022))</f>
        <v>1063.3282200000001</v>
      </c>
      <c r="BV21" s="82">
        <f t="shared" ca="1" si="31"/>
        <v>0</v>
      </c>
      <c r="BW21" s="83">
        <f t="shared" ca="1" si="32"/>
        <v>11.231</v>
      </c>
      <c r="BX21" s="82">
        <f t="shared" ca="1" si="33"/>
        <v>0</v>
      </c>
      <c r="BY21" s="84">
        <f ca="1">SUM(BX$4:BX21)</f>
        <v>10746592.872863041</v>
      </c>
      <c r="BZ21" s="81" cm="1">
        <f t="array" aca="1" ref="BZ21" ca="1">INDIRECT("'Compliance Resources by State'!Q"&amp;MATCH($B$1,'Demand by State by ST'!$E:$E,0)+($B21-2022))</f>
        <v>0</v>
      </c>
      <c r="CA21" s="82">
        <f t="shared" ca="1" si="34"/>
        <v>0</v>
      </c>
      <c r="CB21" s="83">
        <f t="shared" ca="1" si="35"/>
        <v>16.231000000000002</v>
      </c>
      <c r="CC21" s="82">
        <f t="shared" ca="1" si="36"/>
        <v>0</v>
      </c>
      <c r="CD21" s="84">
        <f ca="1">SUM(CC$4:CC21)</f>
        <v>0</v>
      </c>
      <c r="CE21" s="81" cm="1">
        <f t="array" aca="1" ref="CE21" ca="1">INDIRECT("'Compliance Resources by State'!N"&amp;MATCH($B$1,'Demand by State by ST'!$E:$E,0)+($B21-2022))</f>
        <v>392.04258720000001</v>
      </c>
      <c r="CF21" s="82">
        <f t="shared" ca="1" si="37"/>
        <v>50.731679999999869</v>
      </c>
      <c r="CG21" s="83">
        <f t="shared" ca="1" si="38"/>
        <v>5.9610000000000003</v>
      </c>
      <c r="CH21" s="82">
        <f t="shared" ca="1" si="39"/>
        <v>110380.21373519972</v>
      </c>
      <c r="CI21" s="84">
        <f ca="1">SUM(CH$4:CH21)</f>
        <v>3175966.0722295195</v>
      </c>
      <c r="CJ21" s="81" cm="1">
        <f t="array" aca="1" ref="CJ21" ca="1">INDIRECT("'Compliance Resources by State'!R"&amp;MATCH($B$1,'Demand by State by ST'!$E:$E,0)+($B21-2022))</f>
        <v>0</v>
      </c>
      <c r="CK21" s="82">
        <f t="shared" ca="1" si="40"/>
        <v>0</v>
      </c>
      <c r="CL21" s="83">
        <f t="shared" ca="1" si="41"/>
        <v>11.414</v>
      </c>
      <c r="CM21" s="82">
        <f t="shared" ca="1" si="42"/>
        <v>0</v>
      </c>
      <c r="CN21" s="84">
        <f ca="1">SUM(CM$4:CM21)</f>
        <v>0</v>
      </c>
      <c r="CO21" s="127">
        <f t="shared" ca="1" si="43"/>
        <v>0.15228705497222247</v>
      </c>
      <c r="CP21" s="128">
        <f t="shared" ca="1" si="44"/>
        <v>5.6147302314969803E-2</v>
      </c>
      <c r="CQ21" s="128">
        <f t="shared" ca="1" si="45"/>
        <v>0</v>
      </c>
      <c r="CR21" s="128">
        <f t="shared" ca="1" si="46"/>
        <v>0.20843435625052775</v>
      </c>
      <c r="CS21" s="159">
        <f ca="1">VLOOKUP('Compliance Data'!$B21,'Notes and Scenario Inputs'!$B$57:$C$86,2,FALSE)*BI21</f>
        <v>1455.3707999615999</v>
      </c>
      <c r="CT21" s="120">
        <f t="shared" ca="1" si="47"/>
        <v>1455.3708072000002</v>
      </c>
      <c r="CU21" s="83">
        <f ca="1">'Notes and Scenario Inputs'!C75*'Compliance Data'!BI21-'Compliance Data'!CV21</f>
        <v>1428.9773506146862</v>
      </c>
      <c r="CV21" s="90">
        <f t="shared" ca="1" si="48"/>
        <v>26.393449346913599</v>
      </c>
      <c r="CW21" s="104">
        <f>IF(VALUE(RIGHT($B$1,LEN($B$1)-7))=1,0,VLOOKUP($B21,'Load Reductions'!$1:$30,VALUE(RIGHT($B$1,LEN($B$1)-7)+39),FALSE))</f>
        <v>2577.1213484375003</v>
      </c>
      <c r="CX21" s="105">
        <f>IF(VALUE(RIGHT($B$1,LEN($B$1)-7))=1,0,VLOOKUP($B21,'Load Reductions'!$1:$30,VALUE(RIGHT($B$1,LEN($B$1)-7)+48),FALSE))</f>
        <v>976.25556103515623</v>
      </c>
      <c r="CY21" s="105">
        <f>IF(VALUE(RIGHT($B$1,LEN($B$1)-7))=1,0,VLOOKUP($B21,'Load Reductions'!$1:$30,VALUE(RIGHT($B$1,LEN($B$1)-7)+57),FALSE))</f>
        <v>308.36340703125001</v>
      </c>
      <c r="CZ21" s="105">
        <f>IF(VALUE(RIGHT($B$1,LEN($B$1)-7))=1,0,VLOOKUP($B21,'Load Reductions'!$1:$30,VALUE(RIGHT($B$1,LEN($B$1)-7)+66),FALSE))</f>
        <v>638.59581953124996</v>
      </c>
      <c r="DA21" s="136">
        <f>IF(AND($B21 = 2022, $B$1&lt;&gt;"Sample 3"), 0, VLOOKUP($B21,'Washington DSM Scenario Costs'!$A$1:$BN$30,RIGHT($B$1,LEN($B$1)-7)+56,FALSE))</f>
        <v>0</v>
      </c>
      <c r="DB21" s="96">
        <f t="shared" ca="1" si="49"/>
        <v>6982.3940071199995</v>
      </c>
      <c r="DC21" s="82">
        <f t="shared" ca="1" si="50"/>
        <v>4434.5526523199997</v>
      </c>
      <c r="DD21" s="82">
        <f t="shared" ca="1" si="51"/>
        <v>4434.5526611999994</v>
      </c>
      <c r="DE21" s="81">
        <f t="shared" ca="1" si="52"/>
        <v>13922558.945092561</v>
      </c>
      <c r="DF21" s="143">
        <f t="shared" ca="1" si="53"/>
        <v>1.9939520644202582</v>
      </c>
      <c r="DG21" s="82">
        <f t="shared" ca="1" si="54"/>
        <v>2336794.4823220796</v>
      </c>
      <c r="DH21" s="145">
        <f t="shared" ca="1" si="55"/>
        <v>0.33466952451254295</v>
      </c>
      <c r="DI21" s="82">
        <f t="shared" si="62"/>
        <v>0</v>
      </c>
      <c r="DJ21" s="143">
        <f t="shared" ca="1" si="56"/>
        <v>0</v>
      </c>
      <c r="DK21" s="116">
        <f t="shared" ca="1" si="57"/>
        <v>16259353.427414641</v>
      </c>
      <c r="DL21" s="112">
        <f t="shared" ca="1" si="58"/>
        <v>2.3286215889328012</v>
      </c>
      <c r="DM21" s="102" cm="1">
        <f t="array" aca="1" ref="DM21" ca="1">INDIRECT("'Emissions by State'!I"&amp;MATCH($B$1,'Demand by State by ST'!$E:$E,0)+($B21-2022))</f>
        <v>260306.00000001001</v>
      </c>
      <c r="DN21" s="82">
        <f t="shared" ca="1" si="59"/>
        <v>236145.6986100091</v>
      </c>
      <c r="DO21" s="124"/>
      <c r="DP21" s="58">
        <v>236147.9</v>
      </c>
      <c r="DQ21" s="4">
        <f t="shared" ca="1" si="60"/>
        <v>41.480584630097518</v>
      </c>
    </row>
    <row r="22" spans="1:121" x14ac:dyDescent="0.25">
      <c r="A22">
        <v>366</v>
      </c>
      <c r="B22">
        <v>2040</v>
      </c>
      <c r="C22" s="92" cm="1">
        <f t="array" aca="1" ref="C22" ca="1">INDIRECT("'Demand by State by ST'!H"&amp;MATCH($B$1,'Demand by State by ST'!$E:$E,0)+($B22-2022))</f>
        <v>48881.060000400001</v>
      </c>
      <c r="D22" s="100" cm="1">
        <f t="array" aca="1" ref="D22" ca="1">INDIRECT("'Demand by State by ST'!J"&amp;MATCH($B$1,'Demand by State by ST'!$E:$E,0)+($B22-2022))</f>
        <v>19080.34099968</v>
      </c>
      <c r="E22" s="96" cm="1">
        <f t="array" aca="1" ref="E22" ca="1">INDIRECT("'Gas Flow by State'!H"&amp;MATCH($B$1,'Demand by State by ST'!$E:$E,0)+($B22-2022))</f>
        <v>67254.667974480006</v>
      </c>
      <c r="F22" s="98">
        <f ca="1">VLOOKUP($B22,'WACOG Calc'!$B$49:$L$78,VALUE(RIGHT($B$1,LEN($B$1)-7))+1,FALSE)</f>
        <v>3.8457142998643183</v>
      </c>
      <c r="G22" s="90">
        <f t="shared" ca="1" si="0"/>
        <v>258642238.36208457</v>
      </c>
      <c r="H22" s="82" cm="1">
        <f t="array" aca="1" ref="H22" ca="1">INDIRECT("'Compliance Resources by State'!H"&amp;MATCH($B$1,'Demand by State by ST'!$E:$E,0)+($B22-2022))</f>
        <v>8386.00295568</v>
      </c>
      <c r="I22" s="83" cm="1">
        <f t="array" aca="1" ref="I22" ca="1">INDIRECT("'OR CCI Price'!C"&amp;MATCH($B22,'OR CCI Price'!$A:$A,0))</f>
        <v>6.6887100000000004</v>
      </c>
      <c r="J22" s="90">
        <f t="shared" ca="1" si="1"/>
        <v>56091541.829686381</v>
      </c>
      <c r="K22" s="81" cm="1">
        <f t="array" aca="1" ref="K22" ca="1">INDIRECT("'Compliance Resources by State'!J"&amp;MATCH($B$1,'Demand by State by ST'!$E:$E,0)+($B22-2022))</f>
        <v>7732.57048416</v>
      </c>
      <c r="L22" s="82">
        <f t="shared" ca="1" si="2"/>
        <v>-3.637978807091713E-12</v>
      </c>
      <c r="M22" s="83" cm="1">
        <f t="array" aca="1" ref="M22" ca="1">INDIRECT("'MC_Supply Price "&amp;K$2&amp;"'!D"&amp;MATCH($B22,'MC_Supply Price RNG Tranche 1'!$A:$A,0)+VALUE(RIGHT($B$1,LEN($B$1)-7))-1)</f>
        <v>11.090999999999999</v>
      </c>
      <c r="N22" s="82">
        <f t="shared" ca="1" si="3"/>
        <v>-1.4767669199500231E-8</v>
      </c>
      <c r="O22" s="90">
        <f ca="1">SUM(N$4:N22)</f>
        <v>80125296.28268902</v>
      </c>
      <c r="P22" s="81" cm="1">
        <f t="array" aca="1" ref="P22" ca="1">INDIRECT("'Compliance Resources by State'!K"&amp;MATCH($B$1,'Demand by State by ST'!$E:$E,0)+($B22-2022))</f>
        <v>0</v>
      </c>
      <c r="Q22" s="82">
        <f t="shared" ca="1" si="4"/>
        <v>0</v>
      </c>
      <c r="R22" s="83" cm="1">
        <f t="array" aca="1" ref="R22" ca="1">INDIRECT("'MC_Supply Price "&amp;P$2&amp;"'!D"&amp;MATCH($B22,'MC_Supply Price RNG Tranche 2'!$A:$A,0)+VALUE(RIGHT($B$1,LEN($B$1)-7))-1)</f>
        <v>16.091000000000001</v>
      </c>
      <c r="S22" s="82">
        <f t="shared" ca="1" si="5"/>
        <v>0</v>
      </c>
      <c r="T22" s="84">
        <f ca="1">SUM(S$4:S22)</f>
        <v>0</v>
      </c>
      <c r="U22" s="81" cm="1">
        <f t="array" aca="1" ref="U22" ca="1">INDIRECT("'Compliance Resources by State'!I"&amp;MATCH($B$1,'Demand by State by ST'!$E:$E,0)+($B22-2022))</f>
        <v>9160.6221691200008</v>
      </c>
      <c r="V22" s="82">
        <f t="shared" ca="1" si="6"/>
        <v>4280.1340799999998</v>
      </c>
      <c r="W22" s="83" cm="1">
        <f t="array" aca="1" ref="W22" ca="1">INDIRECT("'MC_Supply Price "&amp;U$2&amp;"'!D"&amp;MATCH($B22,'MC_Supply Price Hydrogen'!$A:$A,0)+VALUE(RIGHT($B$1,LEN($B$1)-7))-1)</f>
        <v>5.5010000000000003</v>
      </c>
      <c r="X22" s="82">
        <f t="shared" ca="1" si="7"/>
        <v>8617476.4321132805</v>
      </c>
      <c r="Y22" s="90">
        <f ca="1">SUM(X$4:X22)</f>
        <v>60820072.758455761</v>
      </c>
      <c r="Z22" s="81" cm="1">
        <f t="array" aca="1" ref="Z22" ca="1">INDIRECT("'Compliance Resources by State'!L"&amp;MATCH($B$1,'Demand by State by ST'!$E:$E,0)+($B22-2022))</f>
        <v>0</v>
      </c>
      <c r="AA22" s="82">
        <f t="shared" ca="1" si="8"/>
        <v>0</v>
      </c>
      <c r="AB22" s="83" cm="1">
        <f t="array" aca="1" ref="AB22" ca="1">INDIRECT("'MC_Supply Price Synthetic Metha'!D"&amp;MATCH($B22,'MC_Supply Price Synthetic Metha'!$A:$A,0)+VALUE(RIGHT($B$1,LEN($B$1)-7))-1)</f>
        <v>10.836</v>
      </c>
      <c r="AC22" s="82">
        <f t="shared" ca="1" si="9"/>
        <v>0</v>
      </c>
      <c r="AD22" s="82">
        <f ca="1">SUM(AC$4:AC22)</f>
        <v>0</v>
      </c>
      <c r="AE22" s="127">
        <f t="shared" ca="1" si="10"/>
        <v>0.14096440758407441</v>
      </c>
      <c r="AF22" s="128">
        <f t="shared" ca="1" si="11"/>
        <v>0.13479154393990814</v>
      </c>
      <c r="AG22" s="128">
        <f t="shared" ca="1" si="12"/>
        <v>0</v>
      </c>
      <c r="AH22" s="82">
        <f t="shared" ca="1" si="13"/>
        <v>16893.192653279999</v>
      </c>
      <c r="AI22" s="156">
        <f t="shared" ca="1" si="14"/>
        <v>0.17981184643450204</v>
      </c>
      <c r="AJ22" s="90">
        <f ca="1">VLOOKUP('Compliance Data'!$B22,'Notes and Scenario Inputs'!$B$57:$C$86,2,FALSE)*'Compliance Data'!C22</f>
        <v>12220.2650001</v>
      </c>
      <c r="AK22" s="105">
        <f>IF(VALUE(RIGHT($B$1,LEN($B$1)-7))=1,0,VLOOKUP($B22,'Load Reductions'!$1:$30,VALUE(RIGHT($B$1,LEN($B$1)-7)),FALSE))</f>
        <v>13042.31018359375</v>
      </c>
      <c r="AL22" s="105">
        <f>IF(VALUE(RIGHT($B$1,LEN($B$1)-7))=1,0,VLOOKUP($B22,'Load Reductions'!$1:$30,VALUE(RIGHT($B$1,LEN($B$1)-7)+9),FALSE))</f>
        <v>9366.4861132812493</v>
      </c>
      <c r="AM22" s="155">
        <f>IF(VALUE(RIGHT($B$1,LEN($B$1)-7))=1,0,VLOOKUP($B22,'Load Reductions'!$1:$30,VALUE(RIGHT($B$1,LEN($B$1)-7)+18),FALSE))</f>
        <v>6151.9192546875001</v>
      </c>
      <c r="AN22" s="105">
        <f>IF(VALUE(RIGHT($B$1,LEN($B$1)-7))=1,0,VLOOKUP($B22,'Load Reductions'!$1:$30,VALUE(RIGHT($B$1,LEN($B$1)-7)+27),FALSE))</f>
        <v>13718.9389625</v>
      </c>
      <c r="AO22" s="135">
        <f>VLOOKUP($B22,'Oregon DSM Scenario Costs'!$A$1:$BN$30,RIGHT($B$1,LEN($B$1)-7)+56,FALSE)</f>
        <v>0</v>
      </c>
      <c r="AP22" s="96">
        <f t="shared" ca="1" si="15"/>
        <v>67961.401000080004</v>
      </c>
      <c r="AQ22" s="105">
        <f>'Fixed Contracts'!C22</f>
        <v>770.99996999999996</v>
      </c>
      <c r="AR22" s="82">
        <f>'Fixed Contracts'!B22</f>
        <v>1847.5681464000002</v>
      </c>
      <c r="AS22" s="82">
        <f t="shared" ca="1" si="61"/>
        <v>58211.61330384</v>
      </c>
      <c r="AT22" s="82">
        <f t="shared" ca="1" si="16"/>
        <v>40834.637244720005</v>
      </c>
      <c r="AU22" s="113">
        <f t="shared" ca="1" si="17"/>
        <v>140945369.04114479</v>
      </c>
      <c r="AV22" s="139">
        <f t="shared" ca="1" si="18"/>
        <v>2.073903229878661</v>
      </c>
      <c r="AW22" s="116">
        <f t="shared" ca="1" si="19"/>
        <v>56091541.829686381</v>
      </c>
      <c r="AX22" s="139">
        <f t="shared" ca="1" si="20"/>
        <v>0.82534410715900852</v>
      </c>
      <c r="AY22" s="116">
        <f t="shared" si="21"/>
        <v>0</v>
      </c>
      <c r="AZ22" s="141">
        <f t="shared" ca="1" si="22"/>
        <v>0</v>
      </c>
      <c r="BA22" s="116">
        <f t="shared" ca="1" si="23"/>
        <v>197036910.87083116</v>
      </c>
      <c r="BB22" s="112">
        <f t="shared" ca="1" si="24"/>
        <v>2.8992473370376697</v>
      </c>
      <c r="BC22" s="102" cm="1">
        <f t="array" aca="1" ref="BC22" ca="1">INDIRECT("'Emissions by State'!H"&amp;MATCH($B$1,'Demand by State by ST'!$E:$E,0)+($B22-2022))</f>
        <v>2397437.0000000098</v>
      </c>
      <c r="BD22" s="82">
        <f t="shared" ca="1" si="25"/>
        <v>2174918.8848450091</v>
      </c>
      <c r="BE22" s="82"/>
      <c r="BF22" s="90">
        <v>2174940.9</v>
      </c>
      <c r="BG22" s="4">
        <f t="shared" ca="1" si="26"/>
        <v>414.82949569137435</v>
      </c>
      <c r="BH22">
        <v>2040</v>
      </c>
      <c r="BI22" s="92" cm="1">
        <f t="array" aca="1" ref="BI22" ca="1">INDIRECT("'Demand by State by ST'!I"&amp;MATCH($B$1,'Demand by State by ST'!$E:$E,0)+($B22-2022))</f>
        <v>5917.1969997599999</v>
      </c>
      <c r="BJ22" s="93" cm="1">
        <f t="array" aca="1" ref="BJ22" ca="1">INDIRECT("'Demand by State by ST'!K"&amp;MATCH($B$1,'Demand by State by ST'!$E:$E,0)+($B22-2022))</f>
        <v>883.35098784000002</v>
      </c>
      <c r="BK22" s="96" cm="1">
        <f t="array" aca="1" ref="BK22" ca="1">INDIRECT("'Gas Flow by State'!I"&amp;MATCH($B$1,'Demand by State by ST'!$E:$E,0)+($B22-2022))</f>
        <v>6800.5480008000004</v>
      </c>
      <c r="BL22" s="118">
        <f t="shared" ca="1" si="27"/>
        <v>3.8457142998643183</v>
      </c>
      <c r="BM22" s="93">
        <f t="shared" ca="1" si="28"/>
        <v>26152964.693590265</v>
      </c>
      <c r="BN22" s="81" cm="1">
        <f t="array" aca="1" ref="BN22" ca="1">INDIRECT("'Compliance Resources by State'!M"&amp;MATCH($B$1,'Demand by State by ST'!$E:$E,0)+($B22-2022))</f>
        <v>460.38552743999998</v>
      </c>
      <c r="BO22" s="83">
        <f>VLOOKUP(DATE($BH22,1,1),'MC_Allowance Price'!$A:$K,VALUE(RIGHT($B$1,LEN($B$1)-7))+1,FALSE)</f>
        <v>5.7675826620899597</v>
      </c>
      <c r="BP22">
        <v>6.67</v>
      </c>
      <c r="BQ22" s="90">
        <f t="shared" ca="1" si="29"/>
        <v>2655311.5859400854</v>
      </c>
      <c r="BR22" s="81" cm="1">
        <f t="array" aca="1" ref="BR22" ca="1">INDIRECT("'Compliance Resources by State'!O"&amp;MATCH($B$1,'Demand by State by ST'!$E:$E,0)+($B22-2022))</f>
        <v>506.01928127999997</v>
      </c>
      <c r="BS22" s="83">
        <f>VLOOKUP(DATE($BH22,1,1),'MC_Supply Price Offsets'!$A:$K,VALUE(RIGHT($B$1,LEN($B$1)-7))+1,FALSE)</f>
        <v>2.3370000000000002</v>
      </c>
      <c r="BT22" s="90">
        <f t="shared" ca="1" si="30"/>
        <v>1182567.0603513599</v>
      </c>
      <c r="BU22" s="81" cm="1">
        <f t="array" aca="1" ref="BU22" ca="1">INDIRECT("'Compliance Resources by State'!P"&amp;MATCH($B$1,'Demand by State by ST'!$E:$E,0)+($B22-2022))</f>
        <v>1066.241448</v>
      </c>
      <c r="BV22" s="82">
        <f t="shared" ca="1" si="31"/>
        <v>-4.5474735088646412E-13</v>
      </c>
      <c r="BW22" s="83">
        <f t="shared" ca="1" si="32"/>
        <v>11.090999999999999</v>
      </c>
      <c r="BX22" s="82">
        <f t="shared" ca="1" si="33"/>
        <v>-1.8459586499375289E-9</v>
      </c>
      <c r="BY22" s="84">
        <f ca="1">SUM(BX$4:BX22)</f>
        <v>10746592.872863039</v>
      </c>
      <c r="BZ22" s="81" cm="1">
        <f t="array" aca="1" ref="BZ22" ca="1">INDIRECT("'Compliance Resources by State'!Q"&amp;MATCH($B$1,'Demand by State by ST'!$E:$E,0)+($B22-2022))</f>
        <v>0</v>
      </c>
      <c r="CA22" s="82">
        <f t="shared" ca="1" si="34"/>
        <v>0</v>
      </c>
      <c r="CB22" s="83">
        <f t="shared" ca="1" si="35"/>
        <v>16.091000000000001</v>
      </c>
      <c r="CC22" s="82">
        <f t="shared" ca="1" si="36"/>
        <v>0</v>
      </c>
      <c r="CD22" s="84">
        <f ca="1">SUM(CC$4:CC22)</f>
        <v>0</v>
      </c>
      <c r="CE22" s="81" cm="1">
        <f t="array" aca="1" ref="CE22" ca="1">INDIRECT("'Compliance Resources by State'!N"&amp;MATCH($B$1,'Demand by State by ST'!$E:$E,0)+($B22-2022))</f>
        <v>413.05784976000001</v>
      </c>
      <c r="CF22" s="82">
        <f t="shared" ca="1" si="37"/>
        <v>54.484080000000176</v>
      </c>
      <c r="CG22" s="83">
        <f t="shared" ca="1" si="38"/>
        <v>5.5010000000000003</v>
      </c>
      <c r="CH22" s="82">
        <f t="shared" ca="1" si="39"/>
        <v>109696.39421328036</v>
      </c>
      <c r="CI22" s="84">
        <f ca="1">SUM(CH$4:CH22)</f>
        <v>3285662.4664427997</v>
      </c>
      <c r="CJ22" s="81" cm="1">
        <f t="array" aca="1" ref="CJ22" ca="1">INDIRECT("'Compliance Resources by State'!R"&amp;MATCH($B$1,'Demand by State by ST'!$E:$E,0)+($B22-2022))</f>
        <v>0</v>
      </c>
      <c r="CK22" s="82">
        <f t="shared" ca="1" si="40"/>
        <v>0</v>
      </c>
      <c r="CL22" s="83">
        <f t="shared" ca="1" si="41"/>
        <v>10.836</v>
      </c>
      <c r="CM22" s="82">
        <f t="shared" ca="1" si="42"/>
        <v>0</v>
      </c>
      <c r="CN22" s="84">
        <f ca="1">SUM(CM$4:CM22)</f>
        <v>0</v>
      </c>
      <c r="CO22" s="127">
        <f t="shared" ca="1" si="43"/>
        <v>0.15678757799285675</v>
      </c>
      <c r="CP22" s="128">
        <f t="shared" ca="1" si="44"/>
        <v>6.0738906704748276E-2</v>
      </c>
      <c r="CQ22" s="128">
        <f t="shared" ca="1" si="45"/>
        <v>0</v>
      </c>
      <c r="CR22" s="128">
        <f t="shared" ca="1" si="46"/>
        <v>0.21752647766581873</v>
      </c>
      <c r="CS22" s="159">
        <f ca="1">VLOOKUP('Compliance Data'!$B22,'Notes and Scenario Inputs'!$B$57:$C$86,2,FALSE)*BI22</f>
        <v>1479.29924994</v>
      </c>
      <c r="CT22" s="120">
        <f t="shared" ca="1" si="47"/>
        <v>1479.2992977599999</v>
      </c>
      <c r="CU22" s="83">
        <f ca="1">'Notes and Scenario Inputs'!C76*'Compliance Data'!BI22-'Compliance Data'!CV22</f>
        <v>1453.593178546872</v>
      </c>
      <c r="CV22" s="90">
        <f t="shared" ca="1" si="48"/>
        <v>25.706071393127999</v>
      </c>
      <c r="CW22" s="104">
        <f>IF(VALUE(RIGHT($B$1,LEN($B$1)-7))=1,0,VLOOKUP($B22,'Load Reductions'!$1:$30,VALUE(RIGHT($B$1,LEN($B$1)-7)+39),FALSE))</f>
        <v>2761.5152958984377</v>
      </c>
      <c r="CX22" s="105">
        <f>IF(VALUE(RIGHT($B$1,LEN($B$1)-7))=1,0,VLOOKUP($B22,'Load Reductions'!$1:$30,VALUE(RIGHT($B$1,LEN($B$1)-7)+48),FALSE))</f>
        <v>1043.6839137695313</v>
      </c>
      <c r="CY22" s="105">
        <f>IF(VALUE(RIGHT($B$1,LEN($B$1)-7))=1,0,VLOOKUP($B22,'Load Reductions'!$1:$30,VALUE(RIGHT($B$1,LEN($B$1)-7)+57),FALSE))</f>
        <v>327.03387148437503</v>
      </c>
      <c r="CZ22" s="105">
        <f>IF(VALUE(RIGHT($B$1,LEN($B$1)-7))=1,0,VLOOKUP($B22,'Load Reductions'!$1:$30,VALUE(RIGHT($B$1,LEN($B$1)-7)+66),FALSE))</f>
        <v>672.98747773437503</v>
      </c>
      <c r="DA22" s="136">
        <f>IF(AND($B22 = 2022, $B$1&lt;&gt;"Sample 3"), 0, VLOOKUP($B22,'Washington DSM Scenario Costs'!$A$1:$BN$30,RIGHT($B$1,LEN($B$1)-7)+56,FALSE))</f>
        <v>0</v>
      </c>
      <c r="DB22" s="96">
        <f t="shared" ca="1" si="49"/>
        <v>6800.5479875999999</v>
      </c>
      <c r="DC22" s="82">
        <f t="shared" ca="1" si="50"/>
        <v>4354.8438943200008</v>
      </c>
      <c r="DD22" s="82">
        <f t="shared" ca="1" si="51"/>
        <v>4354.8438811200003</v>
      </c>
      <c r="DE22" s="81">
        <f t="shared" ca="1" si="52"/>
        <v>14032255.339305839</v>
      </c>
      <c r="DF22" s="143">
        <f t="shared" ca="1" si="53"/>
        <v>2.0634006796058211</v>
      </c>
      <c r="DG22" s="82">
        <f t="shared" ca="1" si="54"/>
        <v>3837878.646291445</v>
      </c>
      <c r="DH22" s="145">
        <f t="shared" ca="1" si="55"/>
        <v>0.56434843975652638</v>
      </c>
      <c r="DI22" s="82">
        <f t="shared" si="62"/>
        <v>0</v>
      </c>
      <c r="DJ22" s="143">
        <f t="shared" ca="1" si="56"/>
        <v>0</v>
      </c>
      <c r="DK22" s="116">
        <f t="shared" ca="1" si="57"/>
        <v>17870133.985597283</v>
      </c>
      <c r="DL22" s="112">
        <f t="shared" ca="1" si="58"/>
        <v>2.6277491193623472</v>
      </c>
      <c r="DM22" s="102" cm="1">
        <f t="array" aca="1" ref="DM22" ca="1">INDIRECT("'Emissions by State'!I"&amp;MATCH($B$1,'Demand by State by ST'!$E:$E,0)+($B22-2022))</f>
        <v>255620</v>
      </c>
      <c r="DN22" s="82">
        <f t="shared" ca="1" si="59"/>
        <v>231894.62969999999</v>
      </c>
      <c r="DO22" s="124"/>
      <c r="DP22" s="58">
        <v>231897.3</v>
      </c>
      <c r="DQ22" s="4">
        <f t="shared" ca="1" si="60"/>
        <v>50.316211846115237</v>
      </c>
    </row>
    <row r="23" spans="1:121" x14ac:dyDescent="0.25">
      <c r="A23">
        <v>365</v>
      </c>
      <c r="B23">
        <v>2041</v>
      </c>
      <c r="C23" s="92" cm="1">
        <f t="array" aca="1" ref="C23" ca="1">INDIRECT("'Demand by State by ST'!H"&amp;MATCH($B$1,'Demand by State by ST'!$E:$E,0)+($B23-2022))</f>
        <v>47106.832998960002</v>
      </c>
      <c r="D23" s="100" cm="1">
        <f t="array" aca="1" ref="D23" ca="1">INDIRECT("'Demand by State by ST'!J"&amp;MATCH($B$1,'Demand by State by ST'!$E:$E,0)+($B23-2022))</f>
        <v>18169.662007200001</v>
      </c>
      <c r="E23" s="96" cm="1">
        <f t="array" aca="1" ref="E23" ca="1">INDIRECT("'Gas Flow by State'!H"&amp;MATCH($B$1,'Demand by State by ST'!$E:$E,0)+($B23-2022))</f>
        <v>64574.404770239998</v>
      </c>
      <c r="F23" s="98">
        <f ca="1">VLOOKUP($B23,'WACOG Calc'!$B$49:$L$78,VALUE(RIGHT($B$1,LEN($B$1)-7))+1,FALSE)</f>
        <v>3.9307865199006957</v>
      </c>
      <c r="G23" s="90">
        <f t="shared" ca="1" si="0"/>
        <v>253828199.80147055</v>
      </c>
      <c r="H23" s="82" cm="1">
        <f t="array" aca="1" ref="H23" ca="1">INDIRECT("'Compliance Resources by State'!H"&amp;MATCH($B$1,'Demand by State by ST'!$E:$E,0)+($B23-2022))</f>
        <v>6874.0905290399996</v>
      </c>
      <c r="I23" s="83" cm="1">
        <f t="array" aca="1" ref="I23" ca="1">INDIRECT("'OR CCI Price'!C"&amp;MATCH($B23,'OR CCI Price'!$A:$A,0))</f>
        <v>6.7417949999999998</v>
      </c>
      <c r="J23" s="90">
        <f t="shared" ca="1" si="1"/>
        <v>46343709.158229217</v>
      </c>
      <c r="K23" s="81" cm="1">
        <f t="array" aca="1" ref="K23" ca="1">INDIRECT("'Compliance Resources by State'!J"&amp;MATCH($B$1,'Demand by State by ST'!$E:$E,0)+($B23-2022))</f>
        <v>7711.4432423999997</v>
      </c>
      <c r="L23" s="82">
        <f t="shared" ca="1" si="2"/>
        <v>3.637978807091713E-12</v>
      </c>
      <c r="M23" s="83" cm="1">
        <f t="array" aca="1" ref="M23" ca="1">INDIRECT("'MC_Supply Price "&amp;K$2&amp;"'!D"&amp;MATCH($B23,'MC_Supply Price RNG Tranche 1'!$A:$A,0)+VALUE(RIGHT($B$1,LEN($B$1)-7))-1)</f>
        <v>11.041</v>
      </c>
      <c r="N23" s="82">
        <f t="shared" ca="1" si="3"/>
        <v>1.4660927263321356E-8</v>
      </c>
      <c r="O23" s="90">
        <f ca="1">SUM(N$4:N23)</f>
        <v>80125296.282689035</v>
      </c>
      <c r="P23" s="81" cm="1">
        <f t="array" aca="1" ref="P23" ca="1">INDIRECT("'Compliance Resources by State'!K"&amp;MATCH($B$1,'Demand by State by ST'!$E:$E,0)+($B23-2022))</f>
        <v>0</v>
      </c>
      <c r="Q23" s="82">
        <f t="shared" ca="1" si="4"/>
        <v>0</v>
      </c>
      <c r="R23" s="83" cm="1">
        <f t="array" aca="1" ref="R23" ca="1">INDIRECT("'MC_Supply Price "&amp;P$2&amp;"'!D"&amp;MATCH($B23,'MC_Supply Price RNG Tranche 2'!$A:$A,0)+VALUE(RIGHT($B$1,LEN($B$1)-7))-1)</f>
        <v>16.041</v>
      </c>
      <c r="S23" s="82">
        <f t="shared" ca="1" si="5"/>
        <v>0</v>
      </c>
      <c r="T23" s="84">
        <f ca="1">SUM(S$4:S23)</f>
        <v>0</v>
      </c>
      <c r="U23" s="81" cm="1">
        <f t="array" aca="1" ref="U23" ca="1">INDIRECT("'Compliance Resources by State'!I"&amp;MATCH($B$1,'Demand by State by ST'!$E:$E,0)+($B23-2022))</f>
        <v>9135.5931467999999</v>
      </c>
      <c r="V23" s="82">
        <f t="shared" ca="1" si="6"/>
        <v>0</v>
      </c>
      <c r="W23" s="83" cm="1">
        <f t="array" aca="1" ref="W23" ca="1">INDIRECT("'MC_Supply Price "&amp;U$2&amp;"'!D"&amp;MATCH($B23,'MC_Supply Price Hydrogen'!$A:$A,0)+VALUE(RIGHT($B$1,LEN($B$1)-7))-1)</f>
        <v>5.1210000000000004</v>
      </c>
      <c r="X23" s="82">
        <f t="shared" ca="1" si="7"/>
        <v>0</v>
      </c>
      <c r="Y23" s="90">
        <f ca="1">SUM(X$4:X23)</f>
        <v>60820072.758455761</v>
      </c>
      <c r="Z23" s="81" cm="1">
        <f t="array" aca="1" ref="Z23" ca="1">INDIRECT("'Compliance Resources by State'!L"&amp;MATCH($B$1,'Demand by State by ST'!$E:$E,0)+($B23-2022))</f>
        <v>1852.8913728</v>
      </c>
      <c r="AA23" s="82">
        <f t="shared" ca="1" si="8"/>
        <v>5076.4147199999998</v>
      </c>
      <c r="AB23" s="83" cm="1">
        <f t="array" aca="1" ref="AB23" ca="1">INDIRECT("'MC_Supply Price Synthetic Metha'!D"&amp;MATCH($B23,'MC_Supply Price Synthetic Metha'!$A:$A,0)+VALUE(RIGHT($B$1,LEN($B$1)-7))-1)</f>
        <v>10.35</v>
      </c>
      <c r="AC23" s="82">
        <f t="shared" ca="1" si="9"/>
        <v>19177425.708479997</v>
      </c>
      <c r="AD23" s="82">
        <f ca="1">SUM(AC$4:AC23)</f>
        <v>19177425.708479997</v>
      </c>
      <c r="AE23" s="127">
        <f t="shared" ca="1" si="10"/>
        <v>0.14636146422228113</v>
      </c>
      <c r="AF23" s="128">
        <f t="shared" ca="1" si="11"/>
        <v>0.13995226223371665</v>
      </c>
      <c r="AG23" s="128">
        <f t="shared" ca="1" si="12"/>
        <v>2.8385276700673753E-2</v>
      </c>
      <c r="AH23" s="82">
        <f t="shared" ca="1" si="13"/>
        <v>18699.927761999999</v>
      </c>
      <c r="AI23" s="156">
        <f t="shared" ca="1" si="14"/>
        <v>0.18762920065750779</v>
      </c>
      <c r="AJ23" s="90">
        <f ca="1">VLOOKUP('Compliance Data'!$B23,'Notes and Scenario Inputs'!$B$57:$C$86,2,FALSE)*'Compliance Data'!C23</f>
        <v>12247.776579729602</v>
      </c>
      <c r="AK23" s="105">
        <f>IF(VALUE(RIGHT($B$1,LEN($B$1)-7))=1,0,VLOOKUP($B23,'Load Reductions'!$1:$30,VALUE(RIGHT($B$1,LEN($B$1)-7)),FALSE))</f>
        <v>13686.928525000001</v>
      </c>
      <c r="AL23" s="105">
        <f>IF(VALUE(RIGHT($B$1,LEN($B$1)-7))=1,0,VLOOKUP($B23,'Load Reductions'!$1:$30,VALUE(RIGHT($B$1,LEN($B$1)-7)+9),FALSE))</f>
        <v>9827.2233429687494</v>
      </c>
      <c r="AM23" s="155">
        <f>IF(VALUE(RIGHT($B$1,LEN($B$1)-7))=1,0,VLOOKUP($B23,'Load Reductions'!$1:$30,VALUE(RIGHT($B$1,LEN($B$1)-7)+18),FALSE))</f>
        <v>6471.3753671875002</v>
      </c>
      <c r="AN23" s="105">
        <f>IF(VALUE(RIGHT($B$1,LEN($B$1)-7))=1,0,VLOOKUP($B23,'Load Reductions'!$1:$30,VALUE(RIGHT($B$1,LEN($B$1)-7)+27),FALSE))</f>
        <v>14234.28435625</v>
      </c>
      <c r="AO23" s="135">
        <f>VLOOKUP($B23,'Oregon DSM Scenario Costs'!$A$1:$BN$30,RIGHT($B$1,LEN($B$1)-7)+56,FALSE)</f>
        <v>0</v>
      </c>
      <c r="AP23" s="96">
        <f t="shared" ca="1" si="15"/>
        <v>65276.495006160003</v>
      </c>
      <c r="AQ23" s="105">
        <f>'Fixed Contracts'!C23</f>
        <v>768.99997000000008</v>
      </c>
      <c r="AR23" s="82">
        <f>'Fixed Contracts'!B23</f>
        <v>1842.5201459999998</v>
      </c>
      <c r="AS23" s="82">
        <f t="shared" ca="1" si="61"/>
        <v>55192.272934000008</v>
      </c>
      <c r="AT23" s="82">
        <f t="shared" ca="1" si="16"/>
        <v>37859.956569120011</v>
      </c>
      <c r="AU23" s="113">
        <f t="shared" ca="1" si="17"/>
        <v>160122794.74962479</v>
      </c>
      <c r="AV23" s="139">
        <f t="shared" ca="1" si="18"/>
        <v>2.4529931445386941</v>
      </c>
      <c r="AW23" s="116">
        <f t="shared" ca="1" si="19"/>
        <v>46343709.158229217</v>
      </c>
      <c r="AX23" s="139">
        <f t="shared" ca="1" si="20"/>
        <v>0.70996013425438753</v>
      </c>
      <c r="AY23" s="116">
        <f t="shared" si="21"/>
        <v>0</v>
      </c>
      <c r="AZ23" s="141">
        <f t="shared" ca="1" si="22"/>
        <v>0</v>
      </c>
      <c r="BA23" s="116">
        <f t="shared" ca="1" si="23"/>
        <v>206466503.90785402</v>
      </c>
      <c r="BB23" s="112">
        <f t="shared" ca="1" si="24"/>
        <v>3.1629532787930819</v>
      </c>
      <c r="BC23" s="102" cm="1">
        <f t="array" aca="1" ref="BC23" ca="1">INDIRECT("'Emissions by State'!H"&amp;MATCH($B$1,'Demand by State by ST'!$E:$E,0)+($B23-2022))</f>
        <v>2223078.0000000098</v>
      </c>
      <c r="BD23" s="82">
        <f t="shared" ca="1" si="25"/>
        <v>2016743.015430009</v>
      </c>
      <c r="BE23" s="82"/>
      <c r="BF23" s="90">
        <v>2016763.38</v>
      </c>
      <c r="BG23" s="4">
        <f t="shared" ca="1" si="26"/>
        <v>383.72767772075599</v>
      </c>
      <c r="BH23">
        <v>2041</v>
      </c>
      <c r="BI23" s="92" cm="1">
        <f t="array" aca="1" ref="BI23" ca="1">INDIRECT("'Demand by State by ST'!I"&amp;MATCH($B$1,'Demand by State by ST'!$E:$E,0)+($B23-2022))</f>
        <v>5699.9219976000004</v>
      </c>
      <c r="BJ23" s="93" cm="1">
        <f t="array" aca="1" ref="BJ23" ca="1">INDIRECT("'Demand by State by ST'!K"&amp;MATCH($B$1,'Demand by State by ST'!$E:$E,0)+($B23-2022))</f>
        <v>838.34501183999998</v>
      </c>
      <c r="BK23" s="96" cm="1">
        <f t="array" aca="1" ref="BK23" ca="1">INDIRECT("'Gas Flow by State'!I"&amp;MATCH($B$1,'Demand by State by ST'!$E:$E,0)+($B23-2022))</f>
        <v>6538.2670000799999</v>
      </c>
      <c r="BL23" s="118">
        <f t="shared" ca="1" si="27"/>
        <v>3.9307865199006957</v>
      </c>
      <c r="BM23" s="93">
        <f t="shared" ca="1" si="28"/>
        <v>25700531.787426025</v>
      </c>
      <c r="BN23" s="81" cm="1">
        <f t="array" aca="1" ref="BN23" ca="1">INDIRECT("'Compliance Resources by State'!M"&amp;MATCH($B$1,'Demand by State by ST'!$E:$E,0)+($B23-2022))</f>
        <v>779.52485999999999</v>
      </c>
      <c r="BO23" s="83">
        <f>VLOOKUP(DATE($BH23,1,1),'MC_Allowance Price'!$A:$K,VALUE(RIGHT($B$1,LEN($B$1)-7))+1,FALSE)</f>
        <v>5.935130766850258</v>
      </c>
      <c r="BP23">
        <v>6.75</v>
      </c>
      <c r="BQ23" s="90">
        <f t="shared" ca="1" si="29"/>
        <v>4626581.9801106397</v>
      </c>
      <c r="BR23" s="81" cm="1">
        <f t="array" aca="1" ref="BR23" ca="1">INDIRECT("'Compliance Resources by State'!O"&amp;MATCH($B$1,'Demand by State by ST'!$E:$E,0)+($B23-2022))</f>
        <v>0</v>
      </c>
      <c r="BS23" s="83">
        <f>VLOOKUP(DATE($BH23,1,1),'MC_Supply Price Offsets'!$A:$K,VALUE(RIGHT($B$1,LEN($B$1)-7))+1,FALSE)</f>
        <v>2.5</v>
      </c>
      <c r="BT23" s="90">
        <f t="shared" ca="1" si="30"/>
        <v>0</v>
      </c>
      <c r="BU23" s="81" cm="1">
        <f t="array" aca="1" ref="BU23" ca="1">INDIRECT("'Compliance Resources by State'!P"&amp;MATCH($B$1,'Demand by State by ST'!$E:$E,0)+($B23-2022))</f>
        <v>1063.3282200000001</v>
      </c>
      <c r="BV23" s="82">
        <f t="shared" ca="1" si="31"/>
        <v>4.5474735088646412E-13</v>
      </c>
      <c r="BW23" s="83">
        <f t="shared" ca="1" si="32"/>
        <v>11.041</v>
      </c>
      <c r="BX23" s="82">
        <f t="shared" ca="1" si="33"/>
        <v>1.8326159079151694E-9</v>
      </c>
      <c r="BY23" s="84">
        <f ca="1">SUM(BX$4:BX23)</f>
        <v>10746592.872863041</v>
      </c>
      <c r="BZ23" s="81" cm="1">
        <f t="array" aca="1" ref="BZ23" ca="1">INDIRECT("'Compliance Resources by State'!Q"&amp;MATCH($B$1,'Demand by State by ST'!$E:$E,0)+($B23-2022))</f>
        <v>0</v>
      </c>
      <c r="CA23" s="82">
        <f t="shared" ca="1" si="34"/>
        <v>0</v>
      </c>
      <c r="CB23" s="83">
        <f t="shared" ca="1" si="35"/>
        <v>16.041</v>
      </c>
      <c r="CC23" s="82">
        <f t="shared" ca="1" si="36"/>
        <v>0</v>
      </c>
      <c r="CD23" s="84">
        <f ca="1">SUM(CC$4:CC23)</f>
        <v>0</v>
      </c>
      <c r="CE23" s="81" cm="1">
        <f t="array" aca="1" ref="CE23" ca="1">INDIRECT("'Compliance Resources by State'!N"&amp;MATCH($B$1,'Demand by State by ST'!$E:$E,0)+($B23-2022))</f>
        <v>418.65152519999998</v>
      </c>
      <c r="CF23" s="82">
        <f t="shared" ca="1" si="37"/>
        <v>18.417119999999841</v>
      </c>
      <c r="CG23" s="83">
        <f t="shared" ca="1" si="38"/>
        <v>5.1210000000000004</v>
      </c>
      <c r="CH23" s="82">
        <f t="shared" ca="1" si="39"/>
        <v>34424.636104799705</v>
      </c>
      <c r="CI23" s="84">
        <f ca="1">SUM(CH$4:CH23)</f>
        <v>3320087.1025475995</v>
      </c>
      <c r="CJ23" s="81" cm="1">
        <f t="array" aca="1" ref="CJ23" ca="1">INDIRECT("'Compliance Resources by State'!R"&amp;MATCH($B$1,'Demand by State by ST'!$E:$E,0)+($B23-2022))</f>
        <v>0</v>
      </c>
      <c r="CK23" s="82">
        <f t="shared" ca="1" si="40"/>
        <v>0</v>
      </c>
      <c r="CL23" s="83">
        <f t="shared" ca="1" si="41"/>
        <v>10.35</v>
      </c>
      <c r="CM23" s="82">
        <f t="shared" ca="1" si="42"/>
        <v>0</v>
      </c>
      <c r="CN23" s="84">
        <f ca="1">SUM(CM$4:CM23)</f>
        <v>0</v>
      </c>
      <c r="CO23" s="127">
        <f t="shared" ca="1" si="43"/>
        <v>0.1626315074720501</v>
      </c>
      <c r="CP23" s="128">
        <f t="shared" ca="1" si="44"/>
        <v>6.4030961812288748E-2</v>
      </c>
      <c r="CQ23" s="128">
        <f t="shared" ca="1" si="45"/>
        <v>0</v>
      </c>
      <c r="CR23" s="128">
        <f t="shared" ca="1" si="46"/>
        <v>0.22666246533466841</v>
      </c>
      <c r="CS23" s="159">
        <f ca="1">VLOOKUP('Compliance Data'!$B23,'Notes and Scenario Inputs'!$B$57:$C$86,2,FALSE)*BI23</f>
        <v>1481.979719376</v>
      </c>
      <c r="CT23" s="120">
        <f t="shared" ca="1" si="47"/>
        <v>1481.9797452</v>
      </c>
      <c r="CU23" s="83">
        <f ca="1">'Notes and Scenario Inputs'!C77*'Compliance Data'!BI23-'Compliance Data'!CV23</f>
        <v>1457.2650700803169</v>
      </c>
      <c r="CV23" s="90">
        <f t="shared" ca="1" si="48"/>
        <v>24.714649295683198</v>
      </c>
      <c r="CW23" s="104">
        <f>IF(VALUE(RIGHT($B$1,LEN($B$1)-7))=1,0,VLOOKUP($B23,'Load Reductions'!$1:$30,VALUE(RIGHT($B$1,LEN($B$1)-7)+39),FALSE))</f>
        <v>2910.6132261718753</v>
      </c>
      <c r="CX23" s="105">
        <f>IF(VALUE(RIGHT($B$1,LEN($B$1)-7))=1,0,VLOOKUP($B23,'Load Reductions'!$1:$30,VALUE(RIGHT($B$1,LEN($B$1)-7)+48),FALSE))</f>
        <v>1101.2699470703126</v>
      </c>
      <c r="CY23" s="105">
        <f>IF(VALUE(RIGHT($B$1,LEN($B$1)-7))=1,0,VLOOKUP($B23,'Load Reductions'!$1:$30,VALUE(RIGHT($B$1,LEN($B$1)-7)+57),FALSE))</f>
        <v>340.09424462890627</v>
      </c>
      <c r="CZ23" s="105">
        <f>IF(VALUE(RIGHT($B$1,LEN($B$1)-7))=1,0,VLOOKUP($B23,'Load Reductions'!$1:$30,VALUE(RIGHT($B$1,LEN($B$1)-7)+66),FALSE))</f>
        <v>698.22991855468752</v>
      </c>
      <c r="DA23" s="136">
        <f>IF(AND($B23 = 2022, $B$1&lt;&gt;"Sample 3"), 0, VLOOKUP($B23,'Washington DSM Scenario Costs'!$A$1:$BN$30,RIGHT($B$1,LEN($B$1)-7)+56,FALSE))</f>
        <v>0</v>
      </c>
      <c r="DB23" s="96">
        <f t="shared" ca="1" si="49"/>
        <v>6538.26700944</v>
      </c>
      <c r="DC23" s="82">
        <f t="shared" ca="1" si="50"/>
        <v>4276.7623948799992</v>
      </c>
      <c r="DD23" s="82">
        <f t="shared" ca="1" si="51"/>
        <v>4276.7624042400003</v>
      </c>
      <c r="DE23" s="81">
        <f t="shared" ca="1" si="52"/>
        <v>14066679.97541064</v>
      </c>
      <c r="DF23" s="143">
        <f t="shared" ca="1" si="53"/>
        <v>2.1514385929942996</v>
      </c>
      <c r="DG23" s="82">
        <f t="shared" ca="1" si="54"/>
        <v>4626581.9801106397</v>
      </c>
      <c r="DH23" s="145">
        <f t="shared" ca="1" si="55"/>
        <v>0.70761594370966263</v>
      </c>
      <c r="DI23" s="82">
        <f t="shared" si="62"/>
        <v>0</v>
      </c>
      <c r="DJ23" s="143">
        <f t="shared" ca="1" si="56"/>
        <v>0</v>
      </c>
      <c r="DK23" s="116">
        <f t="shared" ca="1" si="57"/>
        <v>18693261.955521278</v>
      </c>
      <c r="DL23" s="112">
        <f t="shared" ca="1" si="58"/>
        <v>2.8590545367039617</v>
      </c>
      <c r="DM23" s="102" cm="1">
        <f t="array" aca="1" ref="DM23" ca="1">INDIRECT("'Emissions by State'!I"&amp;MATCH($B$1,'Demand by State by ST'!$E:$E,0)+($B23-2022))</f>
        <v>251018.99999998999</v>
      </c>
      <c r="DN23" s="82">
        <f t="shared" ca="1" si="59"/>
        <v>227720.67151499091</v>
      </c>
      <c r="DO23" s="124"/>
      <c r="DP23" s="58">
        <v>227723.1</v>
      </c>
      <c r="DQ23" s="4">
        <f t="shared" ca="1" si="60"/>
        <v>45.759714707210982</v>
      </c>
    </row>
    <row r="24" spans="1:121" x14ac:dyDescent="0.25">
      <c r="A24">
        <v>365</v>
      </c>
      <c r="B24">
        <v>2042</v>
      </c>
      <c r="C24" s="92" cm="1">
        <f t="array" aca="1" ref="C24" ca="1">INDIRECT("'Demand by State by ST'!H"&amp;MATCH($B$1,'Demand by State by ST'!$E:$E,0)+($B24-2022))</f>
        <v>45641.582000399998</v>
      </c>
      <c r="D24" s="100" cm="1">
        <f t="array" aca="1" ref="D24" ca="1">INDIRECT("'Demand by State by ST'!J"&amp;MATCH($B$1,'Demand by State by ST'!$E:$E,0)+($B24-2022))</f>
        <v>17392.29200256</v>
      </c>
      <c r="E24" s="96" cm="1">
        <f t="array" aca="1" ref="E24" ca="1">INDIRECT("'Gas Flow by State'!H"&amp;MATCH($B$1,'Demand by State by ST'!$E:$E,0)+($B24-2022))</f>
        <v>62331.620432880001</v>
      </c>
      <c r="F24" s="98">
        <f ca="1">VLOOKUP($B24,'WACOG Calc'!$B$49:$L$78,VALUE(RIGHT($B$1,LEN($B$1)-7))+1,FALSE)</f>
        <v>3.9368884553694725</v>
      </c>
      <c r="G24" s="90">
        <f t="shared" ca="1" si="0"/>
        <v>245392636.88667721</v>
      </c>
      <c r="H24" s="82" cm="1">
        <f t="array" aca="1" ref="H24" ca="1">INDIRECT("'Compliance Resources by State'!H"&amp;MATCH($B$1,'Demand by State by ST'!$E:$E,0)+($B24-2022))</f>
        <v>7545.3725152799998</v>
      </c>
      <c r="I24" s="83" cm="1">
        <f t="array" aca="1" ref="I24" ca="1">INDIRECT("'OR CCI Price'!C"&amp;MATCH($B24,'OR CCI Price'!$A:$A,0))</f>
        <v>6.79488</v>
      </c>
      <c r="J24" s="90">
        <f t="shared" ca="1" si="1"/>
        <v>51269900.796625763</v>
      </c>
      <c r="K24" s="81" cm="1">
        <f t="array" aca="1" ref="K24" ca="1">INDIRECT("'Compliance Resources by State'!J"&amp;MATCH($B$1,'Demand by State by ST'!$E:$E,0)+($B24-2022))</f>
        <v>7711.4432423999997</v>
      </c>
      <c r="L24" s="82">
        <f t="shared" ca="1" si="2"/>
        <v>0</v>
      </c>
      <c r="M24" s="83" cm="1">
        <f t="array" aca="1" ref="M24" ca="1">INDIRECT("'MC_Supply Price "&amp;K$2&amp;"'!D"&amp;MATCH($B24,'MC_Supply Price RNG Tranche 1'!$A:$A,0)+VALUE(RIGHT($B$1,LEN($B$1)-7))-1)</f>
        <v>11.015000000000001</v>
      </c>
      <c r="N24" s="82">
        <f t="shared" ca="1" si="3"/>
        <v>0</v>
      </c>
      <c r="O24" s="90">
        <f ca="1">SUM(N$4:N24)</f>
        <v>80125296.282689035</v>
      </c>
      <c r="P24" s="81" cm="1">
        <f t="array" aca="1" ref="P24" ca="1">INDIRECT("'Compliance Resources by State'!K"&amp;MATCH($B$1,'Demand by State by ST'!$E:$E,0)+($B24-2022))</f>
        <v>0</v>
      </c>
      <c r="Q24" s="82">
        <f t="shared" ca="1" si="4"/>
        <v>0</v>
      </c>
      <c r="R24" s="83" cm="1">
        <f t="array" aca="1" ref="R24" ca="1">INDIRECT("'MC_Supply Price "&amp;P$2&amp;"'!D"&amp;MATCH($B24,'MC_Supply Price RNG Tranche 2'!$A:$A,0)+VALUE(RIGHT($B$1,LEN($B$1)-7))-1)</f>
        <v>16.015000000000001</v>
      </c>
      <c r="S24" s="82">
        <f t="shared" ca="1" si="5"/>
        <v>0</v>
      </c>
      <c r="T24" s="84">
        <f ca="1">SUM(S$4:S24)</f>
        <v>0</v>
      </c>
      <c r="U24" s="81" cm="1">
        <f t="array" aca="1" ref="U24" ca="1">INDIRECT("'Compliance Resources by State'!I"&amp;MATCH($B$1,'Demand by State by ST'!$E:$E,0)+($B24-2022))</f>
        <v>9135.5931467999999</v>
      </c>
      <c r="V24" s="82">
        <f t="shared" ca="1" si="6"/>
        <v>0</v>
      </c>
      <c r="W24" s="83" cm="1">
        <f t="array" aca="1" ref="W24" ca="1">INDIRECT("'MC_Supply Price "&amp;U$2&amp;"'!D"&amp;MATCH($B24,'MC_Supply Price Hydrogen'!$A:$A,0)+VALUE(RIGHT($B$1,LEN($B$1)-7))-1)</f>
        <v>4.7750000000000004</v>
      </c>
      <c r="X24" s="82">
        <f t="shared" ca="1" si="7"/>
        <v>0</v>
      </c>
      <c r="Y24" s="90">
        <f ca="1">SUM(X$4:X24)</f>
        <v>60820072.758455761</v>
      </c>
      <c r="Z24" s="81" cm="1">
        <f t="array" aca="1" ref="Z24" ca="1">INDIRECT("'Compliance Resources by State'!L"&amp;MATCH($B$1,'Demand by State by ST'!$E:$E,0)+($B24-2022))</f>
        <v>1914.6270348</v>
      </c>
      <c r="AA24" s="82">
        <f t="shared" ca="1" si="8"/>
        <v>169.13880000000063</v>
      </c>
      <c r="AB24" s="83" cm="1">
        <f t="array" aca="1" ref="AB24" ca="1">INDIRECT("'MC_Supply Price Synthetic Metha'!D"&amp;MATCH($B24,'MC_Supply Price Synthetic Metha'!$A:$A,0)+VALUE(RIGHT($B$1,LEN($B$1)-7))-1)</f>
        <v>9.8870000000000005</v>
      </c>
      <c r="AC24" s="82">
        <f t="shared" ca="1" si="9"/>
        <v>610380.49019400228</v>
      </c>
      <c r="AD24" s="82">
        <f ca="1">SUM(AC$4:AC24)</f>
        <v>19787806.198674001</v>
      </c>
      <c r="AE24" s="127">
        <f t="shared" ca="1" si="10"/>
        <v>0.15156871665465707</v>
      </c>
      <c r="AF24" s="128">
        <f t="shared" ca="1" si="11"/>
        <v>0.14493148789127261</v>
      </c>
      <c r="AG24" s="128">
        <f t="shared" ca="1" si="12"/>
        <v>3.0374573435072248E-2</v>
      </c>
      <c r="AH24" s="82">
        <f t="shared" ca="1" si="13"/>
        <v>18761.663423999998</v>
      </c>
      <c r="AI24" s="156">
        <f t="shared" ca="1" si="14"/>
        <v>0.19550166216230522</v>
      </c>
      <c r="AJ24" s="90">
        <f ca="1">VLOOKUP('Compliance Data'!$B24,'Notes and Scenario Inputs'!$B$57:$C$86,2,FALSE)*'Compliance Data'!C24</f>
        <v>12323.227140108</v>
      </c>
      <c r="AK24" s="105">
        <f>IF(VALUE(RIGHT($B$1,LEN($B$1)-7))=1,0,VLOOKUP($B24,'Load Reductions'!$1:$30,VALUE(RIGHT($B$1,LEN($B$1)-7)),FALSE))</f>
        <v>14401.46468203125</v>
      </c>
      <c r="AL24" s="105">
        <f>IF(VALUE(RIGHT($B$1,LEN($B$1)-7))=1,0,VLOOKUP($B24,'Load Reductions'!$1:$30,VALUE(RIGHT($B$1,LEN($B$1)-7)+9),FALSE))</f>
        <v>10335.898123437501</v>
      </c>
      <c r="AM24" s="155">
        <f>IF(VALUE(RIGHT($B$1,LEN($B$1)-7))=1,0,VLOOKUP($B24,'Load Reductions'!$1:$30,VALUE(RIGHT($B$1,LEN($B$1)-7)+18),FALSE))</f>
        <v>6842.3318312499996</v>
      </c>
      <c r="AN24" s="105">
        <f>IF(VALUE(RIGHT($B$1,LEN($B$1)-7))=1,0,VLOOKUP($B24,'Load Reductions'!$1:$30,VALUE(RIGHT($B$1,LEN($B$1)-7)+27),FALSE))</f>
        <v>14826.621628125</v>
      </c>
      <c r="AO24" s="135">
        <f>VLOOKUP($B24,'Oregon DSM Scenario Costs'!$A$1:$BN$30,RIGHT($B$1,LEN($B$1)-7)+56,FALSE)</f>
        <v>0</v>
      </c>
      <c r="AP24" s="96">
        <f t="shared" ca="1" si="15"/>
        <v>63033.874002960001</v>
      </c>
      <c r="AQ24" s="105">
        <f>'Fixed Contracts'!C24</f>
        <v>768.99997000000008</v>
      </c>
      <c r="AR24" s="82">
        <f>'Fixed Contracts'!B24</f>
        <v>1842.5201459999998</v>
      </c>
      <c r="AS24" s="82">
        <f t="shared" ca="1" si="61"/>
        <v>52216.47094839999</v>
      </c>
      <c r="AT24" s="82">
        <f t="shared" ca="1" si="16"/>
        <v>34884.317917679997</v>
      </c>
      <c r="AU24" s="113">
        <f t="shared" ca="1" si="17"/>
        <v>160733175.23981881</v>
      </c>
      <c r="AV24" s="139">
        <f t="shared" ca="1" si="18"/>
        <v>2.5499491786316506</v>
      </c>
      <c r="AW24" s="116">
        <f t="shared" ca="1" si="19"/>
        <v>51269900.796625763</v>
      </c>
      <c r="AX24" s="139">
        <f t="shared" ca="1" si="20"/>
        <v>0.81337061393716947</v>
      </c>
      <c r="AY24" s="116">
        <f t="shared" si="21"/>
        <v>0</v>
      </c>
      <c r="AZ24" s="141">
        <f t="shared" ca="1" si="22"/>
        <v>0</v>
      </c>
      <c r="BA24" s="116">
        <f t="shared" ca="1" si="23"/>
        <v>212003076.03644457</v>
      </c>
      <c r="BB24" s="112">
        <f t="shared" ca="1" si="24"/>
        <v>3.3633197925688201</v>
      </c>
      <c r="BC24" s="102" cm="1">
        <f t="array" aca="1" ref="BC24" ca="1">INDIRECT("'Emissions by State'!H"&amp;MATCH($B$1,'Demand by State by ST'!$E:$E,0)+($B24-2022))</f>
        <v>2048719</v>
      </c>
      <c r="BD24" s="82">
        <f t="shared" ca="1" si="25"/>
        <v>1858567.1460150001</v>
      </c>
      <c r="BE24" s="82"/>
      <c r="BF24" s="90">
        <v>1858585.8599999999</v>
      </c>
      <c r="BG24" s="4">
        <f t="shared" ca="1" si="26"/>
        <v>352.62585991685143</v>
      </c>
      <c r="BH24">
        <v>2042</v>
      </c>
      <c r="BI24" s="92" cm="1">
        <f t="array" aca="1" ref="BI24" ca="1">INDIRECT("'Demand by State by ST'!I"&amp;MATCH($B$1,'Demand by State by ST'!$E:$E,0)+($B24-2022))</f>
        <v>5520.67499976</v>
      </c>
      <c r="BJ24" s="93" cm="1">
        <f t="array" aca="1" ref="BJ24" ca="1">INDIRECT("'Demand by State by ST'!K"&amp;MATCH($B$1,'Demand by State by ST'!$E:$E,0)+($B24-2022))</f>
        <v>799.61299991999999</v>
      </c>
      <c r="BK24" s="96" cm="1">
        <f t="array" aca="1" ref="BK24" ca="1">INDIRECT("'Gas Flow by State'!I"&amp;MATCH($B$1,'Demand by State by ST'!$E:$E,0)+($B24-2022))</f>
        <v>6320.2880020800003</v>
      </c>
      <c r="BL24" s="118">
        <f t="shared" ca="1" si="27"/>
        <v>3.9368884553694725</v>
      </c>
      <c r="BM24" s="93">
        <f t="shared" ca="1" si="28"/>
        <v>24882268.869998943</v>
      </c>
      <c r="BN24" s="81" cm="1">
        <f t="array" aca="1" ref="BN24" ca="1">INDIRECT("'Compliance Resources by State'!M"&amp;MATCH($B$1,'Demand by State by ST'!$E:$E,0)+($B24-2022))</f>
        <v>624.3545676</v>
      </c>
      <c r="BO24" s="83">
        <f>VLOOKUP(DATE($BH24,1,1),'MC_Allowance Price'!$A:$K,VALUE(RIGHT($B$1,LEN($B$1)-7))+1,FALSE)</f>
        <v>6.1052609366481567</v>
      </c>
      <c r="BP24">
        <v>6.82</v>
      </c>
      <c r="BQ24" s="90">
        <f t="shared" ca="1" si="29"/>
        <v>3811847.552186131</v>
      </c>
      <c r="BR24" s="81" cm="1">
        <f t="array" aca="1" ref="BR24" ca="1">INDIRECT("'Compliance Resources by State'!O"&amp;MATCH($B$1,'Demand by State by ST'!$E:$E,0)+($B24-2022))</f>
        <v>0</v>
      </c>
      <c r="BS24" s="83">
        <f>VLOOKUP(DATE($BH24,1,1),'MC_Supply Price Offsets'!$A:$K,VALUE(RIGHT($B$1,LEN($B$1)-7))+1,FALSE)</f>
        <v>2.714</v>
      </c>
      <c r="BT24" s="90">
        <f t="shared" ca="1" si="30"/>
        <v>0</v>
      </c>
      <c r="BU24" s="81" cm="1">
        <f t="array" aca="1" ref="BU24" ca="1">INDIRECT("'Compliance Resources by State'!P"&amp;MATCH($B$1,'Demand by State by ST'!$E:$E,0)+($B24-2022))</f>
        <v>1063.3282200000001</v>
      </c>
      <c r="BV24" s="82">
        <f t="shared" ca="1" si="31"/>
        <v>0</v>
      </c>
      <c r="BW24" s="83">
        <f t="shared" ca="1" si="32"/>
        <v>11.015000000000001</v>
      </c>
      <c r="BX24" s="82">
        <f t="shared" ca="1" si="33"/>
        <v>0</v>
      </c>
      <c r="BY24" s="84">
        <f ca="1">SUM(BX$4:BX24)</f>
        <v>10746592.872863041</v>
      </c>
      <c r="BZ24" s="81" cm="1">
        <f t="array" aca="1" ref="BZ24" ca="1">INDIRECT("'Compliance Resources by State'!Q"&amp;MATCH($B$1,'Demand by State by ST'!$E:$E,0)+($B24-2022))</f>
        <v>0</v>
      </c>
      <c r="CA24" s="82">
        <f t="shared" ca="1" si="34"/>
        <v>0</v>
      </c>
      <c r="CB24" s="83">
        <f t="shared" ca="1" si="35"/>
        <v>16.015000000000001</v>
      </c>
      <c r="CC24" s="82">
        <f t="shared" ca="1" si="36"/>
        <v>0</v>
      </c>
      <c r="CD24" s="84">
        <f ca="1">SUM(CC$4:CC24)</f>
        <v>0</v>
      </c>
      <c r="CE24" s="81" cm="1">
        <f t="array" aca="1" ref="CE24" ca="1">INDIRECT("'Compliance Resources by State'!N"&amp;MATCH($B$1,'Demand by State by ST'!$E:$E,0)+($B24-2022))</f>
        <v>432.60147480000001</v>
      </c>
      <c r="CF24" s="82">
        <f t="shared" ca="1" si="37"/>
        <v>38.219040000000177</v>
      </c>
      <c r="CG24" s="83">
        <f t="shared" ca="1" si="38"/>
        <v>4.7750000000000004</v>
      </c>
      <c r="CH24" s="82">
        <f t="shared" ca="1" si="39"/>
        <v>66611.00934000031</v>
      </c>
      <c r="CI24" s="84">
        <f ca="1">SUM(CH$4:CH24)</f>
        <v>3386698.1118875998</v>
      </c>
      <c r="CJ24" s="81" cm="1">
        <f t="array" aca="1" ref="CJ24" ca="1">INDIRECT("'Compliance Resources by State'!R"&amp;MATCH($B$1,'Demand by State by ST'!$E:$E,0)+($B24-2022))</f>
        <v>0</v>
      </c>
      <c r="CK24" s="82">
        <f t="shared" ca="1" si="40"/>
        <v>0</v>
      </c>
      <c r="CL24" s="83">
        <f t="shared" ca="1" si="41"/>
        <v>9.8870000000000005</v>
      </c>
      <c r="CM24" s="82">
        <f t="shared" ca="1" si="42"/>
        <v>0</v>
      </c>
      <c r="CN24" s="84">
        <f ca="1">SUM(CM$4:CM24)</f>
        <v>0</v>
      </c>
      <c r="CO24" s="127">
        <f t="shared" ca="1" si="43"/>
        <v>0.16824046943016474</v>
      </c>
      <c r="CP24" s="128">
        <f t="shared" ca="1" si="44"/>
        <v>6.8446481366340087E-2</v>
      </c>
      <c r="CQ24" s="128">
        <f t="shared" ca="1" si="45"/>
        <v>0</v>
      </c>
      <c r="CR24" s="128">
        <f t="shared" ca="1" si="46"/>
        <v>0.23584087465803283</v>
      </c>
      <c r="CS24" s="159">
        <f ca="1">VLOOKUP('Compliance Data'!$B24,'Notes and Scenario Inputs'!$B$57:$C$86,2,FALSE)*BI24</f>
        <v>1490.5822499352</v>
      </c>
      <c r="CT24" s="120">
        <f t="shared" ca="1" si="47"/>
        <v>1495.9296948000001</v>
      </c>
      <c r="CU24" s="83">
        <f ca="1">'Notes and Scenario Inputs'!C78*'Compliance Data'!BI24-'Compliance Data'!CV24</f>
        <v>1466.6915612964096</v>
      </c>
      <c r="CV24" s="90">
        <f t="shared" ca="1" si="48"/>
        <v>23.890688638790401</v>
      </c>
      <c r="CW24" s="104">
        <f>IF(VALUE(RIGHT($B$1,LEN($B$1)-7))=1,0,VLOOKUP($B24,'Load Reductions'!$1:$30,VALUE(RIGHT($B$1,LEN($B$1)-7)+39),FALSE))</f>
        <v>3075.6324031250001</v>
      </c>
      <c r="CX24" s="105">
        <f>IF(VALUE(RIGHT($B$1,LEN($B$1)-7))=1,0,VLOOKUP($B24,'Load Reductions'!$1:$30,VALUE(RIGHT($B$1,LEN($B$1)-7)+48),FALSE))</f>
        <v>1163.72666875</v>
      </c>
      <c r="CY24" s="105">
        <f>IF(VALUE(RIGHT($B$1,LEN($B$1)-7))=1,0,VLOOKUP($B24,'Load Reductions'!$1:$30,VALUE(RIGHT($B$1,LEN($B$1)-7)+57),FALSE))</f>
        <v>355.91253017578123</v>
      </c>
      <c r="CZ24" s="105">
        <f>IF(VALUE(RIGHT($B$1,LEN($B$1)-7))=1,0,VLOOKUP($B24,'Load Reductions'!$1:$30,VALUE(RIGHT($B$1,LEN($B$1)-7)+66),FALSE))</f>
        <v>726.81542695312498</v>
      </c>
      <c r="DA24" s="136">
        <f>IF(AND($B24 = 2022, $B$1&lt;&gt;"Sample 3"), 0, VLOOKUP($B24,'Washington DSM Scenario Costs'!$A$1:$BN$30,RIGHT($B$1,LEN($B$1)-7)+56,FALSE))</f>
        <v>0</v>
      </c>
      <c r="DB24" s="96">
        <f t="shared" ca="1" si="49"/>
        <v>6320.2879996800002</v>
      </c>
      <c r="DC24" s="82">
        <f t="shared" ca="1" si="50"/>
        <v>4200.0037396799999</v>
      </c>
      <c r="DD24" s="82">
        <f t="shared" ca="1" si="51"/>
        <v>4200.0037372799998</v>
      </c>
      <c r="DE24" s="81">
        <f t="shared" ca="1" si="52"/>
        <v>14133290.984750642</v>
      </c>
      <c r="DF24" s="143">
        <f t="shared" ca="1" si="53"/>
        <v>2.2361783174225951</v>
      </c>
      <c r="DG24" s="82">
        <f t="shared" ca="1" si="54"/>
        <v>3811847.552186131</v>
      </c>
      <c r="DH24" s="145">
        <f t="shared" ca="1" si="55"/>
        <v>0.60311295187483971</v>
      </c>
      <c r="DI24" s="82">
        <f t="shared" si="62"/>
        <v>0</v>
      </c>
      <c r="DJ24" s="143">
        <f t="shared" ca="1" si="56"/>
        <v>0</v>
      </c>
      <c r="DK24" s="116">
        <f t="shared" ca="1" si="57"/>
        <v>17945138.536936771</v>
      </c>
      <c r="DL24" s="112">
        <f t="shared" ca="1" si="58"/>
        <v>2.8392912692974344</v>
      </c>
      <c r="DM24" s="102" cm="1">
        <f t="array" aca="1" ref="DM24" ca="1">INDIRECT("'Emissions by State'!I"&amp;MATCH($B$1,'Demand by State by ST'!$E:$E,0)+($B24-2022))</f>
        <v>246501.00000001001</v>
      </c>
      <c r="DN24" s="82">
        <f t="shared" ca="1" si="59"/>
        <v>223622.00968500908</v>
      </c>
      <c r="DO24" s="124"/>
      <c r="DP24" s="58">
        <v>223624.1</v>
      </c>
      <c r="DQ24" s="4">
        <f t="shared" ca="1" si="60"/>
        <v>39.387608848718358</v>
      </c>
    </row>
    <row r="25" spans="1:121" x14ac:dyDescent="0.25">
      <c r="A25">
        <v>365</v>
      </c>
      <c r="B25">
        <v>2043</v>
      </c>
      <c r="C25" s="92" cm="1">
        <f t="array" aca="1" ref="C25" ca="1">INDIRECT("'Demand by State by ST'!H"&amp;MATCH($B$1,'Demand by State by ST'!$E:$E,0)+($B25-2022))</f>
        <v>44174.900999999998</v>
      </c>
      <c r="D25" s="100" cm="1">
        <f t="array" aca="1" ref="D25" ca="1">INDIRECT("'Demand by State by ST'!J"&amp;MATCH($B$1,'Demand by State by ST'!$E:$E,0)+($B25-2022))</f>
        <v>16622.763992880002</v>
      </c>
      <c r="E25" s="96" cm="1">
        <f t="array" aca="1" ref="E25" ca="1">INDIRECT("'Gas Flow by State'!H"&amp;MATCH($B$1,'Demand by State by ST'!$E:$E,0)+($B25-2022))</f>
        <v>60101.694830640001</v>
      </c>
      <c r="F25" s="98">
        <f ca="1">VLOOKUP($B25,'WACOG Calc'!$B$49:$L$78,VALUE(RIGHT($B$1,LEN($B$1)-7))+1,FALSE)</f>
        <v>3.8886971426475867</v>
      </c>
      <c r="G25" s="90">
        <f t="shared" ca="1" si="0"/>
        <v>233717288.95618701</v>
      </c>
      <c r="H25" s="82" cm="1">
        <f t="array" aca="1" ref="H25" ca="1">INDIRECT("'Compliance Resources by State'!H"&amp;MATCH($B$1,'Demand by State by ST'!$E:$E,0)+($B25-2022))</f>
        <v>8284.8160336799992</v>
      </c>
      <c r="I25" s="83" cm="1">
        <f t="array" aca="1" ref="I25" ca="1">INDIRECT("'OR CCI Price'!C"&amp;MATCH($B25,'OR CCI Price'!$A:$A,0))</f>
        <v>6.8479650000000003</v>
      </c>
      <c r="J25" s="90">
        <f t="shared" ca="1" si="1"/>
        <v>56734130.230079457</v>
      </c>
      <c r="K25" s="81" cm="1">
        <f t="array" aca="1" ref="K25" ca="1">INDIRECT("'Compliance Resources by State'!J"&amp;MATCH($B$1,'Demand by State by ST'!$E:$E,0)+($B25-2022))</f>
        <v>7711.4432423999997</v>
      </c>
      <c r="L25" s="82">
        <f t="shared" ca="1" si="2"/>
        <v>0</v>
      </c>
      <c r="M25" s="83" cm="1">
        <f t="array" aca="1" ref="M25" ca="1">INDIRECT("'MC_Supply Price "&amp;K$2&amp;"'!D"&amp;MATCH($B25,'MC_Supply Price RNG Tranche 1'!$A:$A,0)+VALUE(RIGHT($B$1,LEN($B$1)-7))-1)</f>
        <v>10.9</v>
      </c>
      <c r="N25" s="82">
        <f t="shared" ca="1" si="3"/>
        <v>0</v>
      </c>
      <c r="O25" s="90">
        <f ca="1">SUM(N$4:N25)</f>
        <v>80125296.282689035</v>
      </c>
      <c r="P25" s="81" cm="1">
        <f t="array" aca="1" ref="P25" ca="1">INDIRECT("'Compliance Resources by State'!K"&amp;MATCH($B$1,'Demand by State by ST'!$E:$E,0)+($B25-2022))</f>
        <v>0</v>
      </c>
      <c r="Q25" s="82">
        <f t="shared" ca="1" si="4"/>
        <v>0</v>
      </c>
      <c r="R25" s="83" cm="1">
        <f t="array" aca="1" ref="R25" ca="1">INDIRECT("'MC_Supply Price "&amp;P$2&amp;"'!D"&amp;MATCH($B25,'MC_Supply Price RNG Tranche 2'!$A:$A,0)+VALUE(RIGHT($B$1,LEN($B$1)-7))-1)</f>
        <v>15.9</v>
      </c>
      <c r="S25" s="82">
        <f t="shared" ca="1" si="5"/>
        <v>0</v>
      </c>
      <c r="T25" s="84">
        <f ca="1">SUM(S$4:S25)</f>
        <v>0</v>
      </c>
      <c r="U25" s="81" cm="1">
        <f t="array" aca="1" ref="U25" ca="1">INDIRECT("'Compliance Resources by State'!I"&amp;MATCH($B$1,'Demand by State by ST'!$E:$E,0)+($B25-2022))</f>
        <v>9135.5931467999999</v>
      </c>
      <c r="V25" s="82">
        <f t="shared" ca="1" si="6"/>
        <v>0</v>
      </c>
      <c r="W25" s="83" cm="1">
        <f t="array" aca="1" ref="W25" ca="1">INDIRECT("'MC_Supply Price "&amp;U$2&amp;"'!D"&amp;MATCH($B25,'MC_Supply Price Hydrogen'!$A:$A,0)+VALUE(RIGHT($B$1,LEN($B$1)-7))-1)</f>
        <v>4.34</v>
      </c>
      <c r="X25" s="82">
        <f t="shared" ca="1" si="7"/>
        <v>0</v>
      </c>
      <c r="Y25" s="90">
        <f ca="1">SUM(X$4:X25)</f>
        <v>60820072.758455761</v>
      </c>
      <c r="Z25" s="81" cm="1">
        <f t="array" aca="1" ref="Z25" ca="1">INDIRECT("'Compliance Resources by State'!L"&amp;MATCH($B$1,'Demand by State by ST'!$E:$E,0)+($B25-2022))</f>
        <v>1914.6270348</v>
      </c>
      <c r="AA25" s="82">
        <f t="shared" ca="1" si="8"/>
        <v>0</v>
      </c>
      <c r="AB25" s="83" cm="1">
        <f t="array" aca="1" ref="AB25" ca="1">INDIRECT("'MC_Supply Price Synthetic Metha'!D"&amp;MATCH($B25,'MC_Supply Price Synthetic Metha'!$A:$A,0)+VALUE(RIGHT($B$1,LEN($B$1)-7))-1)</f>
        <v>9.3360000000000003</v>
      </c>
      <c r="AC25" s="82">
        <f t="shared" ca="1" si="9"/>
        <v>0</v>
      </c>
      <c r="AD25" s="82">
        <f ca="1">SUM(AC$4:AC25)</f>
        <v>19787806.198674001</v>
      </c>
      <c r="AE25" s="127">
        <f t="shared" ca="1" si="10"/>
        <v>0.15714359078623927</v>
      </c>
      <c r="AF25" s="128">
        <f t="shared" ca="1" si="11"/>
        <v>0.15026223700975797</v>
      </c>
      <c r="AG25" s="128">
        <f t="shared" ca="1" si="12"/>
        <v>3.1491785663548454E-2</v>
      </c>
      <c r="AH25" s="82">
        <f t="shared" ca="1" si="13"/>
        <v>18761.663423999998</v>
      </c>
      <c r="AI25" s="156">
        <f t="shared" ca="1" si="14"/>
        <v>0.2034448573222101</v>
      </c>
      <c r="AJ25" s="90">
        <f ca="1">VLOOKUP('Compliance Data'!$B25,'Notes and Scenario Inputs'!$B$57:$C$86,2,FALSE)*'Compliance Data'!C25</f>
        <v>12368.97228</v>
      </c>
      <c r="AK25" s="105">
        <f>IF(VALUE(RIGHT($B$1,LEN($B$1)-7))=1,0,VLOOKUP($B25,'Load Reductions'!$1:$30,VALUE(RIGHT($B$1,LEN($B$1)-7)),FALSE))</f>
        <v>15107.5089390625</v>
      </c>
      <c r="AL25" s="105">
        <f>IF(VALUE(RIGHT($B$1,LEN($B$1)-7))=1,0,VLOOKUP($B25,'Load Reductions'!$1:$30,VALUE(RIGHT($B$1,LEN($B$1)-7)+9),FALSE))</f>
        <v>10843.086297656249</v>
      </c>
      <c r="AM25" s="155">
        <f>IF(VALUE(RIGHT($B$1,LEN($B$1)-7))=1,0,VLOOKUP($B25,'Load Reductions'!$1:$30,VALUE(RIGHT($B$1,LEN($B$1)-7)+18),FALSE))</f>
        <v>7217.6087296875003</v>
      </c>
      <c r="AN25" s="105">
        <f>IF(VALUE(RIGHT($B$1,LEN($B$1)-7))=1,0,VLOOKUP($B25,'Load Reductions'!$1:$30,VALUE(RIGHT($B$1,LEN($B$1)-7)+27),FALSE))</f>
        <v>15412.21583125</v>
      </c>
      <c r="AO25" s="135">
        <f>VLOOKUP($B25,'Oregon DSM Scenario Costs'!$A$1:$BN$30,RIGHT($B$1,LEN($B$1)-7)+56,FALSE)</f>
        <v>0</v>
      </c>
      <c r="AP25" s="96">
        <f t="shared" ca="1" si="15"/>
        <v>60797.664992880003</v>
      </c>
      <c r="AQ25" s="105">
        <f>'Fixed Contracts'!C25</f>
        <v>768.99997000000008</v>
      </c>
      <c r="AR25" s="82">
        <f>'Fixed Contracts'!B25</f>
        <v>1842.5201459999998</v>
      </c>
      <c r="AS25" s="82">
        <f t="shared" ca="1" si="61"/>
        <v>49247.101827760001</v>
      </c>
      <c r="AT25" s="82">
        <f t="shared" ca="1" si="16"/>
        <v>31908.665389200007</v>
      </c>
      <c r="AU25" s="113">
        <f t="shared" ca="1" si="17"/>
        <v>160733175.23981881</v>
      </c>
      <c r="AV25" s="139">
        <f t="shared" ca="1" si="18"/>
        <v>2.6437392827280823</v>
      </c>
      <c r="AW25" s="116">
        <f t="shared" ca="1" si="19"/>
        <v>56734130.230079457</v>
      </c>
      <c r="AX25" s="139">
        <f t="shared" ca="1" si="20"/>
        <v>0.93316297980726026</v>
      </c>
      <c r="AY25" s="116">
        <f t="shared" si="21"/>
        <v>0</v>
      </c>
      <c r="AZ25" s="141">
        <f t="shared" ca="1" si="22"/>
        <v>0</v>
      </c>
      <c r="BA25" s="116">
        <f t="shared" ca="1" si="23"/>
        <v>217467305.46989828</v>
      </c>
      <c r="BB25" s="112">
        <f t="shared" ca="1" si="24"/>
        <v>3.5769022625353428</v>
      </c>
      <c r="BC25" s="102" cm="1">
        <f t="array" aca="1" ref="BC25" ca="1">INDIRECT("'Emissions by State'!H"&amp;MATCH($B$1,'Demand by State by ST'!$E:$E,0)+($B25-2022))</f>
        <v>1874360.00000001</v>
      </c>
      <c r="BD25" s="82">
        <f t="shared" ca="1" si="25"/>
        <v>1700391.2766000091</v>
      </c>
      <c r="BE25" s="82"/>
      <c r="BF25" s="90">
        <v>1700408.3399999999</v>
      </c>
      <c r="BG25" s="4">
        <f t="shared" ca="1" si="26"/>
        <v>321.52404177513199</v>
      </c>
      <c r="BH25">
        <v>2043</v>
      </c>
      <c r="BI25" s="92" cm="1">
        <f t="array" aca="1" ref="BI25" ca="1">INDIRECT("'Demand by State by ST'!I"&amp;MATCH($B$1,'Demand by State by ST'!$E:$E,0)+($B25-2022))</f>
        <v>5342.6060013599999</v>
      </c>
      <c r="BJ25" s="93" cm="1">
        <f t="array" aca="1" ref="BJ25" ca="1">INDIRECT("'Demand by State by ST'!K"&amp;MATCH($B$1,'Demand by State by ST'!$E:$E,0)+($B25-2022))</f>
        <v>761.73199727999997</v>
      </c>
      <c r="BK25" s="96" cm="1">
        <f t="array" aca="1" ref="BK25" ca="1">INDIRECT("'Gas Flow by State'!I"&amp;MATCH($B$1,'Demand by State by ST'!$E:$E,0)+($B25-2022))</f>
        <v>6104.3379986399996</v>
      </c>
      <c r="BL25" s="118">
        <f t="shared" ca="1" si="27"/>
        <v>3.8886971426475867</v>
      </c>
      <c r="BM25" s="93">
        <f t="shared" ca="1" si="28"/>
        <v>23737921.733066455</v>
      </c>
      <c r="BN25" s="81" cm="1">
        <f t="array" aca="1" ref="BN25" ca="1">INDIRECT("'Compliance Resources by State'!M"&amp;MATCH($B$1,'Demand by State by ST'!$E:$E,0)+($B25-2022))</f>
        <v>0</v>
      </c>
      <c r="BO25" s="83">
        <f>VLOOKUP(DATE($BH25,1,1),'MC_Allowance Price'!$A:$K,VALUE(RIGHT($B$1,LEN($B$1)-7))+1,FALSE)</f>
        <v>6.2788338222861402</v>
      </c>
      <c r="BP25">
        <v>6.9</v>
      </c>
      <c r="BQ25" s="90">
        <f t="shared" ca="1" si="29"/>
        <v>0</v>
      </c>
      <c r="BR25" s="81" cm="1">
        <f t="array" aca="1" ref="BR25" ca="1">INDIRECT("'Compliance Resources by State'!O"&amp;MATCH($B$1,'Demand by State by ST'!$E:$E,0)+($B25-2022))</f>
        <v>517.49241624000001</v>
      </c>
      <c r="BS25" s="83">
        <f>VLOOKUP(DATE($BH25,1,1),'MC_Supply Price Offsets'!$A:$K,VALUE(RIGHT($B$1,LEN($B$1)-7))+1,FALSE)</f>
        <v>2.9279999999999999</v>
      </c>
      <c r="BT25" s="90">
        <f t="shared" ca="1" si="30"/>
        <v>1515217.79475072</v>
      </c>
      <c r="BU25" s="81" cm="1">
        <f t="array" aca="1" ref="BU25" ca="1">INDIRECT("'Compliance Resources by State'!P"&amp;MATCH($B$1,'Demand by State by ST'!$E:$E,0)+($B25-2022))</f>
        <v>1063.3282200000001</v>
      </c>
      <c r="BV25" s="82">
        <f t="shared" ca="1" si="31"/>
        <v>0</v>
      </c>
      <c r="BW25" s="83">
        <f t="shared" ca="1" si="32"/>
        <v>10.9</v>
      </c>
      <c r="BX25" s="82">
        <f t="shared" ca="1" si="33"/>
        <v>0</v>
      </c>
      <c r="BY25" s="84">
        <f ca="1">SUM(BX$4:BX25)</f>
        <v>10746592.872863041</v>
      </c>
      <c r="BZ25" s="81" cm="1">
        <f t="array" aca="1" ref="BZ25" ca="1">INDIRECT("'Compliance Resources by State'!Q"&amp;MATCH($B$1,'Demand by State by ST'!$E:$E,0)+($B25-2022))</f>
        <v>0</v>
      </c>
      <c r="CA25" s="82">
        <f t="shared" ca="1" si="34"/>
        <v>0</v>
      </c>
      <c r="CB25" s="83">
        <f t="shared" ca="1" si="35"/>
        <v>15.9</v>
      </c>
      <c r="CC25" s="82">
        <f t="shared" ca="1" si="36"/>
        <v>0</v>
      </c>
      <c r="CD25" s="84">
        <f ca="1">SUM(CC$4:CC25)</f>
        <v>0</v>
      </c>
      <c r="CE25" s="81" cm="1">
        <f t="array" aca="1" ref="CE25" ca="1">INDIRECT("'Compliance Resources by State'!N"&amp;MATCH($B$1,'Demand by State by ST'!$E:$E,0)+($B25-2022))</f>
        <v>432.60147480000001</v>
      </c>
      <c r="CF25" s="82">
        <f t="shared" ca="1" si="37"/>
        <v>0</v>
      </c>
      <c r="CG25" s="83">
        <f t="shared" ca="1" si="38"/>
        <v>4.34</v>
      </c>
      <c r="CH25" s="82">
        <f t="shared" ca="1" si="39"/>
        <v>0</v>
      </c>
      <c r="CI25" s="84">
        <f ca="1">SUM(CH$4:CH25)</f>
        <v>3386698.1118875998</v>
      </c>
      <c r="CJ25" s="81" cm="1">
        <f t="array" aca="1" ref="CJ25" ca="1">INDIRECT("'Compliance Resources by State'!R"&amp;MATCH($B$1,'Demand by State by ST'!$E:$E,0)+($B25-2022))</f>
        <v>0</v>
      </c>
      <c r="CK25" s="82">
        <f t="shared" ca="1" si="40"/>
        <v>0</v>
      </c>
      <c r="CL25" s="83">
        <f t="shared" ca="1" si="41"/>
        <v>9.3360000000000003</v>
      </c>
      <c r="CM25" s="82">
        <f t="shared" ca="1" si="42"/>
        <v>0</v>
      </c>
      <c r="CN25" s="84">
        <f ca="1">SUM(CM$4:CM25)</f>
        <v>0</v>
      </c>
      <c r="CO25" s="127">
        <f t="shared" ca="1" si="43"/>
        <v>0.17419222530549613</v>
      </c>
      <c r="CP25" s="128">
        <f t="shared" ca="1" si="44"/>
        <v>7.0867877056673523E-2</v>
      </c>
      <c r="CQ25" s="128">
        <f t="shared" ca="1" si="45"/>
        <v>0</v>
      </c>
      <c r="CR25" s="128">
        <f t="shared" ca="1" si="46"/>
        <v>0.24506010000004619</v>
      </c>
      <c r="CS25" s="159">
        <f ca="1">VLOOKUP('Compliance Data'!$B25,'Notes and Scenario Inputs'!$B$57:$C$86,2,FALSE)*BI25</f>
        <v>1495.9296803808002</v>
      </c>
      <c r="CT25" s="120">
        <f t="shared" ca="1" si="47"/>
        <v>1495.9296948000001</v>
      </c>
      <c r="CU25" s="83">
        <f ca="1">'Notes and Scenario Inputs'!C79*'Compliance Data'!BI25-'Compliance Data'!CV25</f>
        <v>1472.8552827459409</v>
      </c>
      <c r="CV25" s="90">
        <f t="shared" ca="1" si="48"/>
        <v>23.074397634859199</v>
      </c>
      <c r="CW25" s="104">
        <f>IF(VALUE(RIGHT($B$1,LEN($B$1)-7))=1,0,VLOOKUP($B25,'Load Reductions'!$1:$30,VALUE(RIGHT($B$1,LEN($B$1)-7)+39),FALSE))</f>
        <v>3239.2845644531253</v>
      </c>
      <c r="CX25" s="105">
        <f>IF(VALUE(RIGHT($B$1,LEN($B$1)-7))=1,0,VLOOKUP($B25,'Load Reductions'!$1:$30,VALUE(RIGHT($B$1,LEN($B$1)-7)+48),FALSE))</f>
        <v>1226.1646844726563</v>
      </c>
      <c r="CY25" s="105">
        <f>IF(VALUE(RIGHT($B$1,LEN($B$1)-7))=1,0,VLOOKUP($B25,'Load Reductions'!$1:$30,VALUE(RIGHT($B$1,LEN($B$1)-7)+57),FALSE))</f>
        <v>371.53309487304688</v>
      </c>
      <c r="CZ25" s="105">
        <f>IF(VALUE(RIGHT($B$1,LEN($B$1)-7))=1,0,VLOOKUP($B25,'Load Reductions'!$1:$30,VALUE(RIGHT($B$1,LEN($B$1)-7)+66),FALSE))</f>
        <v>754.62291464843747</v>
      </c>
      <c r="DA25" s="136">
        <f>IF(AND($B25 = 2022, $B$1&lt;&gt;"Sample 3"), 0, VLOOKUP($B25,'Washington DSM Scenario Costs'!$A$1:$BN$30,RIGHT($B$1,LEN($B$1)-7)+56,FALSE))</f>
        <v>0</v>
      </c>
      <c r="DB25" s="96">
        <f t="shared" ca="1" si="49"/>
        <v>6104.3379986399996</v>
      </c>
      <c r="DC25" s="82">
        <f t="shared" ca="1" si="50"/>
        <v>4090.9158875999992</v>
      </c>
      <c r="DD25" s="82">
        <f t="shared" ca="1" si="51"/>
        <v>4090.9158875999992</v>
      </c>
      <c r="DE25" s="81">
        <f t="shared" ca="1" si="52"/>
        <v>14133290.984750642</v>
      </c>
      <c r="DF25" s="143">
        <f t="shared" ca="1" si="53"/>
        <v>2.3152864385785046</v>
      </c>
      <c r="DG25" s="82">
        <f t="shared" ca="1" si="54"/>
        <v>1515217.79475072</v>
      </c>
      <c r="DH25" s="145">
        <f t="shared" ca="1" si="55"/>
        <v>0.24821983892246777</v>
      </c>
      <c r="DI25" s="82">
        <f t="shared" si="62"/>
        <v>0</v>
      </c>
      <c r="DJ25" s="143">
        <f t="shared" ca="1" si="56"/>
        <v>0</v>
      </c>
      <c r="DK25" s="116">
        <f t="shared" ca="1" si="57"/>
        <v>15648508.779501362</v>
      </c>
      <c r="DL25" s="112">
        <f t="shared" ca="1" si="58"/>
        <v>2.5635062775009723</v>
      </c>
      <c r="DM25" s="102" cm="1">
        <f t="array" aca="1" ref="DM25" ca="1">INDIRECT("'Emissions by State'!I"&amp;MATCH($B$1,'Demand by State by ST'!$E:$E,0)+($B25-2022))</f>
        <v>240092.00000001001</v>
      </c>
      <c r="DN25" s="82">
        <f t="shared" ca="1" si="59"/>
        <v>217807.86102000909</v>
      </c>
      <c r="DO25" s="124"/>
      <c r="DP25" s="58">
        <v>217809.9</v>
      </c>
      <c r="DQ25" s="4">
        <f t="shared" ca="1" si="60"/>
        <v>38.420308269603993</v>
      </c>
    </row>
    <row r="26" spans="1:121" x14ac:dyDescent="0.25">
      <c r="A26">
        <v>366</v>
      </c>
      <c r="B26">
        <v>2044</v>
      </c>
      <c r="C26" s="92" cm="1">
        <f t="array" aca="1" ref="C26" ca="1">INDIRECT("'Demand by State by ST'!H"&amp;MATCH($B$1,'Demand by State by ST'!$E:$E,0)+($B26-2022))</f>
        <v>42989.126000880002</v>
      </c>
      <c r="D26" s="100" cm="1">
        <f t="array" aca="1" ref="D26" ca="1">INDIRECT("'Demand by State by ST'!J"&amp;MATCH($B$1,'Demand by State by ST'!$E:$E,0)+($B26-2022))</f>
        <v>15971.76999768</v>
      </c>
      <c r="E26" s="96" cm="1">
        <f t="array" aca="1" ref="E26" ca="1">INDIRECT("'Gas Flow by State'!H"&amp;MATCH($B$1,'Demand by State by ST'!$E:$E,0)+($B26-2022))</f>
        <v>58288.602707279999</v>
      </c>
      <c r="F26" s="98">
        <f ca="1">VLOOKUP($B26,'WACOG Calc'!$B$49:$L$78,VALUE(RIGHT($B$1,LEN($B$1)-7))+1,FALSE)</f>
        <v>4.0812959528142665</v>
      </c>
      <c r="G26" s="90">
        <f t="shared" ca="1" si="0"/>
        <v>237893038.32442054</v>
      </c>
      <c r="H26" s="82" cm="1">
        <f t="array" aca="1" ref="H26" ca="1">INDIRECT("'Compliance Resources by State'!H"&amp;MATCH($B$1,'Demand by State by ST'!$E:$E,0)+($B26-2022))</f>
        <v>4332.3026387999998</v>
      </c>
      <c r="I26" s="83" cm="1">
        <f t="array" aca="1" ref="I26" ca="1">INDIRECT("'OR CCI Price'!C"&amp;MATCH($B26,'OR CCI Price'!$A:$A,0))</f>
        <v>6.9010499999999997</v>
      </c>
      <c r="J26" s="90">
        <f t="shared" ca="1" si="1"/>
        <v>29897437.12549074</v>
      </c>
      <c r="K26" s="81" cm="1">
        <f t="array" aca="1" ref="K26" ca="1">INDIRECT("'Compliance Resources by State'!J"&amp;MATCH($B$1,'Demand by State by ST'!$E:$E,0)+($B26-2022))</f>
        <v>7732.57048416</v>
      </c>
      <c r="L26" s="82">
        <f t="shared" ca="1" si="2"/>
        <v>-3.637978807091713E-12</v>
      </c>
      <c r="M26" s="83" cm="1">
        <f t="array" aca="1" ref="M26" ca="1">INDIRECT("'MC_Supply Price "&amp;K$2&amp;"'!D"&amp;MATCH($B26,'MC_Supply Price RNG Tranche 1'!$A:$A,0)+VALUE(RIGHT($B$1,LEN($B$1)-7))-1)</f>
        <v>10.872999999999999</v>
      </c>
      <c r="N26" s="82">
        <f t="shared" ca="1" si="3"/>
        <v>-1.4477402146439998E-8</v>
      </c>
      <c r="O26" s="90">
        <f ca="1">SUM(N$4:N26)</f>
        <v>80125296.28268902</v>
      </c>
      <c r="P26" s="81" cm="1">
        <f t="array" aca="1" ref="P26" ca="1">INDIRECT("'Compliance Resources by State'!K"&amp;MATCH($B$1,'Demand by State by ST'!$E:$E,0)+($B26-2022))</f>
        <v>0</v>
      </c>
      <c r="Q26" s="82">
        <f t="shared" ca="1" si="4"/>
        <v>0</v>
      </c>
      <c r="R26" s="83" cm="1">
        <f t="array" aca="1" ref="R26" ca="1">INDIRECT("'MC_Supply Price "&amp;P$2&amp;"'!D"&amp;MATCH($B26,'MC_Supply Price RNG Tranche 2'!$A:$A,0)+VALUE(RIGHT($B$1,LEN($B$1)-7))-1)</f>
        <v>15.872999999999999</v>
      </c>
      <c r="S26" s="82">
        <f t="shared" ca="1" si="5"/>
        <v>0</v>
      </c>
      <c r="T26" s="84">
        <f ca="1">SUM(S$4:S26)</f>
        <v>0</v>
      </c>
      <c r="U26" s="81" cm="1">
        <f t="array" aca="1" ref="U26" ca="1">INDIRECT("'Compliance Resources by State'!I"&amp;MATCH($B$1,'Demand by State by ST'!$E:$E,0)+($B26-2022))</f>
        <v>9160.6221691200008</v>
      </c>
      <c r="V26" s="82">
        <f t="shared" ca="1" si="6"/>
        <v>0</v>
      </c>
      <c r="W26" s="83" cm="1">
        <f t="array" aca="1" ref="W26" ca="1">INDIRECT("'MC_Supply Price "&amp;U$2&amp;"'!D"&amp;MATCH($B26,'MC_Supply Price Hydrogen'!$A:$A,0)+VALUE(RIGHT($B$1,LEN($B$1)-7))-1)</f>
        <v>3.9830000000000001</v>
      </c>
      <c r="X26" s="82">
        <f t="shared" ca="1" si="7"/>
        <v>0</v>
      </c>
      <c r="Y26" s="90">
        <f ca="1">SUM(X$4:X26)</f>
        <v>60820072.758455761</v>
      </c>
      <c r="Z26" s="81" cm="1">
        <f t="array" aca="1" ref="Z26" ca="1">INDIRECT("'Compliance Resources by State'!L"&amp;MATCH($B$1,'Demand by State by ST'!$E:$E,0)+($B26-2022))</f>
        <v>6955.6848004800004</v>
      </c>
      <c r="AA26" s="82">
        <f t="shared" ca="1" si="8"/>
        <v>13759.049760000002</v>
      </c>
      <c r="AB26" s="83" cm="1">
        <f t="array" aca="1" ref="AB26" ca="1">INDIRECT("'MC_Supply Price Synthetic Metha'!D"&amp;MATCH($B26,'MC_Supply Price Synthetic Metha'!$A:$A,0)+VALUE(RIGHT($B$1,LEN($B$1)-7))-1)</f>
        <v>8.8710000000000004</v>
      </c>
      <c r="AC26" s="82">
        <f t="shared" ca="1" si="9"/>
        <v>44672690.134071365</v>
      </c>
      <c r="AD26" s="82">
        <f ca="1">SUM(AC$4:AC26)</f>
        <v>64460496.332745366</v>
      </c>
      <c r="AE26" s="127">
        <f t="shared" ca="1" si="10"/>
        <v>0.16248292140597687</v>
      </c>
      <c r="AF26" s="128">
        <f t="shared" ca="1" si="11"/>
        <v>0.15536775712064704</v>
      </c>
      <c r="AG26" s="128">
        <f t="shared" ca="1" si="12"/>
        <v>0.11797115160274835</v>
      </c>
      <c r="AH26" s="82">
        <f t="shared" ca="1" si="13"/>
        <v>23848.877453760004</v>
      </c>
      <c r="AI26" s="156">
        <f t="shared" ca="1" si="14"/>
        <v>0.2114426236086995</v>
      </c>
      <c r="AJ26" s="90">
        <f ca="1">VLOOKUP('Compliance Data'!$B26,'Notes and Scenario Inputs'!$B$57:$C$86,2,FALSE)*'Compliance Data'!C26</f>
        <v>12466.846540255199</v>
      </c>
      <c r="AK26" s="105">
        <f>IF(VALUE(RIGHT($B$1,LEN($B$1)-7))=1,0,VLOOKUP($B26,'Load Reductions'!$1:$30,VALUE(RIGHT($B$1,LEN($B$1)-7)),FALSE))</f>
        <v>15902.79281640625</v>
      </c>
      <c r="AL26" s="105">
        <f>IF(VALUE(RIGHT($B$1,LEN($B$1)-7))=1,0,VLOOKUP($B26,'Load Reductions'!$1:$30,VALUE(RIGHT($B$1,LEN($B$1)-7)+9),FALSE))</f>
        <v>11413.145107031251</v>
      </c>
      <c r="AM26" s="155">
        <f>IF(VALUE(RIGHT($B$1,LEN($B$1)-7))=1,0,VLOOKUP($B26,'Load Reductions'!$1:$30,VALUE(RIGHT($B$1,LEN($B$1)-7)+18),FALSE))</f>
        <v>7654.2968828125004</v>
      </c>
      <c r="AN26" s="105">
        <f>IF(VALUE(RIGHT($B$1,LEN($B$1)-7))=1,0,VLOOKUP($B26,'Load Reductions'!$1:$30,VALUE(RIGHT($B$1,LEN($B$1)-7)+27),FALSE))</f>
        <v>16084.766799999999</v>
      </c>
      <c r="AO26" s="135">
        <f>VLOOKUP($B26,'Oregon DSM Scenario Costs'!$A$1:$BN$30,RIGHT($B$1,LEN($B$1)-7)+56,FALSE)</f>
        <v>0</v>
      </c>
      <c r="AP26" s="96">
        <f t="shared" ca="1" si="15"/>
        <v>58960.895998560001</v>
      </c>
      <c r="AQ26" s="105">
        <f>'Fixed Contracts'!C26</f>
        <v>770.99996999999996</v>
      </c>
      <c r="AR26" s="82">
        <f>'Fixed Contracts'!B26</f>
        <v>1847.5681464000002</v>
      </c>
      <c r="AS26" s="82">
        <f t="shared" ca="1" si="61"/>
        <v>46343.563553039989</v>
      </c>
      <c r="AT26" s="82">
        <f t="shared" ca="1" si="16"/>
        <v>28932.147759599993</v>
      </c>
      <c r="AU26" s="113">
        <f t="shared" ca="1" si="17"/>
        <v>205405865.37389016</v>
      </c>
      <c r="AV26" s="139">
        <f t="shared" ca="1" si="18"/>
        <v>3.4837643135359877</v>
      </c>
      <c r="AW26" s="116">
        <f t="shared" ca="1" si="19"/>
        <v>29897437.12549074</v>
      </c>
      <c r="AX26" s="139">
        <f t="shared" ca="1" si="20"/>
        <v>0.50707229968521716</v>
      </c>
      <c r="AY26" s="116">
        <f t="shared" si="21"/>
        <v>0</v>
      </c>
      <c r="AZ26" s="141">
        <f t="shared" ca="1" si="22"/>
        <v>0</v>
      </c>
      <c r="BA26" s="116">
        <f t="shared" ca="1" si="23"/>
        <v>235303302.49938089</v>
      </c>
      <c r="BB26" s="112">
        <f t="shared" ca="1" si="24"/>
        <v>3.9908366132212048</v>
      </c>
      <c r="BC26" s="102" cm="1">
        <f t="array" aca="1" ref="BC26" ca="1">INDIRECT("'Emissions by State'!H"&amp;MATCH($B$1,'Demand by State by ST'!$E:$E,0)+($B26-2022))</f>
        <v>1700001</v>
      </c>
      <c r="BD26" s="82">
        <f t="shared" ca="1" si="25"/>
        <v>1542215.4071850001</v>
      </c>
      <c r="BE26" s="82"/>
      <c r="BF26" s="90">
        <v>1542230.8199999998</v>
      </c>
      <c r="BG26" s="4">
        <f t="shared" ca="1" si="26"/>
        <v>290.42222397122742</v>
      </c>
      <c r="BH26">
        <v>2044</v>
      </c>
      <c r="BI26" s="92" cm="1">
        <f t="array" aca="1" ref="BI26" ca="1">INDIRECT("'Demand by State by ST'!I"&amp;MATCH($B$1,'Demand by State by ST'!$E:$E,0)+($B26-2022))</f>
        <v>5197.6519984799997</v>
      </c>
      <c r="BJ26" s="93" cm="1">
        <f t="array" aca="1" ref="BJ26" ca="1">INDIRECT("'Demand by State by ST'!K"&amp;MATCH($B$1,'Demand by State by ST'!$E:$E,0)+($B26-2022))</f>
        <v>729.16900487999999</v>
      </c>
      <c r="BK26" s="96" cm="1">
        <f t="array" aca="1" ref="BK26" ca="1">INDIRECT("'Gas Flow by State'!I"&amp;MATCH($B$1,'Demand by State by ST'!$E:$E,0)+($B26-2022))</f>
        <v>5926.8209973599996</v>
      </c>
      <c r="BL26" s="118">
        <f t="shared" ca="1" si="27"/>
        <v>4.0812959528142665</v>
      </c>
      <c r="BM26" s="93">
        <f t="shared" ca="1" si="28"/>
        <v>24189110.549579982</v>
      </c>
      <c r="BN26" s="81" cm="1">
        <f t="array" aca="1" ref="BN26" ca="1">INDIRECT("'Compliance Resources by State'!M"&amp;MATCH($B$1,'Demand by State by ST'!$E:$E,0)+($B26-2022))</f>
        <v>0</v>
      </c>
      <c r="BO26" s="83">
        <f>VLOOKUP(DATE($BH26,1,1),'MC_Allowance Price'!$A:$K,VALUE(RIGHT($B$1,LEN($B$1)-7))+1,FALSE)</f>
        <v>6.4570478846612929</v>
      </c>
      <c r="BP26">
        <v>6.98</v>
      </c>
      <c r="BQ26" s="90">
        <f t="shared" ca="1" si="29"/>
        <v>0</v>
      </c>
      <c r="BR26" s="81" cm="1">
        <f t="array" aca="1" ref="BR26" ca="1">INDIRECT("'Compliance Resources by State'!O"&amp;MATCH($B$1,'Demand by State by ST'!$E:$E,0)+($B26-2022))</f>
        <v>420.44023872000002</v>
      </c>
      <c r="BS26" s="83">
        <f>VLOOKUP(DATE($BH26,1,1),'MC_Supply Price Offsets'!$A:$K,VALUE(RIGHT($B$1,LEN($B$1)-7))+1,FALSE)</f>
        <v>3.181</v>
      </c>
      <c r="BT26" s="90">
        <f t="shared" ca="1" si="30"/>
        <v>1337420.3993683201</v>
      </c>
      <c r="BU26" s="81" cm="1">
        <f t="array" aca="1" ref="BU26" ca="1">INDIRECT("'Compliance Resources by State'!P"&amp;MATCH($B$1,'Demand by State by ST'!$E:$E,0)+($B26-2022))</f>
        <v>1066.241448</v>
      </c>
      <c r="BV26" s="82">
        <f t="shared" ca="1" si="31"/>
        <v>-4.5474735088646412E-13</v>
      </c>
      <c r="BW26" s="83">
        <f t="shared" ca="1" si="32"/>
        <v>10.872999999999999</v>
      </c>
      <c r="BX26" s="82">
        <f t="shared" ca="1" si="33"/>
        <v>-1.8096752683049997E-9</v>
      </c>
      <c r="BY26" s="84">
        <f ca="1">SUM(BX$4:BX26)</f>
        <v>10746592.872863039</v>
      </c>
      <c r="BZ26" s="81" cm="1">
        <f t="array" aca="1" ref="BZ26" ca="1">INDIRECT("'Compliance Resources by State'!Q"&amp;MATCH($B$1,'Demand by State by ST'!$E:$E,0)+($B26-2022))</f>
        <v>0</v>
      </c>
      <c r="CA26" s="82">
        <f t="shared" ca="1" si="34"/>
        <v>0</v>
      </c>
      <c r="CB26" s="83">
        <f t="shared" ca="1" si="35"/>
        <v>15.872999999999999</v>
      </c>
      <c r="CC26" s="82">
        <f t="shared" ca="1" si="36"/>
        <v>0</v>
      </c>
      <c r="CD26" s="84">
        <f ca="1">SUM(CC$4:CC26)</f>
        <v>0</v>
      </c>
      <c r="CE26" s="81" cm="1">
        <f t="array" aca="1" ref="CE26" ca="1">INDIRECT("'Compliance Resources by State'!N"&amp;MATCH($B$1,'Demand by State by ST'!$E:$E,0)+($B26-2022))</f>
        <v>455.55694992000002</v>
      </c>
      <c r="CF26" s="82">
        <f t="shared" ca="1" si="37"/>
        <v>59.481600000000071</v>
      </c>
      <c r="CG26" s="83">
        <f t="shared" ca="1" si="38"/>
        <v>3.9830000000000001</v>
      </c>
      <c r="CH26" s="82">
        <f t="shared" ca="1" si="39"/>
        <v>86710.967884800106</v>
      </c>
      <c r="CI26" s="84">
        <f ca="1">SUM(CH$4:CH26)</f>
        <v>3473409.0797723997</v>
      </c>
      <c r="CJ26" s="81" cm="1">
        <f t="array" aca="1" ref="CJ26" ca="1">INDIRECT("'Compliance Resources by State'!R"&amp;MATCH($B$1,'Demand by State by ST'!$E:$E,0)+($B26-2022))</f>
        <v>0</v>
      </c>
      <c r="CK26" s="82">
        <f t="shared" ca="1" si="40"/>
        <v>0</v>
      </c>
      <c r="CL26" s="83">
        <f t="shared" ca="1" si="41"/>
        <v>8.8710000000000004</v>
      </c>
      <c r="CM26" s="82">
        <f t="shared" ca="1" si="42"/>
        <v>0</v>
      </c>
      <c r="CN26" s="84">
        <f ca="1">SUM(CM$4:CM26)</f>
        <v>0</v>
      </c>
      <c r="CO26" s="127">
        <f t="shared" ca="1" si="43"/>
        <v>0.17990107131555558</v>
      </c>
      <c r="CP26" s="128">
        <f t="shared" ca="1" si="44"/>
        <v>7.6863625485186451E-2</v>
      </c>
      <c r="CQ26" s="128">
        <f t="shared" ca="1" si="45"/>
        <v>0</v>
      </c>
      <c r="CR26" s="128">
        <f t="shared" ca="1" si="46"/>
        <v>0.25432168083103557</v>
      </c>
      <c r="CS26" s="159">
        <f ca="1">VLOOKUP('Compliance Data'!$B26,'Notes and Scenario Inputs'!$B$57:$C$86,2,FALSE)*BI26</f>
        <v>1507.3190795591997</v>
      </c>
      <c r="CT26" s="120">
        <f t="shared" ca="1" si="47"/>
        <v>1521.7983979200001</v>
      </c>
      <c r="CU26" s="83">
        <f ca="1">'Notes and Scenario Inputs'!C80*'Compliance Data'!BI26-'Compliance Data'!CV26</f>
        <v>1484.9156961664989</v>
      </c>
      <c r="CV26" s="90">
        <f t="shared" ca="1" si="48"/>
        <v>22.4033833927008</v>
      </c>
      <c r="CW26" s="104">
        <f>IF(VALUE(RIGHT($B$1,LEN($B$1)-7))=1,0,VLOOKUP($B26,'Load Reductions'!$1:$30,VALUE(RIGHT($B$1,LEN($B$1)-7)+39),FALSE))</f>
        <v>3423.11193046875</v>
      </c>
      <c r="CX26" s="105">
        <f>IF(VALUE(RIGHT($B$1,LEN($B$1)-7))=1,0,VLOOKUP($B26,'Load Reductions'!$1:$30,VALUE(RIGHT($B$1,LEN($B$1)-7)+48),FALSE))</f>
        <v>1294.6725038085938</v>
      </c>
      <c r="CY26" s="105">
        <f>IF(VALUE(RIGHT($B$1,LEN($B$1)-7))=1,0,VLOOKUP($B26,'Load Reductions'!$1:$30,VALUE(RIGHT($B$1,LEN($B$1)-7)+57),FALSE))</f>
        <v>390.18334072265623</v>
      </c>
      <c r="CZ26" s="105">
        <f>IF(VALUE(RIGHT($B$1,LEN($B$1)-7))=1,0,VLOOKUP($B26,'Load Reductions'!$1:$30,VALUE(RIGHT($B$1,LEN($B$1)-7)+66),FALSE))</f>
        <v>786.57051328124999</v>
      </c>
      <c r="DA26" s="136">
        <f>IF(AND($B26 = 2022, $B$1&lt;&gt;"Sample 3"), 0, VLOOKUP($B26,'Washington DSM Scenario Costs'!$A$1:$BN$30,RIGHT($B$1,LEN($B$1)-7)+56,FALSE))</f>
        <v>0</v>
      </c>
      <c r="DB26" s="96">
        <f t="shared" ca="1" si="49"/>
        <v>5926.8210033599998</v>
      </c>
      <c r="DC26" s="82">
        <f t="shared" ca="1" si="50"/>
        <v>3984.58236072</v>
      </c>
      <c r="DD26" s="82">
        <f t="shared" ca="1" si="51"/>
        <v>3984.5823667200002</v>
      </c>
      <c r="DE26" s="81">
        <f t="shared" ca="1" si="52"/>
        <v>14220001.952635439</v>
      </c>
      <c r="DF26" s="143">
        <f t="shared" ca="1" si="53"/>
        <v>2.3992629344759893</v>
      </c>
      <c r="DG26" s="82">
        <f t="shared" ca="1" si="54"/>
        <v>1337420.3993683201</v>
      </c>
      <c r="DH26" s="145">
        <f t="shared" ca="1" si="55"/>
        <v>0.22565560839615662</v>
      </c>
      <c r="DI26" s="82">
        <f t="shared" si="62"/>
        <v>0</v>
      </c>
      <c r="DJ26" s="143">
        <f t="shared" ca="1" si="56"/>
        <v>0</v>
      </c>
      <c r="DK26" s="116">
        <f t="shared" ca="1" si="57"/>
        <v>15557422.352003759</v>
      </c>
      <c r="DL26" s="112">
        <f t="shared" ca="1" si="58"/>
        <v>2.6249185428721455</v>
      </c>
      <c r="DM26" s="102" cm="1">
        <f t="array" aca="1" ref="DM26" ca="1">INDIRECT("'Emissions by State'!I"&amp;MATCH($B$1,'Demand by State by ST'!$E:$E,0)+($B26-2022))</f>
        <v>233848.99999998999</v>
      </c>
      <c r="DN26" s="82">
        <f t="shared" ca="1" si="59"/>
        <v>212144.30506499091</v>
      </c>
      <c r="DO26" s="124"/>
      <c r="DP26" s="58">
        <v>212146.8</v>
      </c>
      <c r="DQ26" s="4">
        <f t="shared" ca="1" si="60"/>
        <v>47.011825809471489</v>
      </c>
    </row>
    <row r="27" spans="1:121" x14ac:dyDescent="0.25">
      <c r="A27">
        <v>365</v>
      </c>
      <c r="B27">
        <v>2045</v>
      </c>
      <c r="C27" s="92" cm="1">
        <f t="array" aca="1" ref="C27" ca="1">INDIRECT("'Demand by State by ST'!H"&amp;MATCH($B$1,'Demand by State by ST'!$E:$E,0)+($B27-2022))</f>
        <v>41265.665998800003</v>
      </c>
      <c r="D27" s="100" cm="1">
        <f t="array" aca="1" ref="D27" ca="1">INDIRECT("'Demand by State by ST'!J"&amp;MATCH($B$1,'Demand by State by ST'!$E:$E,0)+($B27-2022))</f>
        <v>15140.111992800001</v>
      </c>
      <c r="E27" s="96" cm="1">
        <f t="array" aca="1" ref="E27" ca="1">INDIRECT("'Gas Flow by State'!H"&amp;MATCH($B$1,'Demand by State by ST'!$E:$E,0)+($B27-2022))</f>
        <v>56789.316473999999</v>
      </c>
      <c r="F27" s="98">
        <f ca="1">VLOOKUP($B27,'WACOG Calc'!$B$49:$L$78,VALUE(RIGHT($B$1,LEN($B$1)-7))+1,FALSE)</f>
        <v>4.1851255186607172</v>
      </c>
      <c r="G27" s="90">
        <f t="shared" ca="1" si="0"/>
        <v>237670417.56263685</v>
      </c>
      <c r="H27" s="82" cm="1">
        <f t="array" aca="1" ref="H27" ca="1">INDIRECT("'Compliance Resources by State'!H"&amp;MATCH($B$1,'Demand by State by ST'!$E:$E,0)+($B27-2022))</f>
        <v>4822.3553275200002</v>
      </c>
      <c r="I27" s="83" cm="1">
        <f t="array" aca="1" ref="I27" ca="1">INDIRECT("'OR CCI Price'!C"&amp;MATCH($B27,'OR CCI Price'!$A:$A,0))</f>
        <v>6.954135</v>
      </c>
      <c r="J27" s="90">
        <f t="shared" ca="1" si="1"/>
        <v>33535309.965543296</v>
      </c>
      <c r="K27" s="81" cm="1">
        <f t="array" aca="1" ref="K27" ca="1">INDIRECT("'Compliance Resources by State'!J"&amp;MATCH($B$1,'Demand by State by ST'!$E:$E,0)+($B27-2022))</f>
        <v>7711.4432423999997</v>
      </c>
      <c r="L27" s="82">
        <f t="shared" ca="1" si="2"/>
        <v>3.637978807091713E-12</v>
      </c>
      <c r="M27" s="83" cm="1">
        <f t="array" aca="1" ref="M27" ca="1">INDIRECT("'MC_Supply Price "&amp;K$2&amp;"'!D"&amp;MATCH($B27,'MC_Supply Price RNG Tranche 1'!$A:$A,0)+VALUE(RIGHT($B$1,LEN($B$1)-7))-1)</f>
        <v>10.722</v>
      </c>
      <c r="N27" s="82">
        <f t="shared" ca="1" si="3"/>
        <v>1.423733920091763E-8</v>
      </c>
      <c r="O27" s="90">
        <f ca="1">SUM(N$4:N27)</f>
        <v>80125296.282689035</v>
      </c>
      <c r="P27" s="81" cm="1">
        <f t="array" aca="1" ref="P27" ca="1">INDIRECT("'Compliance Resources by State'!K"&amp;MATCH($B$1,'Demand by State by ST'!$E:$E,0)+($B27-2022))</f>
        <v>0</v>
      </c>
      <c r="Q27" s="82">
        <f t="shared" ca="1" si="4"/>
        <v>0</v>
      </c>
      <c r="R27" s="83" cm="1">
        <f t="array" aca="1" ref="R27" ca="1">INDIRECT("'MC_Supply Price "&amp;P$2&amp;"'!D"&amp;MATCH($B27,'MC_Supply Price RNG Tranche 2'!$A:$A,0)+VALUE(RIGHT($B$1,LEN($B$1)-7))-1)</f>
        <v>15.722</v>
      </c>
      <c r="S27" s="82">
        <f t="shared" ca="1" si="5"/>
        <v>0</v>
      </c>
      <c r="T27" s="84">
        <f ca="1">SUM(S$4:S27)</f>
        <v>0</v>
      </c>
      <c r="U27" s="81" cm="1">
        <f t="array" aca="1" ref="U27" ca="1">INDIRECT("'Compliance Resources by State'!I"&amp;MATCH($B$1,'Demand by State by ST'!$E:$E,0)+($B27-2022))</f>
        <v>9135.5931467999999</v>
      </c>
      <c r="V27" s="82">
        <f t="shared" ca="1" si="6"/>
        <v>0</v>
      </c>
      <c r="W27" s="83" cm="1">
        <f t="array" aca="1" ref="W27" ca="1">INDIRECT("'MC_Supply Price "&amp;U$2&amp;"'!D"&amp;MATCH($B27,'MC_Supply Price Hydrogen'!$A:$A,0)+VALUE(RIGHT($B$1,LEN($B$1)-7))-1)</f>
        <v>3.512</v>
      </c>
      <c r="X27" s="82">
        <f t="shared" ca="1" si="7"/>
        <v>0</v>
      </c>
      <c r="Y27" s="90">
        <f ca="1">SUM(X$4:X27)</f>
        <v>60820072.758455761</v>
      </c>
      <c r="Z27" s="81" cm="1">
        <f t="array" aca="1" ref="Z27" ca="1">INDIRECT("'Compliance Resources by State'!L"&amp;MATCH($B$1,'Demand by State by ST'!$E:$E,0)+($B27-2022))</f>
        <v>6936.6801972000003</v>
      </c>
      <c r="AA27" s="82">
        <f t="shared" ca="1" si="8"/>
        <v>-3.637978807091713E-12</v>
      </c>
      <c r="AB27" s="83" cm="1">
        <f t="array" aca="1" ref="AB27" ca="1">INDIRECT("'MC_Supply Price Synthetic Metha'!D"&amp;MATCH($B27,'MC_Supply Price Synthetic Metha'!$A:$A,0)+VALUE(RIGHT($B$1,LEN($B$1)-7))-1)</f>
        <v>8.2829999999999995</v>
      </c>
      <c r="AC27" s="82">
        <f t="shared" ca="1" si="9"/>
        <v>-1.0998683137586339E-8</v>
      </c>
      <c r="AD27" s="82">
        <f ca="1">SUM(AC$4:AC27)</f>
        <v>64460496.332745358</v>
      </c>
      <c r="AE27" s="127">
        <f t="shared" ca="1" si="10"/>
        <v>0.16937916164941089</v>
      </c>
      <c r="AF27" s="128">
        <f t="shared" ca="1" si="11"/>
        <v>0.16196200942677327</v>
      </c>
      <c r="AG27" s="128">
        <f t="shared" ca="1" si="12"/>
        <v>0.12297818493405085</v>
      </c>
      <c r="AH27" s="82">
        <f t="shared" ca="1" si="13"/>
        <v>23783.716586400002</v>
      </c>
      <c r="AI27" s="156">
        <f t="shared" ca="1" si="14"/>
        <v>0.2194757388415704</v>
      </c>
      <c r="AJ27" s="90">
        <f ca="1">VLOOKUP('Compliance Data'!$B27,'Notes and Scenario Inputs'!$B$57:$C$86,2,FALSE)*'Compliance Data'!C27</f>
        <v>12379.69979964</v>
      </c>
      <c r="AK27" s="105">
        <f>IF(VALUE(RIGHT($B$1,LEN($B$1)-7))=1,0,VLOOKUP($B27,'Load Reductions'!$1:$30,VALUE(RIGHT($B$1,LEN($B$1)-7)),FALSE))</f>
        <v>16495.184858593751</v>
      </c>
      <c r="AL27" s="105">
        <f>IF(VALUE(RIGHT($B$1,LEN($B$1)-7))=1,0,VLOOKUP($B27,'Load Reductions'!$1:$30,VALUE(RIGHT($B$1,LEN($B$1)-7)+9),FALSE))</f>
        <v>11857.857831249999</v>
      </c>
      <c r="AM27" s="155">
        <f>IF(VALUE(RIGHT($B$1,LEN($B$1)-7))=1,0,VLOOKUP($B27,'Load Reductions'!$1:$30,VALUE(RIGHT($B$1,LEN($B$1)-7)+18),FALSE))</f>
        <v>7978.4611453124999</v>
      </c>
      <c r="AN27" s="105">
        <f>IF(VALUE(RIGHT($B$1,LEN($B$1)-7))=1,0,VLOOKUP($B27,'Load Reductions'!$1:$30,VALUE(RIGHT($B$1,LEN($B$1)-7)+27),FALSE))</f>
        <v>16530.051715624999</v>
      </c>
      <c r="AO27" s="135">
        <f>VLOOKUP($B27,'Oregon DSM Scenario Costs'!$A$1:$BN$30,RIGHT($B$1,LEN($B$1)-7)+56,FALSE)</f>
        <v>0</v>
      </c>
      <c r="AP27" s="96">
        <f t="shared" ca="1" si="15"/>
        <v>56405.7779916</v>
      </c>
      <c r="AQ27" s="105">
        <f>'Fixed Contracts'!C27</f>
        <v>768.99997000000008</v>
      </c>
      <c r="AR27" s="82">
        <f>'Fixed Contracts'!B27</f>
        <v>1842.5201459999998</v>
      </c>
      <c r="AS27" s="82">
        <f t="shared" ca="1" si="61"/>
        <v>44375.131014879989</v>
      </c>
      <c r="AT27" s="82">
        <f t="shared" ca="1" si="16"/>
        <v>25957.185931680004</v>
      </c>
      <c r="AU27" s="113">
        <f t="shared" ca="1" si="17"/>
        <v>205405865.37389016</v>
      </c>
      <c r="AV27" s="139">
        <f t="shared" ca="1" si="18"/>
        <v>3.6415749004380258</v>
      </c>
      <c r="AW27" s="116">
        <f t="shared" ca="1" si="19"/>
        <v>33535309.965543296</v>
      </c>
      <c r="AX27" s="139">
        <f t="shared" ca="1" si="20"/>
        <v>0.59453678611679472</v>
      </c>
      <c r="AY27" s="116">
        <f t="shared" si="21"/>
        <v>0</v>
      </c>
      <c r="AZ27" s="141">
        <f t="shared" ca="1" si="22"/>
        <v>0</v>
      </c>
      <c r="BA27" s="116">
        <f t="shared" ca="1" si="23"/>
        <v>238941175.33943346</v>
      </c>
      <c r="BB27" s="112">
        <f t="shared" ca="1" si="24"/>
        <v>4.2361116865548203</v>
      </c>
      <c r="BC27" s="102" cm="1">
        <f t="array" aca="1" ref="BC27" ca="1">INDIRECT("'Emissions by State'!H"&amp;MATCH($B$1,'Demand by State by ST'!$E:$E,0)+($B27-2022))</f>
        <v>1525642</v>
      </c>
      <c r="BD27" s="82">
        <f t="shared" ca="1" si="25"/>
        <v>1384039.5377700001</v>
      </c>
      <c r="BE27" s="82"/>
      <c r="BF27" s="90">
        <v>1384053.2999999998</v>
      </c>
      <c r="BG27" s="4">
        <f t="shared" ca="1" si="26"/>
        <v>259.32040600060901</v>
      </c>
      <c r="BH27">
        <v>2045</v>
      </c>
      <c r="BI27" s="92" cm="1">
        <f t="array" aca="1" ref="BI27" ca="1">INDIRECT("'Demand by State by ST'!I"&amp;MATCH($B$1,'Demand by State by ST'!$E:$E,0)+($B27-2022))</f>
        <v>4989.6289984799996</v>
      </c>
      <c r="BJ27" s="93" cm="1">
        <f t="array" aca="1" ref="BJ27" ca="1">INDIRECT("'Demand by State by ST'!K"&amp;MATCH($B$1,'Demand by State by ST'!$E:$E,0)+($B27-2022))</f>
        <v>689.69998536000003</v>
      </c>
      <c r="BK27" s="96" cm="1">
        <f t="array" aca="1" ref="BK27" ca="1">INDIRECT("'Gas Flow by State'!I"&amp;MATCH($B$1,'Demand by State by ST'!$E:$E,0)+($B27-2022))</f>
        <v>5679.3290018400003</v>
      </c>
      <c r="BL27" s="118">
        <f t="shared" ca="1" si="27"/>
        <v>4.1851255186607172</v>
      </c>
      <c r="BM27" s="93">
        <f t="shared" ca="1" si="28"/>
        <v>23768704.734470483</v>
      </c>
      <c r="BN27" s="81" cm="1">
        <f t="array" aca="1" ref="BN27" ca="1">INDIRECT("'Compliance Resources by State'!M"&amp;MATCH($B$1,'Demand by State by ST'!$E:$E,0)+($B27-2022))</f>
        <v>0</v>
      </c>
      <c r="BO27" s="83">
        <f>VLOOKUP(DATE($BH27,1,1),'MC_Allowance Price'!$A:$K,VALUE(RIGHT($B$1,LEN($B$1)-7))+1,FALSE)</f>
        <v>6.6405150868084322</v>
      </c>
      <c r="BP27">
        <v>7.06</v>
      </c>
      <c r="BQ27" s="90">
        <f t="shared" ca="1" si="29"/>
        <v>0</v>
      </c>
      <c r="BR27" s="81" cm="1">
        <f t="array" aca="1" ref="BR27" ca="1">INDIRECT("'Compliance Resources by State'!O"&amp;MATCH($B$1,'Demand by State by ST'!$E:$E,0)+($B27-2022))</f>
        <v>280.50176040000002</v>
      </c>
      <c r="BS27" s="83">
        <f>VLOOKUP(DATE($BH27,1,1),'MC_Supply Price Offsets'!$A:$K,VALUE(RIGHT($B$1,LEN($B$1)-7))+1,FALSE)</f>
        <v>3.4129999999999998</v>
      </c>
      <c r="BT27" s="90">
        <f t="shared" ca="1" si="30"/>
        <v>957352.50824520004</v>
      </c>
      <c r="BU27" s="81" cm="1">
        <f t="array" aca="1" ref="BU27" ca="1">INDIRECT("'Compliance Resources by State'!P"&amp;MATCH($B$1,'Demand by State by ST'!$E:$E,0)+($B27-2022))</f>
        <v>1063.3282200000001</v>
      </c>
      <c r="BV27" s="82">
        <f t="shared" ca="1" si="31"/>
        <v>4.5474735088646412E-13</v>
      </c>
      <c r="BW27" s="83">
        <f t="shared" ca="1" si="32"/>
        <v>10.722</v>
      </c>
      <c r="BX27" s="82">
        <f t="shared" ca="1" si="33"/>
        <v>1.7796674001147038E-9</v>
      </c>
      <c r="BY27" s="84">
        <f ca="1">SUM(BX$4:BX27)</f>
        <v>10746592.872863041</v>
      </c>
      <c r="BZ27" s="81" cm="1">
        <f t="array" aca="1" ref="BZ27" ca="1">INDIRECT("'Compliance Resources by State'!Q"&amp;MATCH($B$1,'Demand by State by ST'!$E:$E,0)+($B27-2022))</f>
        <v>0</v>
      </c>
      <c r="CA27" s="82">
        <f t="shared" ca="1" si="34"/>
        <v>0</v>
      </c>
      <c r="CB27" s="83">
        <f t="shared" ca="1" si="35"/>
        <v>15.722</v>
      </c>
      <c r="CC27" s="82">
        <f t="shared" ca="1" si="36"/>
        <v>0</v>
      </c>
      <c r="CD27" s="84">
        <f ca="1">SUM(CC$4:CC27)</f>
        <v>0</v>
      </c>
      <c r="CE27" s="81" cm="1">
        <f t="array" aca="1" ref="CE27" ca="1">INDIRECT("'Compliance Resources by State'!N"&amp;MATCH($B$1,'Demand by State by ST'!$E:$E,0)+($B27-2022))</f>
        <v>454.3122588</v>
      </c>
      <c r="CF27" s="82">
        <f t="shared" ca="1" si="37"/>
        <v>-2.2737367544323206E-13</v>
      </c>
      <c r="CG27" s="83">
        <f t="shared" ca="1" si="38"/>
        <v>3.512</v>
      </c>
      <c r="CH27" s="82">
        <f t="shared" ca="1" si="39"/>
        <v>-2.9146576707717034E-10</v>
      </c>
      <c r="CI27" s="84">
        <f ca="1">SUM(CH$4:CH27)</f>
        <v>3473409.0797723993</v>
      </c>
      <c r="CJ27" s="81" cm="1">
        <f t="array" aca="1" ref="CJ27" ca="1">INDIRECT("'Compliance Resources by State'!R"&amp;MATCH($B$1,'Demand by State by ST'!$E:$E,0)+($B27-2022))</f>
        <v>0</v>
      </c>
      <c r="CK27" s="82">
        <f t="shared" ca="1" si="40"/>
        <v>0</v>
      </c>
      <c r="CL27" s="83">
        <f t="shared" ca="1" si="41"/>
        <v>8.2829999999999995</v>
      </c>
      <c r="CM27" s="82">
        <f t="shared" ca="1" si="42"/>
        <v>0</v>
      </c>
      <c r="CN27" s="84">
        <f ca="1">SUM(CM$4:CM27)</f>
        <v>0</v>
      </c>
      <c r="CO27" s="127">
        <f t="shared" ca="1" si="43"/>
        <v>0.18722779099883124</v>
      </c>
      <c r="CP27" s="128">
        <f t="shared" ca="1" si="44"/>
        <v>7.9994002828979116E-2</v>
      </c>
      <c r="CQ27" s="128">
        <f t="shared" ca="1" si="45"/>
        <v>0</v>
      </c>
      <c r="CR27" s="128">
        <f t="shared" ca="1" si="46"/>
        <v>0.26356787990328734</v>
      </c>
      <c r="CS27" s="159">
        <f ca="1">VLOOKUP('Compliance Data'!$B27,'Notes and Scenario Inputs'!$B$57:$C$86,2,FALSE)*BI27</f>
        <v>1496.8886995439998</v>
      </c>
      <c r="CT27" s="120">
        <f t="shared" ca="1" si="47"/>
        <v>1517.6404788</v>
      </c>
      <c r="CU27" s="83">
        <f ca="1">'Notes and Scenario Inputs'!C81*'Compliance Data'!BI27-'Compliance Data'!CV27</f>
        <v>1475.4208359850845</v>
      </c>
      <c r="CV27" s="90">
        <f t="shared" ca="1" si="48"/>
        <v>21.467863558915198</v>
      </c>
      <c r="CW27" s="104">
        <f>IF(VALUE(RIGHT($B$1,LEN($B$1)-7))=1,0,VLOOKUP($B27,'Load Reductions'!$1:$30,VALUE(RIGHT($B$1,LEN($B$1)-7)+39),FALSE))</f>
        <v>3562.3538878906252</v>
      </c>
      <c r="CX27" s="105">
        <f>IF(VALUE(RIGHT($B$1,LEN($B$1)-7))=1,0,VLOOKUP($B27,'Load Reductions'!$1:$30,VALUE(RIGHT($B$1,LEN($B$1)-7)+48),FALSE))</f>
        <v>1350.7795592773437</v>
      </c>
      <c r="CY27" s="105">
        <f>IF(VALUE(RIGHT($B$1,LEN($B$1)-7))=1,0,VLOOKUP($B27,'Load Reductions'!$1:$30,VALUE(RIGHT($B$1,LEN($B$1)-7)+57),FALSE))</f>
        <v>402.20932270507814</v>
      </c>
      <c r="CZ27" s="105">
        <f>IF(VALUE(RIGHT($B$1,LEN($B$1)-7))=1,0,VLOOKUP($B27,'Load Reductions'!$1:$30,VALUE(RIGHT($B$1,LEN($B$1)-7)+66),FALSE))</f>
        <v>806.670802734375</v>
      </c>
      <c r="DA27" s="136">
        <f>IF(AND($B27 = 2022, $B$1&lt;&gt;"Sample 3"), 0, VLOOKUP($B27,'Washington DSM Scenario Costs'!$A$1:$BN$30,RIGHT($B$1,LEN($B$1)-7)+56,FALSE))</f>
        <v>0</v>
      </c>
      <c r="DB27" s="96">
        <f t="shared" ca="1" si="49"/>
        <v>5679.3289838399996</v>
      </c>
      <c r="DC27" s="82">
        <f t="shared" ca="1" si="50"/>
        <v>3881.1867626399994</v>
      </c>
      <c r="DD27" s="82">
        <f t="shared" ca="1" si="51"/>
        <v>3881.1867446399988</v>
      </c>
      <c r="DE27" s="81">
        <f t="shared" ca="1" si="52"/>
        <v>14220001.952635441</v>
      </c>
      <c r="DF27" s="143">
        <f t="shared" ca="1" si="53"/>
        <v>2.5038172631127953</v>
      </c>
      <c r="DG27" s="82">
        <f t="shared" ca="1" si="54"/>
        <v>957352.50824520004</v>
      </c>
      <c r="DH27" s="145">
        <f t="shared" ca="1" si="55"/>
        <v>0.16856789084929877</v>
      </c>
      <c r="DI27" s="82">
        <f t="shared" si="62"/>
        <v>0</v>
      </c>
      <c r="DJ27" s="143">
        <f t="shared" ca="1" si="56"/>
        <v>0</v>
      </c>
      <c r="DK27" s="116">
        <f t="shared" ca="1" si="57"/>
        <v>15177354.460880641</v>
      </c>
      <c r="DL27" s="112">
        <f t="shared" ca="1" si="58"/>
        <v>2.672385153962094</v>
      </c>
      <c r="DM27" s="102" cm="1">
        <f t="array" aca="1" ref="DM27" ca="1">INDIRECT("'Emissions by State'!I"&amp;MATCH($B$1,'Demand by State by ST'!$E:$E,0)+($B27-2022))</f>
        <v>227768.99999998999</v>
      </c>
      <c r="DN27" s="82">
        <f t="shared" ca="1" si="59"/>
        <v>206628.62026499092</v>
      </c>
      <c r="DO27" s="124"/>
      <c r="DP27" s="58">
        <v>206631</v>
      </c>
      <c r="DQ27" s="4">
        <f t="shared" ca="1" si="60"/>
        <v>44.841123040237207</v>
      </c>
    </row>
    <row r="28" spans="1:121" x14ac:dyDescent="0.25">
      <c r="A28">
        <v>365</v>
      </c>
      <c r="B28">
        <v>2046</v>
      </c>
      <c r="C28" s="92" cm="1">
        <f t="array" aca="1" ref="C28" ca="1">INDIRECT("'Demand by State by ST'!H"&amp;MATCH($B$1,'Demand by State by ST'!$E:$E,0)+($B28-2022))</f>
        <v>39818.041001760001</v>
      </c>
      <c r="D28" s="100" cm="1">
        <f t="array" aca="1" ref="D28" ca="1">INDIRECT("'Demand by State by ST'!J"&amp;MATCH($B$1,'Demand by State by ST'!$E:$E,0)+($B28-2022))</f>
        <v>14418.38599776</v>
      </c>
      <c r="E28" s="96" cm="1">
        <f t="array" aca="1" ref="E28" ca="1">INDIRECT("'Gas Flow by State'!H"&amp;MATCH($B$1,'Demand by State by ST'!$E:$E,0)+($B28-2022))</f>
        <v>54165.044971679999</v>
      </c>
      <c r="F28" s="98">
        <f ca="1">VLOOKUP($B28,'WACOG Calc'!$B$49:$L$78,VALUE(RIGHT($B$1,LEN($B$1)-7))+1,FALSE)</f>
        <v>4.2099040279003344</v>
      </c>
      <c r="G28" s="90">
        <f t="shared" ca="1" si="0"/>
        <v>228029640.9976784</v>
      </c>
      <c r="H28" s="82" cm="1">
        <f t="array" aca="1" ref="H28" ca="1">INDIRECT("'Compliance Resources by State'!H"&amp;MATCH($B$1,'Demand by State by ST'!$E:$E,0)+($B28-2022))</f>
        <v>5628.8016475200002</v>
      </c>
      <c r="I28" s="83" cm="1">
        <f t="array" aca="1" ref="I28" ca="1">INDIRECT("'OR CCI Price'!C"&amp;MATCH($B28,'OR CCI Price'!$A:$A,0))</f>
        <v>7.0072200000000002</v>
      </c>
      <c r="J28" s="90">
        <f t="shared" ca="1" si="1"/>
        <v>39442251.480535097</v>
      </c>
      <c r="K28" s="81" cm="1">
        <f t="array" aca="1" ref="K28" ca="1">INDIRECT("'Compliance Resources by State'!J"&amp;MATCH($B$1,'Demand by State by ST'!$E:$E,0)+($B28-2022))</f>
        <v>7711.4432423999997</v>
      </c>
      <c r="L28" s="82">
        <f t="shared" ca="1" si="2"/>
        <v>0</v>
      </c>
      <c r="M28" s="83" cm="1">
        <f t="array" aca="1" ref="M28" ca="1">INDIRECT("'MC_Supply Price "&amp;K$2&amp;"'!D"&amp;MATCH($B28,'MC_Supply Price RNG Tranche 1'!$A:$A,0)+VALUE(RIGHT($B$1,LEN($B$1)-7))-1)</f>
        <v>10.581</v>
      </c>
      <c r="N28" s="82">
        <f t="shared" ca="1" si="3"/>
        <v>0</v>
      </c>
      <c r="O28" s="90">
        <f ca="1">SUM(N$4:N28)</f>
        <v>80125296.282689035</v>
      </c>
      <c r="P28" s="81" cm="1">
        <f t="array" aca="1" ref="P28" ca="1">INDIRECT("'Compliance Resources by State'!K"&amp;MATCH($B$1,'Demand by State by ST'!$E:$E,0)+($B28-2022))</f>
        <v>0</v>
      </c>
      <c r="Q28" s="82">
        <f t="shared" ca="1" si="4"/>
        <v>0</v>
      </c>
      <c r="R28" s="83" cm="1">
        <f t="array" aca="1" ref="R28" ca="1">INDIRECT("'MC_Supply Price "&amp;P$2&amp;"'!D"&amp;MATCH($B28,'MC_Supply Price RNG Tranche 2'!$A:$A,0)+VALUE(RIGHT($B$1,LEN($B$1)-7))-1)</f>
        <v>15.581</v>
      </c>
      <c r="S28" s="82">
        <f t="shared" ca="1" si="5"/>
        <v>0</v>
      </c>
      <c r="T28" s="84">
        <f ca="1">SUM(S$4:S28)</f>
        <v>0</v>
      </c>
      <c r="U28" s="81" cm="1">
        <f t="array" aca="1" ref="U28" ca="1">INDIRECT("'Compliance Resources by State'!I"&amp;MATCH($B$1,'Demand by State by ST'!$E:$E,0)+($B28-2022))</f>
        <v>9135.5931467999999</v>
      </c>
      <c r="V28" s="82">
        <f t="shared" ca="1" si="6"/>
        <v>0</v>
      </c>
      <c r="W28" s="83" cm="1">
        <f t="array" aca="1" ref="W28" ca="1">INDIRECT("'MC_Supply Price "&amp;U$2&amp;"'!D"&amp;MATCH($B28,'MC_Supply Price Hydrogen'!$A:$A,0)+VALUE(RIGHT($B$1,LEN($B$1)-7))-1)</f>
        <v>3.0409999999999999</v>
      </c>
      <c r="X28" s="82">
        <f t="shared" ca="1" si="7"/>
        <v>0</v>
      </c>
      <c r="Y28" s="90">
        <f ca="1">SUM(X$4:X28)</f>
        <v>60820072.758455761</v>
      </c>
      <c r="Z28" s="81" cm="1">
        <f t="array" aca="1" ref="Z28" ca="1">INDIRECT("'Compliance Resources by State'!L"&amp;MATCH($B$1,'Demand by State by ST'!$E:$E,0)+($B28-2022))</f>
        <v>6936.6801972000003</v>
      </c>
      <c r="AA28" s="82">
        <f t="shared" ca="1" si="8"/>
        <v>0</v>
      </c>
      <c r="AB28" s="83" cm="1">
        <f t="array" aca="1" ref="AB28" ca="1">INDIRECT("'MC_Supply Price Synthetic Metha'!D"&amp;MATCH($B28,'MC_Supply Price Synthetic Metha'!$A:$A,0)+VALUE(RIGHT($B$1,LEN($B$1)-7))-1)</f>
        <v>7.7060000000000004</v>
      </c>
      <c r="AC28" s="82">
        <f t="shared" ca="1" si="9"/>
        <v>0</v>
      </c>
      <c r="AD28" s="82">
        <f ca="1">SUM(AC$4:AC28)</f>
        <v>64460496.332745358</v>
      </c>
      <c r="AE28" s="127">
        <f t="shared" ca="1" si="10"/>
        <v>0.17615399680522009</v>
      </c>
      <c r="AF28" s="128">
        <f t="shared" ca="1" si="11"/>
        <v>0.16844017300182498</v>
      </c>
      <c r="AG28" s="128">
        <f t="shared" ca="1" si="12"/>
        <v>0.1278970717827963</v>
      </c>
      <c r="AH28" s="82">
        <f t="shared" ca="1" si="13"/>
        <v>23783.716586400002</v>
      </c>
      <c r="AI28" s="156">
        <f t="shared" ca="1" si="14"/>
        <v>0.22758860406963832</v>
      </c>
      <c r="AJ28" s="90">
        <f ca="1">VLOOKUP('Compliance Data'!$B28,'Notes and Scenario Inputs'!$B$57:$C$86,2,FALSE)*'Compliance Data'!C28</f>
        <v>12343.592710545599</v>
      </c>
      <c r="AK28" s="105">
        <f>IF(VALUE(RIGHT($B$1,LEN($B$1)-7))=1,0,VLOOKUP($B28,'Load Reductions'!$1:$30,VALUE(RIGHT($B$1,LEN($B$1)-7)),FALSE))</f>
        <v>17173.425497656252</v>
      </c>
      <c r="AL28" s="105">
        <f>IF(VALUE(RIGHT($B$1,LEN($B$1)-7))=1,0,VLOOKUP($B28,'Load Reductions'!$1:$30,VALUE(RIGHT($B$1,LEN($B$1)-7)+9),FALSE))</f>
        <v>12361.0332984375</v>
      </c>
      <c r="AM28" s="155">
        <f>IF(VALUE(RIGHT($B$1,LEN($B$1)-7))=1,0,VLOOKUP($B28,'Load Reductions'!$1:$30,VALUE(RIGHT($B$1,LEN($B$1)-7)+18),FALSE))</f>
        <v>8364.1048874999997</v>
      </c>
      <c r="AN28" s="105">
        <f>IF(VALUE(RIGHT($B$1,LEN($B$1)-7))=1,0,VLOOKUP($B28,'Load Reductions'!$1:$30,VALUE(RIGHT($B$1,LEN($B$1)-7)+27),FALSE))</f>
        <v>17070.965274999999</v>
      </c>
      <c r="AO28" s="135">
        <f>VLOOKUP($B28,'Oregon DSM Scenario Costs'!$A$1:$BN$30,RIGHT($B$1,LEN($B$1)-7)+56,FALSE)</f>
        <v>0</v>
      </c>
      <c r="AP28" s="96">
        <f t="shared" ca="1" si="15"/>
        <v>54236.426999520001</v>
      </c>
      <c r="AQ28" s="105">
        <f>'Fixed Contracts'!C28</f>
        <v>768.99997000000008</v>
      </c>
      <c r="AR28" s="82">
        <f>'Fixed Contracts'!B28</f>
        <v>1842.5201459999998</v>
      </c>
      <c r="AS28" s="82">
        <f t="shared" ca="1" si="61"/>
        <v>40944.413192559994</v>
      </c>
      <c r="AT28" s="82">
        <f t="shared" ca="1" si="16"/>
        <v>22981.388619600009</v>
      </c>
      <c r="AU28" s="113">
        <f t="shared" ca="1" si="17"/>
        <v>205405865.37389016</v>
      </c>
      <c r="AV28" s="139">
        <f t="shared" ca="1" si="18"/>
        <v>3.7872307734377122</v>
      </c>
      <c r="AW28" s="116">
        <f t="shared" ca="1" si="19"/>
        <v>39442251.480535097</v>
      </c>
      <c r="AX28" s="139">
        <f t="shared" ca="1" si="20"/>
        <v>0.7272280580150341</v>
      </c>
      <c r="AY28" s="116">
        <f t="shared" si="21"/>
        <v>0</v>
      </c>
      <c r="AZ28" s="141">
        <f t="shared" ca="1" si="22"/>
        <v>0</v>
      </c>
      <c r="BA28" s="116">
        <f t="shared" ca="1" si="23"/>
        <v>244848116.85442525</v>
      </c>
      <c r="BB28" s="112">
        <f t="shared" ca="1" si="24"/>
        <v>4.5144588314527461</v>
      </c>
      <c r="BC28" s="102" cm="1">
        <f t="array" aca="1" ref="BC28" ca="1">INDIRECT("'Emissions by State'!H"&amp;MATCH($B$1,'Demand by State by ST'!$E:$E,0)+($B28-2022))</f>
        <v>1351283</v>
      </c>
      <c r="BD28" s="82">
        <f t="shared" ca="1" si="25"/>
        <v>1225863.668355</v>
      </c>
      <c r="BE28" s="82"/>
      <c r="BF28" s="90">
        <v>1225875.7799999998</v>
      </c>
      <c r="BG28" s="4">
        <f t="shared" ca="1" si="26"/>
        <v>228.21858802999063</v>
      </c>
      <c r="BH28">
        <v>2046</v>
      </c>
      <c r="BI28" s="92" cm="1">
        <f t="array" aca="1" ref="BI28" ca="1">INDIRECT("'Demand by State by ST'!I"&amp;MATCH($B$1,'Demand by State by ST'!$E:$E,0)+($B28-2022))</f>
        <v>4815.0450009599999</v>
      </c>
      <c r="BJ28" s="93" cm="1">
        <f t="array" aca="1" ref="BJ28" ca="1">INDIRECT("'Demand by State by ST'!K"&amp;MATCH($B$1,'Demand by State by ST'!$E:$E,0)+($B28-2022))</f>
        <v>655.42699535999998</v>
      </c>
      <c r="BK28" s="96" cm="1">
        <f t="array" aca="1" ref="BK28" ca="1">INDIRECT("'Gas Flow by State'!I"&amp;MATCH($B$1,'Demand by State by ST'!$E:$E,0)+($B28-2022))</f>
        <v>5470.4719984800004</v>
      </c>
      <c r="BL28" s="118">
        <f t="shared" ca="1" si="27"/>
        <v>4.2099040279003344</v>
      </c>
      <c r="BM28" s="93">
        <f t="shared" ca="1" si="28"/>
        <v>23030162.100916948</v>
      </c>
      <c r="BN28" s="81" cm="1">
        <f t="array" aca="1" ref="BN28" ca="1">INDIRECT("'Compliance Resources by State'!M"&amp;MATCH($B$1,'Demand by State by ST'!$E:$E,0)+($B28-2022))</f>
        <v>0</v>
      </c>
      <c r="BO28" s="83">
        <f>VLOOKUP(DATE($BH28,1,1),'MC_Allowance Price'!$A:$K,VALUE(RIGHT($B$1,LEN($B$1)-7))+1,FALSE)</f>
        <v>6.8289022097138705</v>
      </c>
      <c r="BP28">
        <v>7.15</v>
      </c>
      <c r="BQ28" s="90">
        <f t="shared" ca="1" si="29"/>
        <v>0</v>
      </c>
      <c r="BR28" s="81" cm="1">
        <f t="array" aca="1" ref="BR28" ca="1">INDIRECT("'Compliance Resources by State'!O"&amp;MATCH($B$1,'Demand by State by ST'!$E:$E,0)+($B28-2022))</f>
        <v>172.42318463999999</v>
      </c>
      <c r="BS28" s="83">
        <f>VLOOKUP(DATE($BH28,1,1),'MC_Supply Price Offsets'!$A:$K,VALUE(RIGHT($B$1,LEN($B$1)-7))+1,FALSE)</f>
        <v>3.64</v>
      </c>
      <c r="BT28" s="90">
        <f t="shared" ca="1" si="30"/>
        <v>627620.39208959998</v>
      </c>
      <c r="BU28" s="81" cm="1">
        <f t="array" aca="1" ref="BU28" ca="1">INDIRECT("'Compliance Resources by State'!P"&amp;MATCH($B$1,'Demand by State by ST'!$E:$E,0)+($B28-2022))</f>
        <v>1063.3282200000001</v>
      </c>
      <c r="BV28" s="82">
        <f t="shared" ca="1" si="31"/>
        <v>0</v>
      </c>
      <c r="BW28" s="83">
        <f t="shared" ca="1" si="32"/>
        <v>10.581</v>
      </c>
      <c r="BX28" s="82">
        <f t="shared" ca="1" si="33"/>
        <v>0</v>
      </c>
      <c r="BY28" s="84">
        <f ca="1">SUM(BX$4:BX28)</f>
        <v>10746592.872863041</v>
      </c>
      <c r="BZ28" s="81" cm="1">
        <f t="array" aca="1" ref="BZ28" ca="1">INDIRECT("'Compliance Resources by State'!Q"&amp;MATCH($B$1,'Demand by State by ST'!$E:$E,0)+($B28-2022))</f>
        <v>0</v>
      </c>
      <c r="CA28" s="82">
        <f t="shared" ca="1" si="34"/>
        <v>0</v>
      </c>
      <c r="CB28" s="83">
        <f t="shared" ca="1" si="35"/>
        <v>15.581</v>
      </c>
      <c r="CC28" s="82">
        <f t="shared" ca="1" si="36"/>
        <v>0</v>
      </c>
      <c r="CD28" s="84">
        <f ca="1">SUM(CC$4:CC28)</f>
        <v>0</v>
      </c>
      <c r="CE28" s="81" cm="1">
        <f t="array" aca="1" ref="CE28" ca="1">INDIRECT("'Compliance Resources by State'!N"&amp;MATCH($B$1,'Demand by State by ST'!$E:$E,0)+($B28-2022))</f>
        <v>454.3122588</v>
      </c>
      <c r="CF28" s="82">
        <f t="shared" ca="1" si="37"/>
        <v>0</v>
      </c>
      <c r="CG28" s="83">
        <f t="shared" ca="1" si="38"/>
        <v>3.0409999999999999</v>
      </c>
      <c r="CH28" s="82">
        <f t="shared" ca="1" si="39"/>
        <v>0</v>
      </c>
      <c r="CI28" s="84">
        <f ca="1">SUM(CH$4:CH28)</f>
        <v>3473409.0797723993</v>
      </c>
      <c r="CJ28" s="81" cm="1">
        <f t="array" aca="1" ref="CJ28" ca="1">INDIRECT("'Compliance Resources by State'!R"&amp;MATCH($B$1,'Demand by State by ST'!$E:$E,0)+($B28-2022))</f>
        <v>0</v>
      </c>
      <c r="CK28" s="82">
        <f t="shared" ca="1" si="40"/>
        <v>0</v>
      </c>
      <c r="CL28" s="83">
        <f t="shared" ca="1" si="41"/>
        <v>7.7060000000000004</v>
      </c>
      <c r="CM28" s="82">
        <f t="shared" ca="1" si="42"/>
        <v>0</v>
      </c>
      <c r="CN28" s="84">
        <f ca="1">SUM(CM$4:CM28)</f>
        <v>0</v>
      </c>
      <c r="CO28" s="127">
        <f t="shared" ca="1" si="43"/>
        <v>0.19437595525857801</v>
      </c>
      <c r="CP28" s="128">
        <f t="shared" ca="1" si="44"/>
        <v>8.3048091481981265E-2</v>
      </c>
      <c r="CQ28" s="128">
        <f t="shared" ca="1" si="45"/>
        <v>0</v>
      </c>
      <c r="CR28" s="128">
        <f t="shared" ca="1" si="46"/>
        <v>0.27285834774434797</v>
      </c>
      <c r="CS28" s="159">
        <f ca="1">VLOOKUP('Compliance Data'!$B28,'Notes and Scenario Inputs'!$B$57:$C$86,2,FALSE)*BI28</f>
        <v>1492.6639502976</v>
      </c>
      <c r="CT28" s="120">
        <f t="shared" ca="1" si="47"/>
        <v>1517.6404788</v>
      </c>
      <c r="CU28" s="83">
        <f ca="1">'Notes and Scenario Inputs'!C82*'Compliance Data'!BI28-'Compliance Data'!CV28</f>
        <v>1471.9855661515103</v>
      </c>
      <c r="CV28" s="90">
        <f t="shared" ca="1" si="48"/>
        <v>20.678384146089599</v>
      </c>
      <c r="CW28" s="104">
        <f>IF(VALUE(RIGHT($B$1,LEN($B$1)-7))=1,0,VLOOKUP($B28,'Load Reductions'!$1:$30,VALUE(RIGHT($B$1,LEN($B$1)-7)+39),FALSE))</f>
        <v>3721.9272306640628</v>
      </c>
      <c r="CX28" s="105">
        <f>IF(VALUE(RIGHT($B$1,LEN($B$1)-7))=1,0,VLOOKUP($B28,'Load Reductions'!$1:$30,VALUE(RIGHT($B$1,LEN($B$1)-7)+48),FALSE))</f>
        <v>1412.8841581054687</v>
      </c>
      <c r="CY28" s="105">
        <f>IF(VALUE(RIGHT($B$1,LEN($B$1)-7))=1,0,VLOOKUP($B28,'Load Reductions'!$1:$30,VALUE(RIGHT($B$1,LEN($B$1)-7)+57),FALSE))</f>
        <v>417.26412714843752</v>
      </c>
      <c r="CZ28" s="105">
        <f>IF(VALUE(RIGHT($B$1,LEN($B$1)-7))=1,0,VLOOKUP($B28,'Load Reductions'!$1:$30,VALUE(RIGHT($B$1,LEN($B$1)-7)+66),FALSE))</f>
        <v>831.10716708984376</v>
      </c>
      <c r="DA28" s="136">
        <f>IF(AND($B28 = 2022, $B$1&lt;&gt;"Sample 3"), 0, VLOOKUP($B28,'Washington DSM Scenario Costs'!$A$1:$BN$30,RIGHT($B$1,LEN($B$1)-7)+56,FALSE))</f>
        <v>0</v>
      </c>
      <c r="DB28" s="96">
        <f t="shared" ca="1" si="49"/>
        <v>5470.4719963199996</v>
      </c>
      <c r="DC28" s="82">
        <f t="shared" ca="1" si="50"/>
        <v>3780.4083350400001</v>
      </c>
      <c r="DD28" s="82">
        <f t="shared" ca="1" si="51"/>
        <v>3780.4083328799993</v>
      </c>
      <c r="DE28" s="81">
        <f t="shared" ca="1" si="52"/>
        <v>14220001.952635441</v>
      </c>
      <c r="DF28" s="143">
        <f t="shared" ca="1" si="53"/>
        <v>2.5994104278755601</v>
      </c>
      <c r="DG28" s="82">
        <f t="shared" ca="1" si="54"/>
        <v>627620.39208959998</v>
      </c>
      <c r="DH28" s="145">
        <f t="shared" ca="1" si="55"/>
        <v>0.11472874598605053</v>
      </c>
      <c r="DI28" s="82">
        <f t="shared" si="62"/>
        <v>0</v>
      </c>
      <c r="DJ28" s="143">
        <f t="shared" ca="1" si="56"/>
        <v>0</v>
      </c>
      <c r="DK28" s="116">
        <f t="shared" ca="1" si="57"/>
        <v>14847622.344725041</v>
      </c>
      <c r="DL28" s="112">
        <f t="shared" ca="1" si="58"/>
        <v>2.7141391738616107</v>
      </c>
      <c r="DM28" s="102" cm="1">
        <f t="array" aca="1" ref="DM28" ca="1">INDIRECT("'Emissions by State'!I"&amp;MATCH($B$1,'Demand by State by ST'!$E:$E,0)+($B28-2022))</f>
        <v>221846.99999998999</v>
      </c>
      <c r="DN28" s="82">
        <f t="shared" ca="1" si="59"/>
        <v>201256.27069499093</v>
      </c>
      <c r="DO28" s="124"/>
      <c r="DP28" s="58">
        <v>201258.6</v>
      </c>
      <c r="DQ28" s="4">
        <f t="shared" ca="1" si="60"/>
        <v>43.890875291463452</v>
      </c>
    </row>
    <row r="29" spans="1:121" x14ac:dyDescent="0.25">
      <c r="A29">
        <v>365</v>
      </c>
      <c r="B29">
        <v>2047</v>
      </c>
      <c r="C29" s="92" cm="1">
        <f t="array" aca="1" ref="C29" ca="1">INDIRECT("'Demand by State by ST'!H"&amp;MATCH($B$1,'Demand by State by ST'!$E:$E,0)+($B29-2022))</f>
        <v>38374.408998480001</v>
      </c>
      <c r="D29" s="100" cm="1">
        <f t="array" aca="1" ref="D29" ca="1">INDIRECT("'Demand by State by ST'!J"&amp;MATCH($B$1,'Demand by State by ST'!$E:$E,0)+($B29-2022))</f>
        <v>13702.079007599999</v>
      </c>
      <c r="E29" s="96" cm="1">
        <f t="array" aca="1" ref="E29" ca="1">INDIRECT("'Gas Flow by State'!H"&amp;MATCH($B$1,'Demand by State by ST'!$E:$E,0)+($B29-2022))</f>
        <v>49678.949506080004</v>
      </c>
      <c r="F29" s="98">
        <f ca="1">VLOOKUP($B29,'WACOG Calc'!$B$49:$L$78,VALUE(RIGHT($B$1,LEN($B$1)-7))+1,FALSE)</f>
        <v>4.2656574260057427</v>
      </c>
      <c r="G29" s="90">
        <f t="shared" ca="1" si="0"/>
        <v>211913379.87677449</v>
      </c>
      <c r="H29" s="82" cm="1">
        <f t="array" aca="1" ref="H29" ca="1">INDIRECT("'Compliance Resources by State'!H"&amp;MATCH($B$1,'Demand by State by ST'!$E:$E,0)+($B29-2022))</f>
        <v>6444.6803524799998</v>
      </c>
      <c r="I29" s="83" cm="1">
        <f t="array" aca="1" ref="I29" ca="1">INDIRECT("'OR CCI Price'!C"&amp;MATCH($B29,'OR CCI Price'!$A:$A,0))</f>
        <v>7.0603049999999996</v>
      </c>
      <c r="J29" s="90">
        <f t="shared" ca="1" si="1"/>
        <v>45501408.916016303</v>
      </c>
      <c r="K29" s="81" cm="1">
        <f t="array" aca="1" ref="K29" ca="1">INDIRECT("'Compliance Resources by State'!J"&amp;MATCH($B$1,'Demand by State by ST'!$E:$E,0)+($B29-2022))</f>
        <v>7711.4432423999997</v>
      </c>
      <c r="L29" s="82">
        <f t="shared" ca="1" si="2"/>
        <v>0</v>
      </c>
      <c r="M29" s="83" cm="1">
        <f t="array" aca="1" ref="M29" ca="1">INDIRECT("'MC_Supply Price "&amp;K$2&amp;"'!D"&amp;MATCH($B29,'MC_Supply Price RNG Tranche 1'!$A:$A,0)+VALUE(RIGHT($B$1,LEN($B$1)-7))-1)</f>
        <v>10.574</v>
      </c>
      <c r="N29" s="82">
        <f t="shared" ca="1" si="3"/>
        <v>0</v>
      </c>
      <c r="O29" s="90">
        <f ca="1">SUM(N$4:N29)</f>
        <v>80125296.282689035</v>
      </c>
      <c r="P29" s="81" cm="1">
        <f t="array" aca="1" ref="P29" ca="1">INDIRECT("'Compliance Resources by State'!K"&amp;MATCH($B$1,'Demand by State by ST'!$E:$E,0)+($B29-2022))</f>
        <v>0</v>
      </c>
      <c r="Q29" s="82">
        <f t="shared" ca="1" si="4"/>
        <v>0</v>
      </c>
      <c r="R29" s="83" cm="1">
        <f t="array" aca="1" ref="R29" ca="1">INDIRECT("'MC_Supply Price "&amp;P$2&amp;"'!D"&amp;MATCH($B29,'MC_Supply Price RNG Tranche 2'!$A:$A,0)+VALUE(RIGHT($B$1,LEN($B$1)-7))-1)</f>
        <v>15.574</v>
      </c>
      <c r="S29" s="82">
        <f t="shared" ca="1" si="5"/>
        <v>0</v>
      </c>
      <c r="T29" s="84">
        <f ca="1">SUM(S$4:S29)</f>
        <v>0</v>
      </c>
      <c r="U29" s="81" cm="1">
        <f t="array" aca="1" ref="U29" ca="1">INDIRECT("'Compliance Resources by State'!I"&amp;MATCH($B$1,'Demand by State by ST'!$E:$E,0)+($B29-2022))</f>
        <v>9135.5931467999999</v>
      </c>
      <c r="V29" s="82">
        <f t="shared" ca="1" si="6"/>
        <v>0</v>
      </c>
      <c r="W29" s="83" cm="1">
        <f t="array" aca="1" ref="W29" ca="1">INDIRECT("'MC_Supply Price "&amp;U$2&amp;"'!D"&amp;MATCH($B29,'MC_Supply Price Hydrogen'!$A:$A,0)+VALUE(RIGHT($B$1,LEN($B$1)-7))-1)</f>
        <v>2.714</v>
      </c>
      <c r="X29" s="82">
        <f t="shared" ca="1" si="7"/>
        <v>0</v>
      </c>
      <c r="Y29" s="90">
        <f ca="1">SUM(X$4:X29)</f>
        <v>60820072.758455761</v>
      </c>
      <c r="Z29" s="81" cm="1">
        <f t="array" aca="1" ref="Z29" ca="1">INDIRECT("'Compliance Resources by State'!L"&amp;MATCH($B$1,'Demand by State by ST'!$E:$E,0)+($B29-2022))</f>
        <v>6936.6801972000003</v>
      </c>
      <c r="AA29" s="82">
        <f t="shared" ca="1" si="8"/>
        <v>0</v>
      </c>
      <c r="AB29" s="83" cm="1">
        <f t="array" aca="1" ref="AB29" ca="1">INDIRECT("'MC_Supply Price Synthetic Metha'!D"&amp;MATCH($B29,'MC_Supply Price Synthetic Metha'!$A:$A,0)+VALUE(RIGHT($B$1,LEN($B$1)-7))-1)</f>
        <v>7.2619999999999996</v>
      </c>
      <c r="AC29" s="82">
        <f t="shared" ca="1" si="9"/>
        <v>0</v>
      </c>
      <c r="AD29" s="82">
        <f ca="1">SUM(AC$4:AC29)</f>
        <v>64460496.332745358</v>
      </c>
      <c r="AE29" s="127">
        <f t="shared" ca="1" si="10"/>
        <v>0.18346020928455395</v>
      </c>
      <c r="AF29" s="128">
        <f t="shared" ca="1" si="11"/>
        <v>0.17542644476588759</v>
      </c>
      <c r="AG29" s="128">
        <f t="shared" ca="1" si="12"/>
        <v>0.1332017665321466</v>
      </c>
      <c r="AH29" s="82">
        <f t="shared" ca="1" si="13"/>
        <v>23783.716586400002</v>
      </c>
      <c r="AI29" s="156">
        <f t="shared" ca="1" si="14"/>
        <v>0.23580336058913798</v>
      </c>
      <c r="AJ29" s="90">
        <f ca="1">VLOOKUP('Compliance Data'!$B29,'Notes and Scenario Inputs'!$B$57:$C$86,2,FALSE)*'Compliance Data'!C29</f>
        <v>12279.810879513601</v>
      </c>
      <c r="AK29" s="105">
        <f>IF(VALUE(RIGHT($B$1,LEN($B$1)-7))=1,0,VLOOKUP($B29,'Load Reductions'!$1:$30,VALUE(RIGHT($B$1,LEN($B$1)-7)),FALSE))</f>
        <v>17840.64122265625</v>
      </c>
      <c r="AL29" s="105">
        <f>IF(VALUE(RIGHT($B$1,LEN($B$1)-7))=1,0,VLOOKUP($B29,'Load Reductions'!$1:$30,VALUE(RIGHT($B$1,LEN($B$1)-7)+9),FALSE))</f>
        <v>12861.794131250001</v>
      </c>
      <c r="AM29" s="155">
        <f>IF(VALUE(RIGHT($B$1,LEN($B$1)-7))=1,0,VLOOKUP($B29,'Load Reductions'!$1:$30,VALUE(RIGHT($B$1,LEN($B$1)-7)+18),FALSE))</f>
        <v>8753.2621101562509</v>
      </c>
      <c r="AN29" s="105">
        <f>IF(VALUE(RIGHT($B$1,LEN($B$1)-7))=1,0,VLOOKUP($B29,'Load Reductions'!$1:$30,VALUE(RIGHT($B$1,LEN($B$1)-7)+27),FALSE))</f>
        <v>17607.531212499998</v>
      </c>
      <c r="AO29" s="135">
        <f>VLOOKUP($B29,'Oregon DSM Scenario Costs'!$A$1:$BN$30,RIGHT($B$1,LEN($B$1)-7)+56,FALSE)</f>
        <v>0</v>
      </c>
      <c r="AP29" s="96">
        <f t="shared" ca="1" si="15"/>
        <v>52076.488006079999</v>
      </c>
      <c r="AQ29" s="105">
        <f>'Fixed Contracts'!C29</f>
        <v>768.99997000000008</v>
      </c>
      <c r="AR29" s="82">
        <f>'Fixed Contracts'!B29</f>
        <v>1842.5201459999998</v>
      </c>
      <c r="AS29" s="82">
        <f t="shared" ca="1" si="61"/>
        <v>35642.439021999999</v>
      </c>
      <c r="AT29" s="82">
        <f t="shared" ca="1" si="16"/>
        <v>20005.570921200007</v>
      </c>
      <c r="AU29" s="113">
        <f t="shared" ca="1" si="17"/>
        <v>205405865.37389016</v>
      </c>
      <c r="AV29" s="139">
        <f t="shared" ca="1" si="18"/>
        <v>3.9443110170929487</v>
      </c>
      <c r="AW29" s="116">
        <f t="shared" ca="1" si="19"/>
        <v>45501408.916016303</v>
      </c>
      <c r="AX29" s="139">
        <f t="shared" ca="1" si="20"/>
        <v>0.87374188733126457</v>
      </c>
      <c r="AY29" s="116">
        <f t="shared" si="21"/>
        <v>0</v>
      </c>
      <c r="AZ29" s="141">
        <f t="shared" ca="1" si="22"/>
        <v>0</v>
      </c>
      <c r="BA29" s="116">
        <f t="shared" ca="1" si="23"/>
        <v>250907274.28990647</v>
      </c>
      <c r="BB29" s="112">
        <f t="shared" ca="1" si="24"/>
        <v>4.8180529044242135</v>
      </c>
      <c r="BC29" s="102" cm="1">
        <f t="array" aca="1" ref="BC29" ca="1">INDIRECT("'Emissions by State'!H"&amp;MATCH($B$1,'Demand by State by ST'!$E:$E,0)+($B29-2022))</f>
        <v>1176924</v>
      </c>
      <c r="BD29" s="82">
        <f t="shared" ca="1" si="25"/>
        <v>1067687.7989400001</v>
      </c>
      <c r="BE29" s="82"/>
      <c r="BF29" s="90">
        <v>1067698.2599999998</v>
      </c>
      <c r="BG29" s="4">
        <f t="shared" ca="1" si="26"/>
        <v>197.11677005498501</v>
      </c>
      <c r="BH29">
        <v>2047</v>
      </c>
      <c r="BI29" s="92" cm="1">
        <f t="array" aca="1" ref="BI29" ca="1">INDIRECT("'Demand by State by ST'!I"&amp;MATCH($B$1,'Demand by State by ST'!$E:$E,0)+($B29-2022))</f>
        <v>4641.2759992800002</v>
      </c>
      <c r="BJ29" s="93" cm="1">
        <f t="array" aca="1" ref="BJ29" ca="1">INDIRECT("'Demand by State by ST'!K"&amp;MATCH($B$1,'Demand by State by ST'!$E:$E,0)+($B29-2022))</f>
        <v>621.70199016000004</v>
      </c>
      <c r="BK29" s="96" cm="1">
        <f t="array" aca="1" ref="BK29" ca="1">INDIRECT("'Gas Flow by State'!I"&amp;MATCH($B$1,'Demand by State by ST'!$E:$E,0)+($B29-2022))</f>
        <v>5262.9780007199997</v>
      </c>
      <c r="BL29" s="118">
        <f t="shared" ca="1" si="27"/>
        <v>4.2656574260057427</v>
      </c>
      <c r="BM29" s="93">
        <f t="shared" ca="1" si="28"/>
        <v>22450061.191676121</v>
      </c>
      <c r="BN29" s="81" cm="1">
        <f t="array" aca="1" ref="BN29" ca="1">INDIRECT("'Compliance Resources by State'!M"&amp;MATCH($B$1,'Demand by State by ST'!$E:$E,0)+($B29-2022))</f>
        <v>0</v>
      </c>
      <c r="BO29" s="83">
        <f>VLOOKUP(DATE($BH29,1,1),'MC_Allowance Price'!$A:$K,VALUE(RIGHT($B$1,LEN($B$1)-7))+1,FALSE)</f>
        <v>7.0221809990540507</v>
      </c>
      <c r="BP29">
        <v>7.24</v>
      </c>
      <c r="BQ29" s="90">
        <f t="shared" ca="1" si="29"/>
        <v>0</v>
      </c>
      <c r="BR29" s="81" cm="1">
        <f t="array" aca="1" ref="BR29" ca="1">INDIRECT("'Compliance Resources by State'!O"&amp;MATCH($B$1,'Demand by State by ST'!$E:$E,0)+($B29-2022))</f>
        <v>63.07808232</v>
      </c>
      <c r="BS29" s="83">
        <f>VLOOKUP(DATE($BH29,1,1),'MC_Supply Price Offsets'!$A:$K,VALUE(RIGHT($B$1,LEN($B$1)-7))+1,FALSE)</f>
        <v>3.911</v>
      </c>
      <c r="BT29" s="90">
        <f t="shared" ca="1" si="30"/>
        <v>246698.37995351999</v>
      </c>
      <c r="BU29" s="81" cm="1">
        <f t="array" aca="1" ref="BU29" ca="1">INDIRECT("'Compliance Resources by State'!P"&amp;MATCH($B$1,'Demand by State by ST'!$E:$E,0)+($B29-2022))</f>
        <v>1063.3282200000001</v>
      </c>
      <c r="BV29" s="82">
        <f t="shared" ca="1" si="31"/>
        <v>0</v>
      </c>
      <c r="BW29" s="83">
        <f t="shared" ca="1" si="32"/>
        <v>10.574</v>
      </c>
      <c r="BX29" s="82">
        <f t="shared" ca="1" si="33"/>
        <v>0</v>
      </c>
      <c r="BY29" s="84">
        <f ca="1">SUM(BX$4:BX29)</f>
        <v>10746592.872863041</v>
      </c>
      <c r="BZ29" s="81" cm="1">
        <f t="array" aca="1" ref="BZ29" ca="1">INDIRECT("'Compliance Resources by State'!Q"&amp;MATCH($B$1,'Demand by State by ST'!$E:$E,0)+($B29-2022))</f>
        <v>0</v>
      </c>
      <c r="CA29" s="82">
        <f t="shared" ca="1" si="34"/>
        <v>0</v>
      </c>
      <c r="CB29" s="83">
        <f t="shared" ca="1" si="35"/>
        <v>15.574</v>
      </c>
      <c r="CC29" s="82">
        <f t="shared" ca="1" si="36"/>
        <v>0</v>
      </c>
      <c r="CD29" s="84">
        <f ca="1">SUM(CC$4:CC29)</f>
        <v>0</v>
      </c>
      <c r="CE29" s="81" cm="1">
        <f t="array" aca="1" ref="CE29" ca="1">INDIRECT("'Compliance Resources by State'!N"&amp;MATCH($B$1,'Demand by State by ST'!$E:$E,0)+($B29-2022))</f>
        <v>454.3122588</v>
      </c>
      <c r="CF29" s="82">
        <f t="shared" ca="1" si="37"/>
        <v>0</v>
      </c>
      <c r="CG29" s="83">
        <f t="shared" ca="1" si="38"/>
        <v>2.714</v>
      </c>
      <c r="CH29" s="82">
        <f t="shared" ca="1" si="39"/>
        <v>0</v>
      </c>
      <c r="CI29" s="84">
        <f ca="1">SUM(CH$4:CH29)</f>
        <v>3473409.0797723993</v>
      </c>
      <c r="CJ29" s="81" cm="1">
        <f t="array" aca="1" ref="CJ29" ca="1">INDIRECT("'Compliance Resources by State'!R"&amp;MATCH($B$1,'Demand by State by ST'!$E:$E,0)+($B29-2022))</f>
        <v>0</v>
      </c>
      <c r="CK29" s="82">
        <f t="shared" ca="1" si="40"/>
        <v>0</v>
      </c>
      <c r="CL29" s="83">
        <f t="shared" ca="1" si="41"/>
        <v>7.2619999999999996</v>
      </c>
      <c r="CM29" s="82">
        <f t="shared" ca="1" si="42"/>
        <v>0</v>
      </c>
      <c r="CN29" s="84">
        <f ca="1">SUM(CM$4:CM29)</f>
        <v>0</v>
      </c>
      <c r="CO29" s="127">
        <f t="shared" ca="1" si="43"/>
        <v>0.2020392679075487</v>
      </c>
      <c r="CP29" s="128">
        <f t="shared" ca="1" si="44"/>
        <v>8.632227984072198E-2</v>
      </c>
      <c r="CQ29" s="128">
        <f t="shared" ca="1" si="45"/>
        <v>0</v>
      </c>
      <c r="CR29" s="128">
        <f t="shared" ca="1" si="46"/>
        <v>0.28219922689200372</v>
      </c>
      <c r="CS29" s="159">
        <f ca="1">VLOOKUP('Compliance Data'!$B29,'Notes and Scenario Inputs'!$B$57:$C$86,2,FALSE)*BI29</f>
        <v>1485.2083197696002</v>
      </c>
      <c r="CT29" s="120">
        <f t="shared" ca="1" si="47"/>
        <v>1517.6404788</v>
      </c>
      <c r="CU29" s="83">
        <f ca="1">'Notes and Scenario Inputs'!C83*'Compliance Data'!BI29-'Compliance Data'!CV29</f>
        <v>1465.3142629695169</v>
      </c>
      <c r="CV29" s="90">
        <f t="shared" ca="1" si="48"/>
        <v>19.894056800083199</v>
      </c>
      <c r="CW29" s="104">
        <f>IF(VALUE(RIGHT($B$1,LEN($B$1)-7))=1,0,VLOOKUP($B29,'Load Reductions'!$1:$30,VALUE(RIGHT($B$1,LEN($B$1)-7)+39),FALSE))</f>
        <v>3879.9427515625002</v>
      </c>
      <c r="CX29" s="105">
        <f>IF(VALUE(RIGHT($B$1,LEN($B$1)-7))=1,0,VLOOKUP($B29,'Load Reductions'!$1:$30,VALUE(RIGHT($B$1,LEN($B$1)-7)+48),FALSE))</f>
        <v>1474.762767578125</v>
      </c>
      <c r="CY29" s="105">
        <f>IF(VALUE(RIGHT($B$1,LEN($B$1)-7))=1,0,VLOOKUP($B29,'Load Reductions'!$1:$30,VALUE(RIGHT($B$1,LEN($B$1)-7)+57),FALSE))</f>
        <v>432.14130532226562</v>
      </c>
      <c r="CZ29" s="105">
        <f>IF(VALUE(RIGHT($B$1,LEN($B$1)-7))=1,0,VLOOKUP($B29,'Load Reductions'!$1:$30,VALUE(RIGHT($B$1,LEN($B$1)-7)+66),FALSE))</f>
        <v>855.0201127929688</v>
      </c>
      <c r="DA29" s="136">
        <f>IF(AND($B29 = 2022, $B$1&lt;&gt;"Sample 3"), 0, VLOOKUP($B29,'Washington DSM Scenario Costs'!$A$1:$BN$30,RIGHT($B$1,LEN($B$1)-7)+56,FALSE))</f>
        <v>0</v>
      </c>
      <c r="DB29" s="96">
        <f t="shared" ca="1" si="49"/>
        <v>5262.9779894399999</v>
      </c>
      <c r="DC29" s="82">
        <f t="shared" ca="1" si="50"/>
        <v>3682.259439599999</v>
      </c>
      <c r="DD29" s="82">
        <f t="shared" ca="1" si="51"/>
        <v>3682.2594283199992</v>
      </c>
      <c r="DE29" s="81">
        <f t="shared" ca="1" si="52"/>
        <v>14220001.952635441</v>
      </c>
      <c r="DF29" s="143">
        <f t="shared" ca="1" si="53"/>
        <v>2.7018927271152244</v>
      </c>
      <c r="DG29" s="82">
        <f t="shared" ca="1" si="54"/>
        <v>246698.37995351999</v>
      </c>
      <c r="DH29" s="145">
        <f t="shared" ca="1" si="55"/>
        <v>4.6874294448601639E-2</v>
      </c>
      <c r="DI29" s="82">
        <f t="shared" si="62"/>
        <v>0</v>
      </c>
      <c r="DJ29" s="143">
        <f t="shared" ca="1" si="56"/>
        <v>0</v>
      </c>
      <c r="DK29" s="116">
        <f t="shared" ca="1" si="57"/>
        <v>14466700.332588961</v>
      </c>
      <c r="DL29" s="112">
        <f t="shared" ca="1" si="58"/>
        <v>2.7487670215638262</v>
      </c>
      <c r="DM29" s="102" cm="1">
        <f t="array" aca="1" ref="DM29" ca="1">INDIRECT("'Emissions by State'!I"&amp;MATCH($B$1,'Demand by State by ST'!$E:$E,0)+($B29-2022))</f>
        <v>216079</v>
      </c>
      <c r="DN29" s="82">
        <f t="shared" ca="1" si="59"/>
        <v>196023.627615</v>
      </c>
      <c r="DO29" s="124"/>
      <c r="DP29" s="58">
        <v>196025.9</v>
      </c>
      <c r="DQ29" s="4">
        <f t="shared" ca="1" si="60"/>
        <v>42.81833691176417</v>
      </c>
    </row>
    <row r="30" spans="1:121" x14ac:dyDescent="0.25">
      <c r="A30">
        <v>366</v>
      </c>
      <c r="B30">
        <v>2048</v>
      </c>
      <c r="C30" s="92" cm="1">
        <f t="array" aca="1" ref="C30" ca="1">INDIRECT("'Demand by State by ST'!H"&amp;MATCH($B$1,'Demand by State by ST'!$E:$E,0)+($B30-2022))</f>
        <v>37171.836000000003</v>
      </c>
      <c r="D30" s="100" cm="1">
        <f t="array" aca="1" ref="D30" ca="1">INDIRECT("'Demand by State by ST'!J"&amp;MATCH($B$1,'Demand by State by ST'!$E:$E,0)+($B30-2022))</f>
        <v>13082.207997359999</v>
      </c>
      <c r="E30" s="96" cm="1">
        <f t="array" aca="1" ref="E30" ca="1">INDIRECT("'Gas Flow by State'!H"&amp;MATCH($B$1,'Demand by State by ST'!$E:$E,0)+($B30-2022))</f>
        <v>52449.688077120001</v>
      </c>
      <c r="F30" s="98">
        <f ca="1">VLOOKUP($B30,'WACOG Calc'!$B$49:$L$78,VALUE(RIGHT($B$1,LEN($B$1)-7))+1,FALSE)</f>
        <v>4.5102561358589401</v>
      </c>
      <c r="G30" s="90">
        <f t="shared" ca="1" si="0"/>
        <v>236561527.47371799</v>
      </c>
      <c r="H30" s="82" cm="1">
        <f t="array" aca="1" ref="H30" ca="1">INDIRECT("'Compliance Resources by State'!H"&amp;MATCH($B$1,'Demand by State by ST'!$E:$E,0)+($B30-2022))</f>
        <v>0</v>
      </c>
      <c r="I30" s="83" cm="1">
        <f t="array" aca="1" ref="I30" ca="1">INDIRECT("'OR CCI Price'!C"&amp;MATCH($B30,'OR CCI Price'!$A:$A,0))</f>
        <v>7.1133899999999999</v>
      </c>
      <c r="J30" s="84">
        <f t="shared" ca="1" si="1"/>
        <v>0</v>
      </c>
      <c r="K30" s="81" cm="1">
        <f t="array" aca="1" ref="K30" ca="1">INDIRECT("'Compliance Resources by State'!J"&amp;MATCH($B$1,'Demand by State by ST'!$E:$E,0)+($B30-2022))</f>
        <v>7732.57048416</v>
      </c>
      <c r="L30" s="82">
        <f t="shared" ca="1" si="2"/>
        <v>-3.637978807091713E-12</v>
      </c>
      <c r="M30" s="83" cm="1">
        <f t="array" aca="1" ref="M30" ca="1">INDIRECT("'MC_Supply Price "&amp;K$2&amp;"'!D"&amp;MATCH($B30,'MC_Supply Price RNG Tranche 1'!$A:$A,0)+VALUE(RIGHT($B$1,LEN($B$1)-7))-1)</f>
        <v>10.573</v>
      </c>
      <c r="N30" s="82">
        <f t="shared" ca="1" si="3"/>
        <v>-1.407795207342133E-8</v>
      </c>
      <c r="O30" s="90">
        <f ca="1">SUM(N$4:N30)</f>
        <v>80125296.28268902</v>
      </c>
      <c r="P30" s="81" cm="1">
        <f t="array" aca="1" ref="P30" ca="1">INDIRECT("'Compliance Resources by State'!K"&amp;MATCH($B$1,'Demand by State by ST'!$E:$E,0)+($B30-2022))</f>
        <v>0</v>
      </c>
      <c r="Q30" s="82">
        <f t="shared" ca="1" si="4"/>
        <v>0</v>
      </c>
      <c r="R30" s="83" cm="1">
        <f t="array" aca="1" ref="R30" ca="1">INDIRECT("'MC_Supply Price "&amp;P$2&amp;"'!D"&amp;MATCH($B30,'MC_Supply Price RNG Tranche 2'!$A:$A,0)+VALUE(RIGHT($B$1,LEN($B$1)-7))-1)</f>
        <v>15.573</v>
      </c>
      <c r="S30" s="82">
        <f t="shared" ca="1" si="5"/>
        <v>0</v>
      </c>
      <c r="T30" s="84">
        <f ca="1">SUM(S$4:S30)</f>
        <v>0</v>
      </c>
      <c r="U30" s="81" cm="1">
        <f t="array" aca="1" ref="U30" ca="1">INDIRECT("'Compliance Resources by State'!I"&amp;MATCH($B$1,'Demand by State by ST'!$E:$E,0)+($B30-2022))</f>
        <v>9160.6221691200008</v>
      </c>
      <c r="V30" s="82">
        <f t="shared" ca="1" si="6"/>
        <v>0</v>
      </c>
      <c r="W30" s="83" cm="1">
        <f t="array" aca="1" ref="W30" ca="1">INDIRECT("'MC_Supply Price "&amp;U$2&amp;"'!D"&amp;MATCH($B30,'MC_Supply Price Hydrogen'!$A:$A,0)+VALUE(RIGHT($B$1,LEN($B$1)-7))-1)</f>
        <v>2.3929999999999998</v>
      </c>
      <c r="X30" s="82">
        <f t="shared" ca="1" si="7"/>
        <v>0</v>
      </c>
      <c r="Y30" s="90">
        <f ca="1">SUM(X$4:X30)</f>
        <v>60820072.758455761</v>
      </c>
      <c r="Z30" s="81" cm="1">
        <f t="array" aca="1" ref="Z30" ca="1">INDIRECT("'Compliance Resources by State'!L"&amp;MATCH($B$1,'Demand by State by ST'!$E:$E,0)+($B30-2022))</f>
        <v>14484.260939039999</v>
      </c>
      <c r="AA30" s="82">
        <f t="shared" ca="1" si="8"/>
        <v>20569.880159999997</v>
      </c>
      <c r="AB30" s="83" cm="1">
        <f t="array" aca="1" ref="AB30" ca="1">INDIRECT("'MC_Supply Price Synthetic Metha'!D"&amp;MATCH($B30,'MC_Supply Price Synthetic Metha'!$A:$A,0)+VALUE(RIGHT($B$1,LEN($B$1)-7))-1)</f>
        <v>6.8239999999999998</v>
      </c>
      <c r="AC30" s="82">
        <f t="shared" ca="1" si="9"/>
        <v>51375003.56953343</v>
      </c>
      <c r="AD30" s="82">
        <f ca="1">SUM(AC$4:AC30)</f>
        <v>115835499.90227878</v>
      </c>
      <c r="AE30" s="127">
        <f t="shared" ca="1" si="10"/>
        <v>0.19063418321246495</v>
      </c>
      <c r="AF30" s="128">
        <f t="shared" ca="1" si="11"/>
        <v>0.18228626873493478</v>
      </c>
      <c r="AG30" s="128">
        <f t="shared" ca="1" si="12"/>
        <v>0.28822080348003243</v>
      </c>
      <c r="AH30" s="82">
        <f t="shared" ca="1" si="13"/>
        <v>31377.453592320002</v>
      </c>
      <c r="AI30" s="156">
        <f t="shared" ca="1" si="14"/>
        <v>0.24409390576894488</v>
      </c>
      <c r="AJ30" s="90">
        <f ca="1">VLOOKUP('Compliance Data'!$B30,'Notes and Scenario Inputs'!$B$57:$C$86,2,FALSE)*'Compliance Data'!C30</f>
        <v>12266.705880000001</v>
      </c>
      <c r="AK30" s="105">
        <f>IF(VALUE(RIGHT($B$1,LEN($B$1)-7))=1,0,VLOOKUP($B30,'Load Reductions'!$1:$30,VALUE(RIGHT($B$1,LEN($B$1)-7)),FALSE))</f>
        <v>18618.9616828125</v>
      </c>
      <c r="AL30" s="105">
        <f>IF(VALUE(RIGHT($B$1,LEN($B$1)-7))=1,0,VLOOKUP($B30,'Load Reductions'!$1:$30,VALUE(RIGHT($B$1,LEN($B$1)-7)+9),FALSE))</f>
        <v>13433.80324921875</v>
      </c>
      <c r="AM30" s="155">
        <f>IF(VALUE(RIGHT($B$1,LEN($B$1)-7))=1,0,VLOOKUP($B30,'Load Reductions'!$1:$30,VALUE(RIGHT($B$1,LEN($B$1)-7)+18),FALSE))</f>
        <v>9215.7871718749993</v>
      </c>
      <c r="AN30" s="105">
        <f>IF(VALUE(RIGHT($B$1,LEN($B$1)-7))=1,0,VLOOKUP($B30,'Load Reductions'!$1:$30,VALUE(RIGHT($B$1,LEN($B$1)-7)+27),FALSE))</f>
        <v>18248.396828125002</v>
      </c>
      <c r="AO30" s="135">
        <f>VLOOKUP($B30,'Oregon DSM Scenario Costs'!$A$1:$BN$30,RIGHT($B$1,LEN($B$1)-7)+56,FALSE)</f>
        <v>0</v>
      </c>
      <c r="AP30" s="96">
        <f t="shared" ca="1" si="15"/>
        <v>50254.043997360001</v>
      </c>
      <c r="AQ30" s="105">
        <f>'Fixed Contracts'!C30</f>
        <v>768.99997000000008</v>
      </c>
      <c r="AR30" s="82">
        <f>'Fixed Contracts'!B30</f>
        <v>1847.5681464000002</v>
      </c>
      <c r="AS30" s="82">
        <f t="shared" ca="1" si="61"/>
        <v>37306.37542312</v>
      </c>
      <c r="AT30" s="82">
        <f t="shared" ca="1" si="16"/>
        <v>17029.022258640001</v>
      </c>
      <c r="AU30" s="113">
        <f t="shared" ca="1" si="17"/>
        <v>256780868.94342357</v>
      </c>
      <c r="AV30" s="139">
        <f t="shared" ca="1" si="18"/>
        <v>5.109655831019551</v>
      </c>
      <c r="AW30" s="116">
        <f t="shared" ca="1" si="19"/>
        <v>0</v>
      </c>
      <c r="AX30" s="139">
        <f t="shared" ca="1" si="20"/>
        <v>0</v>
      </c>
      <c r="AY30" s="116">
        <f t="shared" si="21"/>
        <v>0</v>
      </c>
      <c r="AZ30" s="141">
        <f t="shared" ca="1" si="22"/>
        <v>0</v>
      </c>
      <c r="BA30" s="116">
        <f t="shared" ca="1" si="23"/>
        <v>256780868.94342357</v>
      </c>
      <c r="BB30" s="112">
        <f t="shared" ca="1" si="24"/>
        <v>5.109655831019551</v>
      </c>
      <c r="BC30" s="102" cm="1">
        <f t="array" aca="1" ref="BC30" ca="1">INDIRECT("'Emissions by State'!H"&amp;MATCH($B$1,'Demand by State by ST'!$E:$E,0)+($B30-2022))</f>
        <v>1002565.00000001</v>
      </c>
      <c r="BD30" s="82">
        <f t="shared" ca="1" si="25"/>
        <v>909511.92952500912</v>
      </c>
      <c r="BE30" s="82"/>
      <c r="BF30" s="90">
        <v>909520.73999999976</v>
      </c>
      <c r="BG30" s="4">
        <f t="shared" ca="1" si="26"/>
        <v>166.01495191326558</v>
      </c>
      <c r="BH30">
        <v>2048</v>
      </c>
      <c r="BI30" s="92" cm="1">
        <f t="array" aca="1" ref="BI30" ca="1">INDIRECT("'Demand by State by ST'!I"&amp;MATCH($B$1,'Demand by State by ST'!$E:$E,0)+($B30-2022))</f>
        <v>4496.6259993599997</v>
      </c>
      <c r="BJ30" s="93" cm="1">
        <f t="array" aca="1" ref="BJ30" ca="1">INDIRECT("'Demand by State by ST'!K"&amp;MATCH($B$1,'Demand by State by ST'!$E:$E,0)+($B30-2022))</f>
        <v>592.13900760000001</v>
      </c>
      <c r="BK30" s="96" cm="1">
        <f t="array" aca="1" ref="BK30" ca="1">INDIRECT("'Gas Flow by State'!I"&amp;MATCH($B$1,'Demand by State by ST'!$E:$E,0)+($B30-2022))</f>
        <v>5088.7650021600002</v>
      </c>
      <c r="BL30" s="118">
        <f t="shared" ca="1" si="27"/>
        <v>4.5102561358589401</v>
      </c>
      <c r="BM30" s="93">
        <f t="shared" ca="1" si="28"/>
        <v>22951633.574936375</v>
      </c>
      <c r="BN30" s="81" cm="1">
        <f t="array" aca="1" ref="BN30" ca="1">INDIRECT("'Compliance Resources by State'!M"&amp;MATCH($B$1,'Demand by State by ST'!$E:$E,0)+($B30-2022))</f>
        <v>0</v>
      </c>
      <c r="BO30" s="83">
        <f>VLOOKUP(DATE($BH30,1,1),'MC_Allowance Price'!$A:$K,VALUE(RIGHT($B$1,LEN($B$1)-7))+1,FALSE)</f>
        <v>7.2198931009350886</v>
      </c>
      <c r="BP30">
        <v>7.33</v>
      </c>
      <c r="BQ30" s="90">
        <f t="shared" ca="1" si="29"/>
        <v>0</v>
      </c>
      <c r="BR30" s="81" cm="1">
        <f t="array" aca="1" ref="BR30" ca="1">INDIRECT("'Compliance Resources by State'!O"&amp;MATCH($B$1,'Demand by State by ST'!$E:$E,0)+($B30-2022))</f>
        <v>0</v>
      </c>
      <c r="BS30" s="83">
        <f>VLOOKUP(DATE($BH30,1,1),'MC_Supply Price Offsets'!$A:$K,VALUE(RIGHT($B$1,LEN($B$1)-7))+1,FALSE)</f>
        <v>4.1550000000000002</v>
      </c>
      <c r="BT30" s="90">
        <f t="shared" ca="1" si="30"/>
        <v>0</v>
      </c>
      <c r="BU30" s="81" cm="1">
        <f t="array" aca="1" ref="BU30" ca="1">INDIRECT("'Compliance Resources by State'!P"&amp;MATCH($B$1,'Demand by State by ST'!$E:$E,0)+($B30-2022))</f>
        <v>1066.241448</v>
      </c>
      <c r="BV30" s="82">
        <f t="shared" ca="1" si="31"/>
        <v>-4.5474735088646412E-13</v>
      </c>
      <c r="BW30" s="83">
        <f t="shared" ca="1" si="32"/>
        <v>10.573</v>
      </c>
      <c r="BX30" s="82">
        <f t="shared" ca="1" si="33"/>
        <v>-1.7597440091776663E-9</v>
      </c>
      <c r="BY30" s="84">
        <f ca="1">SUM(BX$4:BX30)</f>
        <v>10746592.872863039</v>
      </c>
      <c r="BZ30" s="81" cm="1">
        <f t="array" aca="1" ref="BZ30" ca="1">INDIRECT("'Compliance Resources by State'!Q"&amp;MATCH($B$1,'Demand by State by ST'!$E:$E,0)+($B30-2022))</f>
        <v>0</v>
      </c>
      <c r="CA30" s="82">
        <f t="shared" ca="1" si="34"/>
        <v>0</v>
      </c>
      <c r="CB30" s="83">
        <f t="shared" ca="1" si="35"/>
        <v>15.573</v>
      </c>
      <c r="CC30" s="82">
        <f t="shared" ca="1" si="36"/>
        <v>0</v>
      </c>
      <c r="CD30" s="84">
        <f ca="1">SUM(CC$4:CC30)</f>
        <v>0</v>
      </c>
      <c r="CE30" s="81" cm="1">
        <f t="array" aca="1" ref="CE30" ca="1">INDIRECT("'Compliance Resources by State'!N"&amp;MATCH($B$1,'Demand by State by ST'!$E:$E,0)+($B30-2022))</f>
        <v>455.55694992000002</v>
      </c>
      <c r="CF30" s="82">
        <f t="shared" ca="1" si="37"/>
        <v>2.2737367544323206E-13</v>
      </c>
      <c r="CG30" s="83">
        <f t="shared" ca="1" si="38"/>
        <v>2.3929999999999998</v>
      </c>
      <c r="CH30" s="82">
        <f t="shared" ca="1" si="39"/>
        <v>1.9914250515284947E-10</v>
      </c>
      <c r="CI30" s="84">
        <f ca="1">SUM(CH$4:CH30)</f>
        <v>3473409.0797723993</v>
      </c>
      <c r="CJ30" s="81" cm="1">
        <f t="array" aca="1" ref="CJ30" ca="1">INDIRECT("'Compliance Resources by State'!R"&amp;MATCH($B$1,'Demand by State by ST'!$E:$E,0)+($B30-2022))</f>
        <v>0</v>
      </c>
      <c r="CK30" s="82">
        <f t="shared" ca="1" si="40"/>
        <v>0</v>
      </c>
      <c r="CL30" s="83">
        <f t="shared" ca="1" si="41"/>
        <v>6.8239999999999998</v>
      </c>
      <c r="CM30" s="82">
        <f t="shared" ca="1" si="42"/>
        <v>0</v>
      </c>
      <c r="CN30" s="84">
        <f ca="1">SUM(CM$4:CM30)</f>
        <v>0</v>
      </c>
      <c r="CO30" s="127">
        <f t="shared" ca="1" si="43"/>
        <v>0.20952852932719068</v>
      </c>
      <c r="CP30" s="128">
        <f t="shared" ca="1" si="44"/>
        <v>8.9522103947996465E-2</v>
      </c>
      <c r="CQ30" s="128">
        <f t="shared" ca="1" si="45"/>
        <v>0</v>
      </c>
      <c r="CR30" s="128">
        <f t="shared" ca="1" si="46"/>
        <v>0.29160053131933983</v>
      </c>
      <c r="CS30" s="159">
        <f ca="1">VLOOKUP('Compliance Data'!$B30,'Notes and Scenario Inputs'!$B$57:$C$86,2,FALSE)*BI30</f>
        <v>1483.8865797888</v>
      </c>
      <c r="CT30" s="120">
        <f t="shared" ca="1" si="47"/>
        <v>1521.7983979200001</v>
      </c>
      <c r="CU30" s="83">
        <f ca="1">'Notes and Scenario Inputs'!C84*'Compliance Data'!BI30-'Compliance Data'!CV30</f>
        <v>1464.6510480624911</v>
      </c>
      <c r="CV30" s="90">
        <f t="shared" ca="1" si="48"/>
        <v>19.235531726308796</v>
      </c>
      <c r="CW30" s="104">
        <f>IF(VALUE(RIGHT($B$1,LEN($B$1)-7))=1,0,VLOOKUP($B30,'Load Reductions'!$1:$30,VALUE(RIGHT($B$1,LEN($B$1)-7)+39),FALSE))</f>
        <v>4062.4254804687503</v>
      </c>
      <c r="CX30" s="105">
        <f>IF(VALUE(RIGHT($B$1,LEN($B$1)-7))=1,0,VLOOKUP($B30,'Load Reductions'!$1:$30,VALUE(RIGHT($B$1,LEN($B$1)-7)+48),FALSE))</f>
        <v>1543.7933185546874</v>
      </c>
      <c r="CY30" s="105">
        <f>IF(VALUE(RIGHT($B$1,LEN($B$1)-7))=1,0,VLOOKUP($B30,'Load Reductions'!$1:$30,VALUE(RIGHT($B$1,LEN($B$1)-7)+57),FALSE))</f>
        <v>450.54975014648437</v>
      </c>
      <c r="CZ30" s="105">
        <f>IF(VALUE(RIGHT($B$1,LEN($B$1)-7))=1,0,VLOOKUP($B30,'Load Reductions'!$1:$30,VALUE(RIGHT($B$1,LEN($B$1)-7)+66),FALSE))</f>
        <v>883.86925888671874</v>
      </c>
      <c r="DA30" s="136">
        <f>IF(AND($B30 = 2022, $B$1&lt;&gt;"Sample 3"), 0, VLOOKUP($B30,'Washington DSM Scenario Costs'!$A$1:$BN$30,RIGHT($B$1,LEN($B$1)-7)+56,FALSE))</f>
        <v>0</v>
      </c>
      <c r="DB30" s="96">
        <f t="shared" ca="1" si="49"/>
        <v>5088.7650069599995</v>
      </c>
      <c r="DC30" s="82">
        <f t="shared" ca="1" si="50"/>
        <v>3566.9666042400004</v>
      </c>
      <c r="DD30" s="82">
        <f t="shared" ca="1" si="51"/>
        <v>3566.9666090399996</v>
      </c>
      <c r="DE30" s="81">
        <f t="shared" ca="1" si="52"/>
        <v>14220001.952635439</v>
      </c>
      <c r="DF30" s="143">
        <f t="shared" ca="1" si="53"/>
        <v>2.7943915533899628</v>
      </c>
      <c r="DG30" s="82">
        <f t="shared" ca="1" si="54"/>
        <v>0</v>
      </c>
      <c r="DH30" s="145">
        <f t="shared" ca="1" si="55"/>
        <v>0</v>
      </c>
      <c r="DI30" s="82">
        <f t="shared" si="62"/>
        <v>0</v>
      </c>
      <c r="DJ30" s="143">
        <f t="shared" ca="1" si="56"/>
        <v>0</v>
      </c>
      <c r="DK30" s="116">
        <f t="shared" ca="1" si="57"/>
        <v>14220001.952635439</v>
      </c>
      <c r="DL30" s="112">
        <f t="shared" ca="1" si="58"/>
        <v>2.7943915533899628</v>
      </c>
      <c r="DM30" s="102" cm="1">
        <f t="array" aca="1" ref="DM30" ca="1">INDIRECT("'Emissions by State'!I"&amp;MATCH($B$1,'Demand by State by ST'!$E:$E,0)+($B30-2022))</f>
        <v>209312.29626892001</v>
      </c>
      <c r="DN30" s="82">
        <f t="shared" ca="1" si="59"/>
        <v>189884.97549072019</v>
      </c>
      <c r="DO30" s="124"/>
      <c r="DP30" s="58">
        <v>190929.2</v>
      </c>
      <c r="DQ30" s="4">
        <f t="shared" ca="1" si="60"/>
        <v>19676.22425340589</v>
      </c>
    </row>
    <row r="31" spans="1:121" x14ac:dyDescent="0.25">
      <c r="A31">
        <v>365</v>
      </c>
      <c r="B31">
        <v>2049</v>
      </c>
      <c r="C31" s="92" cm="1">
        <f t="array" aca="1" ref="C31" ca="1">INDIRECT("'Demand by State by ST'!H"&amp;MATCH($B$1,'Demand by State by ST'!$E:$E,0)+($B31-2022))</f>
        <v>35502.108</v>
      </c>
      <c r="D31" s="100" cm="1">
        <f t="array" aca="1" ref="D31" ca="1">INDIRECT("'Demand by State by ST'!J"&amp;MATCH($B$1,'Demand by State by ST'!$E:$E,0)+($B31-2022))</f>
        <v>12298.110995520001</v>
      </c>
      <c r="E31" s="96" cm="1">
        <f t="array" aca="1" ref="E31" ca="1">INDIRECT("'Gas Flow by State'!H"&amp;MATCH($B$1,'Demand by State by ST'!$E:$E,0)+($B31-2022))</f>
        <v>47273.843487120001</v>
      </c>
      <c r="F31" s="98">
        <f ca="1">VLOOKUP($B31,'WACOG Calc'!$B$49:$L$78,VALUE(RIGHT($B$1,LEN($B$1)-7))+1,FALSE)</f>
        <v>4.5994608678601256</v>
      </c>
      <c r="G31" s="90">
        <f t="shared" ca="1" si="0"/>
        <v>217434193.19235271</v>
      </c>
      <c r="H31" s="82" cm="1">
        <f t="array" aca="1" ref="H31" ca="1">INDIRECT("'Compliance Resources by State'!H"&amp;MATCH($B$1,'Demand by State by ST'!$E:$E,0)+($B31-2022))</f>
        <v>0</v>
      </c>
      <c r="I31" s="83" cm="1">
        <f t="array" aca="1" ref="I31" ca="1">INDIRECT("'OR CCI Price'!C"&amp;MATCH($B31,'OR CCI Price'!$A:$A,0))</f>
        <v>7.1664750000000002</v>
      </c>
      <c r="J31" s="84">
        <f t="shared" ca="1" si="1"/>
        <v>0</v>
      </c>
      <c r="K31" s="81" cm="1">
        <f t="array" aca="1" ref="K31" ca="1">INDIRECT("'Compliance Resources by State'!J"&amp;MATCH($B$1,'Demand by State by ST'!$E:$E,0)+($B31-2022))</f>
        <v>7711.4432423999997</v>
      </c>
      <c r="L31" s="82">
        <f t="shared" ca="1" si="2"/>
        <v>3.637978807091713E-12</v>
      </c>
      <c r="M31" s="83" cm="1">
        <f t="array" aca="1" ref="M31" ca="1">INDIRECT("'MC_Supply Price "&amp;K$2&amp;"'!D"&amp;MATCH($B31,'MC_Supply Price RNG Tranche 1'!$A:$A,0)+VALUE(RIGHT($B$1,LEN($B$1)-7))-1)</f>
        <v>10.522</v>
      </c>
      <c r="N31" s="82">
        <f t="shared" ca="1" si="3"/>
        <v>1.3971766747999937E-8</v>
      </c>
      <c r="O31" s="90">
        <f ca="1">SUM(N$4:N31)</f>
        <v>80125296.282689035</v>
      </c>
      <c r="P31" s="81" cm="1">
        <f t="array" aca="1" ref="P31" ca="1">INDIRECT("'Compliance Resources by State'!K"&amp;MATCH($B$1,'Demand by State by ST'!$E:$E,0)+($B31-2022))</f>
        <v>0</v>
      </c>
      <c r="Q31" s="82">
        <f t="shared" ca="1" si="4"/>
        <v>0</v>
      </c>
      <c r="R31" s="83" cm="1">
        <f t="array" aca="1" ref="R31" ca="1">INDIRECT("'MC_Supply Price "&amp;P$2&amp;"'!D"&amp;MATCH($B31,'MC_Supply Price RNG Tranche 2'!$A:$A,0)+VALUE(RIGHT($B$1,LEN($B$1)-7))-1)</f>
        <v>15.522</v>
      </c>
      <c r="S31" s="82">
        <f t="shared" ca="1" si="5"/>
        <v>0</v>
      </c>
      <c r="T31" s="84">
        <f ca="1">SUM(S$4:S31)</f>
        <v>0</v>
      </c>
      <c r="U31" s="81" cm="1">
        <f t="array" aca="1" ref="U31" ca="1">INDIRECT("'Compliance Resources by State'!I"&amp;MATCH($B$1,'Demand by State by ST'!$E:$E,0)+($B31-2022))</f>
        <v>9135.5931467999999</v>
      </c>
      <c r="V31" s="82">
        <f t="shared" ca="1" si="6"/>
        <v>0</v>
      </c>
      <c r="W31" s="83" cm="1">
        <f t="array" aca="1" ref="W31" ca="1">INDIRECT("'MC_Supply Price "&amp;U$2&amp;"'!D"&amp;MATCH($B31,'MC_Supply Price Hydrogen'!$A:$A,0)+VALUE(RIGHT($B$1,LEN($B$1)-7))-1)</f>
        <v>2.012</v>
      </c>
      <c r="X31" s="82">
        <f t="shared" ca="1" si="7"/>
        <v>0</v>
      </c>
      <c r="Y31" s="90">
        <f ca="1">SUM(X$4:X31)</f>
        <v>60820072.758455761</v>
      </c>
      <c r="Z31" s="81" cm="1">
        <f t="array" aca="1" ref="Z31" ca="1">INDIRECT("'Compliance Resources by State'!L"&amp;MATCH($B$1,'Demand by State by ST'!$E:$E,0)+($B31-2022))</f>
        <v>15056.821414800001</v>
      </c>
      <c r="AA31" s="82">
        <f t="shared" ca="1" si="8"/>
        <v>1677.0820800000074</v>
      </c>
      <c r="AB31" s="83" cm="1">
        <f t="array" aca="1" ref="AB31" ca="1">INDIRECT("'MC_Supply Price Synthetic Metha'!D"&amp;MATCH($B31,'MC_Supply Price Synthetic Metha'!$A:$A,0)+VALUE(RIGHT($B$1,LEN($B$1)-7))-1)</f>
        <v>6.3360000000000003</v>
      </c>
      <c r="AC31" s="82">
        <f t="shared" ca="1" si="9"/>
        <v>3878487.101491217</v>
      </c>
      <c r="AD31" s="82">
        <f ca="1">SUM(AC$4:AC31)</f>
        <v>119713987.00376999</v>
      </c>
      <c r="AE31" s="127">
        <f t="shared" ca="1" si="10"/>
        <v>0.19987279533793412</v>
      </c>
      <c r="AF31" s="128">
        <f t="shared" ca="1" si="11"/>
        <v>0.19112031992272291</v>
      </c>
      <c r="AG31" s="128">
        <f t="shared" ca="1" si="12"/>
        <v>0.31499482076036467</v>
      </c>
      <c r="AH31" s="82">
        <f t="shared" ca="1" si="13"/>
        <v>31903.857804000003</v>
      </c>
      <c r="AI31" s="156">
        <f t="shared" ca="1" si="14"/>
        <v>0.25252429745418759</v>
      </c>
      <c r="AJ31" s="90">
        <f ca="1">VLOOKUP('Compliance Data'!$B31,'Notes and Scenario Inputs'!$B$57:$C$86,2,FALSE)*'Compliance Data'!C31</f>
        <v>12070.71672</v>
      </c>
      <c r="AK31" s="105">
        <f>IF(VALUE(RIGHT($B$1,LEN($B$1)-7))=1,0,VLOOKUP($B31,'Load Reductions'!$1:$30,VALUE(RIGHT($B$1,LEN($B$1)-7)),FALSE))</f>
        <v>19169.34313125</v>
      </c>
      <c r="AL31" s="105">
        <f>IF(VALUE(RIGHT($B$1,LEN($B$1)-7))=1,0,VLOOKUP($B31,'Load Reductions'!$1:$30,VALUE(RIGHT($B$1,LEN($B$1)-7)+9),FALSE))</f>
        <v>13855.570307812501</v>
      </c>
      <c r="AM31" s="155">
        <f>IF(VALUE(RIGHT($B$1,LEN($B$1)-7))=1,0,VLOOKUP($B31,'Load Reductions'!$1:$30,VALUE(RIGHT($B$1,LEN($B$1)-7)+18),FALSE))</f>
        <v>9542.2153617187505</v>
      </c>
      <c r="AN31" s="105">
        <f>IF(VALUE(RIGHT($B$1,LEN($B$1)-7))=1,0,VLOOKUP($B31,'Load Reductions'!$1:$30,VALUE(RIGHT($B$1,LEN($B$1)-7)+27),FALSE))</f>
        <v>18651.944234375002</v>
      </c>
      <c r="AO31" s="135">
        <f>VLOOKUP($B31,'Oregon DSM Scenario Costs'!$A$1:$BN$30,RIGHT($B$1,LEN($B$1)-7)+56,FALSE)</f>
        <v>0</v>
      </c>
      <c r="AP31" s="96">
        <f t="shared" ca="1" si="15"/>
        <v>47800.218995520001</v>
      </c>
      <c r="AQ31" s="105">
        <f>'Fixed Contracts'!C31</f>
        <v>768.99997000000008</v>
      </c>
      <c r="AR31" s="82">
        <f>'Fixed Contracts'!B31</f>
        <v>1842.5201459999998</v>
      </c>
      <c r="AS31" s="82">
        <f t="shared" ca="1" si="61"/>
        <v>31561.872137919996</v>
      </c>
      <c r="AT31" s="82">
        <f t="shared" ca="1" si="16"/>
        <v>14053.841045520006</v>
      </c>
      <c r="AU31" s="113">
        <f t="shared" ca="1" si="17"/>
        <v>260659356.04491478</v>
      </c>
      <c r="AV31" s="139">
        <f t="shared" ca="1" si="18"/>
        <v>5.4530996200947248</v>
      </c>
      <c r="AW31" s="116">
        <f t="shared" ca="1" si="19"/>
        <v>0</v>
      </c>
      <c r="AX31" s="139">
        <f t="shared" ca="1" si="20"/>
        <v>0</v>
      </c>
      <c r="AY31" s="116">
        <f t="shared" si="21"/>
        <v>0</v>
      </c>
      <c r="AZ31" s="141">
        <f t="shared" ca="1" si="22"/>
        <v>0</v>
      </c>
      <c r="BA31" s="116">
        <f t="shared" ca="1" si="23"/>
        <v>260659356.04491478</v>
      </c>
      <c r="BB31" s="112">
        <f t="shared" ca="1" si="24"/>
        <v>5.4530996200947248</v>
      </c>
      <c r="BC31" s="102" cm="1">
        <f t="array" aca="1" ref="BC31" ca="1">INDIRECT("'Emissions by State'!H"&amp;MATCH($B$1,'Demand by State by ST'!$E:$E,0)+($B31-2022))</f>
        <v>828206</v>
      </c>
      <c r="BD31" s="82">
        <f t="shared" ca="1" si="25"/>
        <v>751336.06010999996</v>
      </c>
      <c r="BE31" s="82"/>
      <c r="BF31" s="90">
        <v>751343.21999999974</v>
      </c>
      <c r="BG31" s="4">
        <f t="shared" ca="1" si="26"/>
        <v>134.91313411374821</v>
      </c>
      <c r="BH31">
        <v>2049</v>
      </c>
      <c r="BI31" s="92" cm="1">
        <f t="array" aca="1" ref="BI31" ca="1">INDIRECT("'Demand by State by ST'!I"&amp;MATCH($B$1,'Demand by State by ST'!$E:$E,0)+($B31-2022))</f>
        <v>4297.3419979199998</v>
      </c>
      <c r="BJ31" s="93" cm="1">
        <f t="array" aca="1" ref="BJ31" ca="1">INDIRECT("'Demand by State by ST'!K"&amp;MATCH($B$1,'Demand by State by ST'!$E:$E,0)+($B31-2022))</f>
        <v>555.74999735999995</v>
      </c>
      <c r="BK31" s="96" cm="1">
        <f t="array" aca="1" ref="BK31" ca="1">INDIRECT("'Gas Flow by State'!I"&amp;MATCH($B$1,'Demand by State by ST'!$E:$E,0)+($B31-2022))</f>
        <v>4853.0920005600001</v>
      </c>
      <c r="BL31" s="118">
        <f t="shared" ca="1" si="27"/>
        <v>4.5994608678601256</v>
      </c>
      <c r="BM31" s="93">
        <f t="shared" ca="1" si="28"/>
        <v>22321606.74470073</v>
      </c>
      <c r="BN31" s="81" cm="1">
        <f t="array" aca="1" ref="BN31" ca="1">INDIRECT("'Compliance Resources by State'!M"&amp;MATCH($B$1,'Demand by State by ST'!$E:$E,0)+($B31-2022))</f>
        <v>0</v>
      </c>
      <c r="BO31" s="83">
        <f>VLOOKUP(DATE($BH31,1,1),'MC_Allowance Price'!$A:$K,VALUE(RIGHT($B$1,LEN($B$1)-7))+1,FALSE)</f>
        <v>7.4222972772007143</v>
      </c>
      <c r="BP31">
        <v>7.42</v>
      </c>
      <c r="BQ31" s="90">
        <f t="shared" ca="1" si="29"/>
        <v>0</v>
      </c>
      <c r="BR31" s="81" cm="1">
        <f t="array" aca="1" ref="BR31" ca="1">INDIRECT("'Compliance Resources by State'!O"&amp;MATCH($B$1,'Demand by State by ST'!$E:$E,0)+($B31-2022))</f>
        <v>0</v>
      </c>
      <c r="BS31" s="83">
        <f>VLOOKUP(DATE($BH31,1,1),'MC_Supply Price Offsets'!$A:$K,VALUE(RIGHT($B$1,LEN($B$1)-7))+1,FALSE)</f>
        <v>4.4749999999999996</v>
      </c>
      <c r="BT31" s="90">
        <f t="shared" ca="1" si="30"/>
        <v>0</v>
      </c>
      <c r="BU31" s="81" cm="1">
        <f t="array" aca="1" ref="BU31" ca="1">INDIRECT("'Compliance Resources by State'!P"&amp;MATCH($B$1,'Demand by State by ST'!$E:$E,0)+($B31-2022))</f>
        <v>1063.3282200000001</v>
      </c>
      <c r="BV31" s="82">
        <f t="shared" ca="1" si="31"/>
        <v>4.5474735088646412E-13</v>
      </c>
      <c r="BW31" s="83">
        <f t="shared" ca="1" si="32"/>
        <v>10.522</v>
      </c>
      <c r="BX31" s="82">
        <f t="shared" ca="1" si="33"/>
        <v>1.7464708434999921E-9</v>
      </c>
      <c r="BY31" s="84">
        <f ca="1">SUM(BX$4:BX31)</f>
        <v>10746592.872863041</v>
      </c>
      <c r="BZ31" s="81" cm="1">
        <f t="array" aca="1" ref="BZ31" ca="1">INDIRECT("'Compliance Resources by State'!Q"&amp;MATCH($B$1,'Demand by State by ST'!$E:$E,0)+($B31-2022))</f>
        <v>0</v>
      </c>
      <c r="CA31" s="82">
        <f t="shared" ca="1" si="34"/>
        <v>0</v>
      </c>
      <c r="CB31" s="83">
        <f t="shared" ca="1" si="35"/>
        <v>15.522</v>
      </c>
      <c r="CC31" s="82">
        <f t="shared" ca="1" si="36"/>
        <v>0</v>
      </c>
      <c r="CD31" s="84">
        <f ca="1">SUM(CC$4:CC31)</f>
        <v>0</v>
      </c>
      <c r="CE31" s="81" cm="1">
        <f t="array" aca="1" ref="CE31" ca="1">INDIRECT("'Compliance Resources by State'!N"&amp;MATCH($B$1,'Demand by State by ST'!$E:$E,0)+($B31-2022))</f>
        <v>454.3122588</v>
      </c>
      <c r="CF31" s="82">
        <f t="shared" ca="1" si="37"/>
        <v>-2.2737367544323206E-13</v>
      </c>
      <c r="CG31" s="83">
        <f t="shared" ca="1" si="38"/>
        <v>2.012</v>
      </c>
      <c r="CH31" s="82">
        <f t="shared" ca="1" si="39"/>
        <v>-1.6697867977200076E-10</v>
      </c>
      <c r="CI31" s="84">
        <f ca="1">SUM(CH$4:CH31)</f>
        <v>3473409.0797723993</v>
      </c>
      <c r="CJ31" s="81" cm="1">
        <f t="array" aca="1" ref="CJ31" ca="1">INDIRECT("'Compliance Resources by State'!R"&amp;MATCH($B$1,'Demand by State by ST'!$E:$E,0)+($B31-2022))</f>
        <v>0</v>
      </c>
      <c r="CK31" s="82">
        <f t="shared" ca="1" si="40"/>
        <v>0</v>
      </c>
      <c r="CL31" s="83">
        <f t="shared" ca="1" si="41"/>
        <v>6.3360000000000003</v>
      </c>
      <c r="CM31" s="82">
        <f t="shared" ca="1" si="42"/>
        <v>0</v>
      </c>
      <c r="CN31" s="84">
        <f ca="1">SUM(CM$4:CM31)</f>
        <v>0</v>
      </c>
      <c r="CO31" s="127">
        <f t="shared" ca="1" si="43"/>
        <v>0.21910324820427216</v>
      </c>
      <c r="CP31" s="128">
        <f t="shared" ca="1" si="44"/>
        <v>9.3612950103120471E-2</v>
      </c>
      <c r="CQ31" s="128">
        <f t="shared" ca="1" si="45"/>
        <v>0</v>
      </c>
      <c r="CR31" s="128">
        <f t="shared" ca="1" si="46"/>
        <v>0.30106502838063387</v>
      </c>
      <c r="CS31" s="159">
        <f ca="1">VLOOKUP('Compliance Data'!$B31,'Notes and Scenario Inputs'!$B$57:$C$86,2,FALSE)*BI31</f>
        <v>1461.0962792928001</v>
      </c>
      <c r="CT31" s="120">
        <f t="shared" ca="1" si="47"/>
        <v>1517.6404788</v>
      </c>
      <c r="CU31" s="83">
        <f ca="1">'Notes and Scenario Inputs'!C85*'Compliance Data'!BI31-'Compliance Data'!CV31</f>
        <v>1442.7515915506417</v>
      </c>
      <c r="CV31" s="90">
        <f t="shared" ca="1" si="48"/>
        <v>18.344687742158399</v>
      </c>
      <c r="CW31" s="104">
        <f>IF(VALUE(RIGHT($B$1,LEN($B$1)-7))=1,0,VLOOKUP($B31,'Load Reductions'!$1:$30,VALUE(RIGHT($B$1,LEN($B$1)-7)+39),FALSE))</f>
        <v>4191.675434570313</v>
      </c>
      <c r="CX31" s="105">
        <f>IF(VALUE(RIGHT($B$1,LEN($B$1)-7))=1,0,VLOOKUP($B31,'Load Reductions'!$1:$30,VALUE(RIGHT($B$1,LEN($B$1)-7)+48),FALSE))</f>
        <v>1597.9491051757811</v>
      </c>
      <c r="CY31" s="105">
        <f>IF(VALUE(RIGHT($B$1,LEN($B$1)-7))=1,0,VLOOKUP($B31,'Load Reductions'!$1:$30,VALUE(RIGHT($B$1,LEN($B$1)-7)+57),FALSE))</f>
        <v>461.34518652343752</v>
      </c>
      <c r="CZ31" s="105">
        <f>IF(VALUE(RIGHT($B$1,LEN($B$1)-7))=1,0,VLOOKUP($B31,'Load Reductions'!$1:$30,VALUE(RIGHT($B$1,LEN($B$1)-7)+66),FALSE))</f>
        <v>901.41270585937502</v>
      </c>
      <c r="DA31" s="136">
        <f>IF(AND($B31 = 2022, $B$1&lt;&gt;"Sample 3"), 0, VLOOKUP($B31,'Washington DSM Scenario Costs'!$A$1:$BN$30,RIGHT($B$1,LEN($B$1)-7)+56,FALSE))</f>
        <v>0</v>
      </c>
      <c r="DB31" s="96">
        <f t="shared" ca="1" si="49"/>
        <v>4853.0919952799995</v>
      </c>
      <c r="DC31" s="82">
        <f t="shared" ca="1" si="50"/>
        <v>3335.4515217599997</v>
      </c>
      <c r="DD31" s="82">
        <f t="shared" ca="1" si="51"/>
        <v>3335.4515164799991</v>
      </c>
      <c r="DE31" s="81">
        <f t="shared" ca="1" si="52"/>
        <v>14220001.952635441</v>
      </c>
      <c r="DF31" s="143">
        <f t="shared" ca="1" si="53"/>
        <v>2.9300911597112673</v>
      </c>
      <c r="DG31" s="82">
        <f t="shared" ca="1" si="54"/>
        <v>0</v>
      </c>
      <c r="DH31" s="145">
        <f t="shared" ca="1" si="55"/>
        <v>0</v>
      </c>
      <c r="DI31" s="82">
        <f t="shared" si="62"/>
        <v>0</v>
      </c>
      <c r="DJ31" s="143">
        <f t="shared" ca="1" si="56"/>
        <v>0</v>
      </c>
      <c r="DK31" s="116">
        <f t="shared" ca="1" si="57"/>
        <v>14220001.952635441</v>
      </c>
      <c r="DL31" s="112">
        <f t="shared" ca="1" si="58"/>
        <v>2.9300911597112673</v>
      </c>
      <c r="DM31" s="102" cm="1">
        <f t="array" aca="1" ref="DM31" ca="1">INDIRECT("'Emissions by State'!I"&amp;MATCH($B$1,'Demand by State by ST'!$E:$E,0)+($B31-2022))</f>
        <v>195738.80425871999</v>
      </c>
      <c r="DN31" s="82">
        <f t="shared" ca="1" si="59"/>
        <v>177571.30714144689</v>
      </c>
      <c r="DO31" s="124"/>
      <c r="DP31" s="58">
        <v>185965</v>
      </c>
      <c r="DQ31" s="4">
        <f t="shared" ca="1" si="60"/>
        <v>158161.56538310566</v>
      </c>
    </row>
    <row r="32" spans="1:121" ht="15.75" thickBot="1" x14ac:dyDescent="0.3">
      <c r="A32">
        <v>365</v>
      </c>
      <c r="B32">
        <v>2050</v>
      </c>
      <c r="C32" s="94" cm="1">
        <f t="array" aca="1" ref="C32" ca="1">INDIRECT("'Demand by State by ST'!H"&amp;MATCH($B$1,'Demand by State by ST'!$E:$E,0)+($B32-2022))</f>
        <v>34069.412998079999</v>
      </c>
      <c r="D32" s="101" cm="1">
        <f t="array" aca="1" ref="D32" ca="1">INDIRECT("'Demand by State by ST'!J"&amp;MATCH($B$1,'Demand by State by ST'!$E:$E,0)+($B32-2022))</f>
        <v>11608.552014479999</v>
      </c>
      <c r="E32" s="97" cm="1">
        <f t="array" aca="1" ref="E32" ca="1">INDIRECT("'Gas Flow by State'!H"&amp;MATCH($B$1,'Demand by State by ST'!$E:$E,0)+($B32-2022))</f>
        <v>42071.595019200002</v>
      </c>
      <c r="F32" s="99">
        <f ca="1">VLOOKUP($B32,'WACOG Calc'!$B$49:$L$78,VALUE(RIGHT($B$1,LEN($B$1)-7))+1,FALSE)</f>
        <v>4.8302817950352726</v>
      </c>
      <c r="G32" s="91">
        <f t="shared" ca="1" si="0"/>
        <v>203217659.50933841</v>
      </c>
      <c r="H32" s="86" cm="1">
        <f t="array" aca="1" ref="H32" ca="1">INDIRECT("'Compliance Resources by State'!H"&amp;MATCH($B$1,'Demand by State by ST'!$E:$E,0)+($B32-2022))</f>
        <v>0</v>
      </c>
      <c r="I32" s="87" cm="1">
        <f t="array" aca="1" ref="I32" ca="1">INDIRECT("'OR CCI Price'!C"&amp;MATCH($B32,'OR CCI Price'!$A:$A,0))</f>
        <v>7.2195600000000004</v>
      </c>
      <c r="J32" s="88">
        <f t="shared" ca="1" si="1"/>
        <v>0</v>
      </c>
      <c r="K32" s="85" cm="1">
        <f t="array" aca="1" ref="K32" ca="1">INDIRECT("'Compliance Resources by State'!J"&amp;MATCH($B$1,'Demand by State by ST'!$E:$E,0)+($B32-2022))</f>
        <v>7711.4432423999997</v>
      </c>
      <c r="L32" s="86">
        <f t="shared" ca="1" si="2"/>
        <v>0</v>
      </c>
      <c r="M32" s="87" cm="1">
        <f t="array" aca="1" ref="M32" ca="1">INDIRECT("'MC_Supply Price "&amp;K$2&amp;"'!D"&amp;MATCH($B32,'MC_Supply Price RNG Tranche 1'!$A:$A,0)+VALUE(RIGHT($B$1,LEN($B$1)-7))-1)</f>
        <v>10.455</v>
      </c>
      <c r="N32" s="86">
        <f t="shared" ca="1" si="3"/>
        <v>0</v>
      </c>
      <c r="O32" s="91">
        <f ca="1">SUM(N$4:N32)</f>
        <v>80125296.282689035</v>
      </c>
      <c r="P32" s="85" cm="1">
        <f t="array" aca="1" ref="P32" ca="1">INDIRECT("'Compliance Resources by State'!K"&amp;MATCH($B$1,'Demand by State by ST'!$E:$E,0)+($B32-2022))</f>
        <v>0</v>
      </c>
      <c r="Q32" s="86">
        <f t="shared" ca="1" si="4"/>
        <v>0</v>
      </c>
      <c r="R32" s="87" cm="1">
        <f t="array" aca="1" ref="R32" ca="1">INDIRECT("'MC_Supply Price "&amp;P$2&amp;"'!D"&amp;MATCH($B32,'MC_Supply Price RNG Tranche 2'!$A:$A,0)+VALUE(RIGHT($B$1,LEN($B$1)-7))-1)</f>
        <v>15.455</v>
      </c>
      <c r="S32" s="86">
        <f t="shared" ca="1" si="5"/>
        <v>0</v>
      </c>
      <c r="T32" s="88">
        <f ca="1">SUM(S$4:S32)</f>
        <v>0</v>
      </c>
      <c r="U32" s="85" cm="1">
        <f t="array" aca="1" ref="U32" ca="1">INDIRECT("'Compliance Resources by State'!I"&amp;MATCH($B$1,'Demand by State by ST'!$E:$E,0)+($B32-2022))</f>
        <v>9135.5931467999999</v>
      </c>
      <c r="V32" s="86">
        <f t="shared" ca="1" si="6"/>
        <v>0</v>
      </c>
      <c r="W32" s="87" cm="1">
        <f t="array" aca="1" ref="W32" ca="1">INDIRECT("'MC_Supply Price "&amp;U$2&amp;"'!D"&amp;MATCH($B32,'MC_Supply Price Hydrogen'!$A:$A,0)+VALUE(RIGHT($B$1,LEN($B$1)-7))-1)</f>
        <v>1.625</v>
      </c>
      <c r="X32" s="86">
        <f t="shared" ca="1" si="7"/>
        <v>0</v>
      </c>
      <c r="Y32" s="91">
        <f ca="1">SUM(X$4:X32)</f>
        <v>60820072.758455761</v>
      </c>
      <c r="Z32" s="85" cm="1">
        <f t="array" aca="1" ref="Z32" ca="1">INDIRECT("'Compliance Resources by State'!L"&amp;MATCH($B$1,'Demand by State by ST'!$E:$E,0)+($B32-2022))</f>
        <v>15910.4667708</v>
      </c>
      <c r="AA32" s="86">
        <f t="shared" ca="1" si="8"/>
        <v>2338.754399999998</v>
      </c>
      <c r="AB32" s="87" cm="1">
        <f t="array" aca="1" ref="AB32" ca="1">INDIRECT("'MC_Supply Price Synthetic Metha'!D"&amp;MATCH($B32,'MC_Supply Price Synthetic Metha'!$A:$A,0)+VALUE(RIGHT($B$1,LEN($B$1)-7))-1)</f>
        <v>5.8319999999999999</v>
      </c>
      <c r="AC32" s="86">
        <f t="shared" ca="1" si="9"/>
        <v>4978459.716191995</v>
      </c>
      <c r="AD32" s="86">
        <f ca="1">SUM(AC$4:AC32)</f>
        <v>124692446.71996199</v>
      </c>
      <c r="AE32" s="127">
        <f t="shared" ca="1" si="10"/>
        <v>0.20915912926009206</v>
      </c>
      <c r="AF32" s="130">
        <f t="shared" ca="1" si="11"/>
        <v>0.20000000315880972</v>
      </c>
      <c r="AG32" s="130">
        <f t="shared" ca="1" si="12"/>
        <v>0.3483182047717126</v>
      </c>
      <c r="AH32" s="86">
        <f t="shared" ca="1" si="13"/>
        <v>32757.50316</v>
      </c>
      <c r="AI32" s="130">
        <f t="shared" ca="1" si="14"/>
        <v>0.26105135257337303</v>
      </c>
      <c r="AJ32" s="91">
        <f ca="1">VLOOKUP('Compliance Data'!$B32,'Notes and Scenario Inputs'!$B$57:$C$86,2,FALSE)*'Compliance Data'!C32</f>
        <v>11924.294549327999</v>
      </c>
      <c r="AK32" s="107">
        <f>IF(VALUE(RIGHT($B$1,LEN($B$1)-7))=1,0,VLOOKUP($B32,'Load Reductions'!$1:$30,VALUE(RIGHT($B$1,LEN($B$1)-7)),FALSE))</f>
        <v>19819.654985937501</v>
      </c>
      <c r="AL32" s="107">
        <f>IF(VALUE(RIGHT($B$1,LEN($B$1)-7))=1,0,VLOOKUP($B32,'Load Reductions'!$1:$30,VALUE(RIGHT($B$1,LEN($B$1)-7)+9),FALSE))</f>
        <v>14346.737046875</v>
      </c>
      <c r="AM32" s="107">
        <f>IF(VALUE(RIGHT($B$1,LEN($B$1)-7))=1,0,VLOOKUP($B32,'Load Reductions'!$1:$30,VALUE(RIGHT($B$1,LEN($B$1)-7)+18),FALSE))</f>
        <v>9942.0560921875003</v>
      </c>
      <c r="AN32" s="107">
        <f>IF(VALUE(RIGHT($B$1,LEN($B$1)-7))=1,0,VLOOKUP($B32,'Load Reductions'!$1:$30,VALUE(RIGHT($B$1,LEN($B$1)-7)+27),FALSE))</f>
        <v>19164.775693750002</v>
      </c>
      <c r="AO32" s="117">
        <f>VLOOKUP($B32,'Oregon DSM Scenario Costs'!$A$1:$BN$30,RIGHT($B$1,LEN($B$1)-7)+56,FALSE)</f>
        <v>0</v>
      </c>
      <c r="AP32" s="97">
        <f t="shared" ca="1" si="15"/>
        <v>45677.965012560002</v>
      </c>
      <c r="AQ32" s="107">
        <f>'Fixed Contracts'!C32</f>
        <v>768.99997000000008</v>
      </c>
      <c r="AR32" s="86">
        <f>'Fixed Contracts'!B32</f>
        <v>1842.5201459999998</v>
      </c>
      <c r="AS32" s="86">
        <f t="shared" ca="1" si="61"/>
        <v>25505.978314</v>
      </c>
      <c r="AT32" s="86">
        <f t="shared" ca="1" si="16"/>
        <v>11077.941706560006</v>
      </c>
      <c r="AU32" s="114">
        <f t="shared" ca="1" si="17"/>
        <v>265637815.76110679</v>
      </c>
      <c r="AV32" s="140">
        <f t="shared" ca="1" si="18"/>
        <v>5.8154476822263153</v>
      </c>
      <c r="AW32" s="117">
        <f t="shared" ca="1" si="19"/>
        <v>0</v>
      </c>
      <c r="AX32" s="140">
        <f t="shared" ca="1" si="20"/>
        <v>0</v>
      </c>
      <c r="AY32" s="117">
        <f t="shared" si="21"/>
        <v>0</v>
      </c>
      <c r="AZ32" s="142">
        <f t="shared" ca="1" si="22"/>
        <v>0</v>
      </c>
      <c r="BA32" s="117">
        <f t="shared" ca="1" si="23"/>
        <v>265637815.76110679</v>
      </c>
      <c r="BB32" s="115">
        <f t="shared" ca="1" si="24"/>
        <v>5.8154476822263153</v>
      </c>
      <c r="BC32" s="110" cm="1">
        <f t="array" aca="1" ref="BC32" ca="1">INDIRECT("'Emissions by State'!H"&amp;MATCH($B$1,'Demand by State by ST'!$E:$E,0)+($B32-2022))</f>
        <v>653846.99999998999</v>
      </c>
      <c r="BD32" s="86">
        <f t="shared" ca="1" si="25"/>
        <v>593160.19069499092</v>
      </c>
      <c r="BE32" s="86"/>
      <c r="BF32" s="91">
        <v>593165.70000000007</v>
      </c>
      <c r="BG32" s="4">
        <f t="shared" ca="1" si="26"/>
        <v>103.81131631861807</v>
      </c>
      <c r="BH32">
        <v>2050</v>
      </c>
      <c r="BI32" s="94" cm="1">
        <f t="array" aca="1" ref="BI32" ca="1">INDIRECT("'Demand by State by ST'!I"&amp;MATCH($B$1,'Demand by State by ST'!$E:$E,0)+($B32-2022))</f>
        <v>4127.3410008000001</v>
      </c>
      <c r="BJ32" s="95" cm="1">
        <f t="array" aca="1" ref="BJ32" ca="1">INDIRECT("'Demand by State by ST'!K"&amp;MATCH($B$1,'Demand by State by ST'!$E:$E,0)+($B32-2022))</f>
        <v>523.59999503999995</v>
      </c>
      <c r="BK32" s="97" cm="1">
        <f t="array" aca="1" ref="BK32" ca="1">INDIRECT("'Gas Flow by State'!I"&amp;MATCH($B$1,'Demand by State by ST'!$E:$E,0)+($B32-2022))</f>
        <v>4650.9410011199998</v>
      </c>
      <c r="BL32" s="119">
        <f t="shared" ca="1" si="27"/>
        <v>4.8302817950352726</v>
      </c>
      <c r="BM32" s="95">
        <f t="shared" ca="1" si="28"/>
        <v>22465355.647493061</v>
      </c>
      <c r="BN32" s="85" cm="1">
        <f t="array" aca="1" ref="BN32" ca="1">INDIRECT("'Compliance Resources by State'!M"&amp;MATCH($B$1,'Demand by State by ST'!$E:$E,0)+($B32-2022))</f>
        <v>0</v>
      </c>
      <c r="BO32" s="87">
        <f>VLOOKUP(DATE($BH32,1,1),'MC_Allowance Price'!$A:$K,VALUE(RIGHT($B$1,LEN($B$1)-7))+1,FALSE)</f>
        <v>7.6285297110405814</v>
      </c>
      <c r="BP32" s="87">
        <v>7.63</v>
      </c>
      <c r="BQ32" s="91">
        <f t="shared" ca="1" si="29"/>
        <v>0</v>
      </c>
      <c r="BR32" s="85" cm="1">
        <f t="array" aca="1" ref="BR32" ca="1">INDIRECT("'Compliance Resources by State'!O"&amp;MATCH($B$1,'Demand by State by ST'!$E:$E,0)+($B32-2022))</f>
        <v>0</v>
      </c>
      <c r="BS32" s="87">
        <f>VLOOKUP(DATE($BH32,1,1),'MC_Supply Price Offsets'!$A:$K,VALUE(RIGHT($B$1,LEN($B$1)-7))+1,FALSE)</f>
        <v>4.8310000000000004</v>
      </c>
      <c r="BT32" s="91">
        <f t="shared" ca="1" si="30"/>
        <v>0</v>
      </c>
      <c r="BU32" s="85" cm="1">
        <f t="array" aca="1" ref="BU32" ca="1">INDIRECT("'Compliance Resources by State'!P"&amp;MATCH($B$1,'Demand by State by ST'!$E:$E,0)+($B32-2022))</f>
        <v>1063.3282200000001</v>
      </c>
      <c r="BV32" s="86">
        <f t="shared" ca="1" si="31"/>
        <v>0</v>
      </c>
      <c r="BW32" s="87">
        <f t="shared" ca="1" si="32"/>
        <v>10.455</v>
      </c>
      <c r="BX32" s="86">
        <f t="shared" ca="1" si="33"/>
        <v>0</v>
      </c>
      <c r="BY32" s="88">
        <f ca="1">SUM(BX$4:BX32)</f>
        <v>10746592.872863041</v>
      </c>
      <c r="BZ32" s="85" cm="1">
        <f t="array" aca="1" ref="BZ32" ca="1">INDIRECT("'Compliance Resources by State'!Q"&amp;MATCH($B$1,'Demand by State by ST'!$E:$E,0)+($B32-2022))</f>
        <v>0</v>
      </c>
      <c r="CA32" s="86">
        <f t="shared" ca="1" si="34"/>
        <v>0</v>
      </c>
      <c r="CB32" s="87">
        <f t="shared" ca="1" si="35"/>
        <v>15.455</v>
      </c>
      <c r="CC32" s="86">
        <f t="shared" ca="1" si="36"/>
        <v>0</v>
      </c>
      <c r="CD32" s="88">
        <f ca="1">SUM(CC$4:CC32)</f>
        <v>0</v>
      </c>
      <c r="CE32" s="85" cm="1">
        <f t="array" aca="1" ref="CE32" ca="1">INDIRECT("'Compliance Resources by State'!N"&amp;MATCH($B$1,'Demand by State by ST'!$E:$E,0)+($B32-2022))</f>
        <v>454.3122588</v>
      </c>
      <c r="CF32" s="86">
        <f t="shared" ca="1" si="37"/>
        <v>0</v>
      </c>
      <c r="CG32" s="87">
        <f t="shared" ca="1" si="38"/>
        <v>1.625</v>
      </c>
      <c r="CH32" s="86">
        <f t="shared" ca="1" si="39"/>
        <v>0</v>
      </c>
      <c r="CI32" s="88">
        <f ca="1">SUM(CH$4:CH32)</f>
        <v>3473409.0797723993</v>
      </c>
      <c r="CJ32" s="85" cm="1">
        <f t="array" aca="1" ref="CJ32" ca="1">INDIRECT("'Compliance Resources by State'!R"&amp;MATCH($B$1,'Demand by State by ST'!$E:$E,0)+($B32-2022))</f>
        <v>0</v>
      </c>
      <c r="CK32" s="86">
        <f t="shared" ca="1" si="40"/>
        <v>0</v>
      </c>
      <c r="CL32" s="87">
        <f t="shared" ca="1" si="41"/>
        <v>5.8319999999999999</v>
      </c>
      <c r="CM32" s="86">
        <f t="shared" ca="1" si="42"/>
        <v>0</v>
      </c>
      <c r="CN32" s="88">
        <f ca="1">SUM(CM$4:CM32)</f>
        <v>0</v>
      </c>
      <c r="CO32" s="129">
        <f t="shared" ca="1" si="43"/>
        <v>0.2286264695576844</v>
      </c>
      <c r="CP32" s="130">
        <f t="shared" ca="1" si="44"/>
        <v>9.7681793685698501E-2</v>
      </c>
      <c r="CQ32" s="130">
        <f t="shared" ca="1" si="45"/>
        <v>0</v>
      </c>
      <c r="CR32" s="130">
        <f t="shared" ca="1" si="46"/>
        <v>0.31059722141650137</v>
      </c>
      <c r="CS32" s="159">
        <f ca="1">VLOOKUP('Compliance Data'!$B32,'Notes and Scenario Inputs'!$B$57:$C$86,2,FALSE)*BI32</f>
        <v>1444.56935028</v>
      </c>
      <c r="CT32" s="121">
        <f t="shared" ca="1" si="47"/>
        <v>1517.6404788</v>
      </c>
      <c r="CU32" s="87">
        <f ca="1">'Notes and Scenario Inputs'!C86*'Compliance Data'!BI32-'Compliance Data'!CV32</f>
        <v>1426.9887933157247</v>
      </c>
      <c r="CV32" s="91">
        <f t="shared" ca="1" si="48"/>
        <v>17.5805569642752</v>
      </c>
      <c r="CW32" s="106">
        <f>IF(VALUE(RIGHT($B$1,LEN($B$1)-7))=1,0,VLOOKUP($B32,'Load Reductions'!$1:$30,VALUE(RIGHT($B$1,LEN($B$1)-7)+39),FALSE))</f>
        <v>4345.8040428710938</v>
      </c>
      <c r="CX32" s="107">
        <f>IF(VALUE(RIGHT($B$1,LEN($B$1)-7))=1,0,VLOOKUP($B32,'Load Reductions'!$1:$30,VALUE(RIGHT($B$1,LEN($B$1)-7)+48),FALSE))</f>
        <v>1659.3504822265625</v>
      </c>
      <c r="CY32" s="107">
        <f>IF(VALUE(RIGHT($B$1,LEN($B$1)-7))=1,0,VLOOKUP($B32,'Load Reductions'!$1:$30,VALUE(RIGHT($B$1,LEN($B$1)-7)+57),FALSE))</f>
        <v>475.6647267578125</v>
      </c>
      <c r="CZ32" s="107">
        <f>IF(VALUE(RIGHT($B$1,LEN($B$1)-7))=1,0,VLOOKUP($B32,'Load Reductions'!$1:$30,VALUE(RIGHT($B$1,LEN($B$1)-7)+66),FALSE))</f>
        <v>923.93359033203126</v>
      </c>
      <c r="DA32" s="137">
        <f>IF(AND($B32 = 2022, $B$1&lt;&gt;"Sample 3"), 0, VLOOKUP($B32,'Washington DSM Scenario Costs'!$A$1:$BN$30,RIGHT($B$1,LEN($B$1)-7)+56,FALSE))</f>
        <v>0</v>
      </c>
      <c r="DB32" s="97">
        <f t="shared" ca="1" si="49"/>
        <v>4650.9409958400001</v>
      </c>
      <c r="DC32" s="86">
        <f t="shared" ca="1" si="50"/>
        <v>3133.3005223199993</v>
      </c>
      <c r="DD32" s="86">
        <f t="shared" ca="1" si="51"/>
        <v>3133.3005170399997</v>
      </c>
      <c r="DE32" s="85">
        <f t="shared" ca="1" si="52"/>
        <v>14220001.952635441</v>
      </c>
      <c r="DF32" s="144">
        <f t="shared" ca="1" si="53"/>
        <v>3.0574462168740513</v>
      </c>
      <c r="DG32" s="86">
        <f t="shared" ca="1" si="54"/>
        <v>0</v>
      </c>
      <c r="DH32" s="146">
        <f t="shared" ca="1" si="55"/>
        <v>0</v>
      </c>
      <c r="DI32" s="86">
        <f t="shared" si="62"/>
        <v>0</v>
      </c>
      <c r="DJ32" s="144">
        <f t="shared" ca="1" si="56"/>
        <v>0</v>
      </c>
      <c r="DK32" s="117">
        <f t="shared" ca="1" si="57"/>
        <v>14220001.952635441</v>
      </c>
      <c r="DL32" s="115">
        <f t="shared" ca="1" si="58"/>
        <v>3.0574462168740513</v>
      </c>
      <c r="DM32" s="110" cm="1">
        <f t="array" aca="1" ref="DM32" ca="1">INDIRECT("'Emissions by State'!I"&amp;MATCH($B$1,'Demand by State by ST'!$E:$E,0)+($B32-2022))</f>
        <v>183887.35822702001</v>
      </c>
      <c r="DN32" s="86">
        <f t="shared" ca="1" si="59"/>
        <v>166819.85307317914</v>
      </c>
      <c r="DO32" s="125"/>
      <c r="DP32" s="60">
        <v>181129.9</v>
      </c>
      <c r="DQ32" s="4">
        <f t="shared" ca="1" si="60"/>
        <v>269642.86885305803</v>
      </c>
    </row>
    <row r="33" spans="3:122" x14ac:dyDescent="0.25">
      <c r="E33" s="1"/>
      <c r="F33" s="1"/>
      <c r="G33" s="1"/>
      <c r="H33" s="1"/>
      <c r="I33" s="1"/>
      <c r="J33" s="1"/>
      <c r="U33" s="2"/>
      <c r="V33" s="2"/>
      <c r="W33" s="2"/>
      <c r="X33" s="2"/>
      <c r="Y33" s="2"/>
      <c r="Z33" s="3"/>
      <c r="AA33" s="3"/>
      <c r="AB33" s="3"/>
      <c r="AC33" s="3"/>
      <c r="AD33" s="3"/>
      <c r="AE33" s="3"/>
      <c r="AF33" s="3"/>
      <c r="AG33" s="3"/>
      <c r="AH33" s="3"/>
      <c r="BO33" s="52"/>
      <c r="BQ33" s="52"/>
    </row>
    <row r="34" spans="3:122" x14ac:dyDescent="0.25">
      <c r="BE34" s="7"/>
      <c r="BR34" s="7"/>
    </row>
    <row r="35" spans="3:122" ht="45" customHeight="1" thickBot="1" x14ac:dyDescent="0.3">
      <c r="Q35" s="29" t="s">
        <v>10</v>
      </c>
      <c r="BS35" s="7"/>
      <c r="BT35" s="7"/>
      <c r="BU35" s="7"/>
      <c r="BV35" s="7"/>
      <c r="BZ35" s="25"/>
      <c r="CA35" s="25"/>
    </row>
    <row r="36" spans="3:122" ht="15.75" thickBot="1" x14ac:dyDescent="0.3">
      <c r="C36" s="22" t="s">
        <v>27</v>
      </c>
      <c r="D36" s="23"/>
      <c r="E36" s="23"/>
      <c r="F36" s="23"/>
      <c r="G36" s="23"/>
      <c r="H36" s="23"/>
      <c r="J36" s="272" t="s">
        <v>434</v>
      </c>
      <c r="K36" s="273"/>
      <c r="M36" s="27" t="s">
        <v>79</v>
      </c>
    </row>
    <row r="37" spans="3:122" ht="72" customHeight="1" thickBot="1" x14ac:dyDescent="0.3">
      <c r="C37" s="18" t="s">
        <v>14</v>
      </c>
      <c r="D37" s="19" t="s">
        <v>15</v>
      </c>
      <c r="E37" s="19" t="s">
        <v>15</v>
      </c>
      <c r="F37" s="19" t="s">
        <v>15</v>
      </c>
      <c r="G37" s="20" t="s">
        <v>28</v>
      </c>
      <c r="H37" s="21" t="s">
        <v>28</v>
      </c>
      <c r="J37" s="162" t="s">
        <v>360</v>
      </c>
      <c r="K37" s="163" t="str">
        <f ca="1">IF(AND(MIN(BG4:BG32)&lt;0,MIN(DQ5:DQ32)&lt;0),"Both State Violation",IF(MIN(BG4:BG32)&lt;0,"OR Violation",IF(MIN(DQ5:DQ32)&lt;0,"WA Violation","Good")))</f>
        <v>Good</v>
      </c>
      <c r="M37" s="28" t="str">
        <f>'Scenario Selection and Summary'!B3</f>
        <v>Scenario 5- Aggressive Building Electrification</v>
      </c>
      <c r="U37" s="1"/>
      <c r="V37" s="1"/>
      <c r="W37" s="1"/>
      <c r="X37" s="1"/>
      <c r="Y37" s="1"/>
      <c r="BO37" s="6"/>
      <c r="BP37" s="6"/>
      <c r="BQ37" s="6"/>
      <c r="BR37" s="6"/>
      <c r="BS37" s="6"/>
      <c r="BT37" s="6"/>
      <c r="BU37" s="6"/>
      <c r="BV37" s="6"/>
      <c r="BW37" s="6"/>
      <c r="BX37" s="6"/>
      <c r="BY37" s="6"/>
      <c r="BZ37" s="6"/>
      <c r="CA37" s="6"/>
      <c r="CB37" s="26"/>
      <c r="CC37" s="26"/>
      <c r="CD37" s="26"/>
      <c r="CE37" s="26"/>
      <c r="CF37" s="26"/>
      <c r="CG37" s="6"/>
      <c r="CH37" s="6"/>
      <c r="CI37" s="6"/>
      <c r="CJ37" s="6"/>
      <c r="CK37" s="6"/>
      <c r="CL37" s="6"/>
      <c r="CM37" s="6"/>
      <c r="CN37" s="6"/>
      <c r="CO37" s="6"/>
      <c r="CP37" s="6"/>
      <c r="CQ37" s="6"/>
      <c r="CR37" s="6"/>
      <c r="CS37" s="6"/>
      <c r="CT37" s="6"/>
      <c r="CU37" s="6"/>
      <c r="CV37" s="6"/>
      <c r="CW37" s="6"/>
      <c r="CX37" s="6"/>
      <c r="CY37" s="6"/>
      <c r="CZ37" s="6"/>
      <c r="DA37" s="6"/>
      <c r="DB37" s="6"/>
    </row>
    <row r="38" spans="3:122" x14ac:dyDescent="0.25">
      <c r="C38" s="10" t="s">
        <v>16</v>
      </c>
      <c r="D38" s="11" t="s">
        <v>17</v>
      </c>
      <c r="E38" s="11" t="s">
        <v>18</v>
      </c>
      <c r="F38" s="12" t="s">
        <v>20</v>
      </c>
      <c r="G38" s="12" t="s">
        <v>21</v>
      </c>
      <c r="H38" s="13" t="s">
        <v>19</v>
      </c>
      <c r="J38" s="296" t="s">
        <v>435</v>
      </c>
      <c r="K38" s="297"/>
      <c r="U38" s="2"/>
      <c r="V38" s="2"/>
      <c r="W38" s="2"/>
      <c r="X38" s="2"/>
      <c r="Y38" s="2"/>
      <c r="BW38" s="6"/>
      <c r="BX38" s="6"/>
      <c r="BY38" s="6"/>
      <c r="BZ38" s="6"/>
      <c r="CA38" s="6"/>
      <c r="CB38" s="26"/>
      <c r="CC38" s="26"/>
      <c r="CD38" s="26"/>
      <c r="CE38" s="26"/>
      <c r="CF38" s="26"/>
      <c r="CG38" s="6"/>
      <c r="CH38" s="6"/>
      <c r="CI38" s="6"/>
      <c r="CJ38" s="6"/>
      <c r="CK38" s="6"/>
      <c r="CL38" s="6"/>
      <c r="CM38" s="6"/>
      <c r="CN38" s="6"/>
      <c r="CO38" s="6"/>
      <c r="CP38" s="6"/>
      <c r="CQ38" s="6"/>
      <c r="CR38" s="6"/>
      <c r="CS38" s="6"/>
      <c r="CT38" s="6"/>
      <c r="CU38" s="6"/>
      <c r="CV38" s="6"/>
      <c r="CW38" s="6"/>
      <c r="CX38" s="6"/>
      <c r="CY38" s="6"/>
      <c r="CZ38" s="6"/>
      <c r="DA38" s="6"/>
      <c r="DB38" s="6"/>
    </row>
    <row r="39" spans="3:122" ht="15.75" thickBot="1" x14ac:dyDescent="0.3">
      <c r="C39" s="14">
        <v>117</v>
      </c>
      <c r="D39" s="15">
        <v>2000</v>
      </c>
      <c r="E39" s="15">
        <v>2204.62</v>
      </c>
      <c r="F39" s="16">
        <v>0.90718500000000002</v>
      </c>
      <c r="G39" s="15">
        <f>C39/D39</f>
        <v>5.8500000000000003E-2</v>
      </c>
      <c r="H39" s="17">
        <f>C39/E39</f>
        <v>5.3070370403969849E-2</v>
      </c>
      <c r="J39" s="298"/>
      <c r="K39" s="299"/>
      <c r="U39" s="2"/>
      <c r="V39" s="2"/>
      <c r="W39" s="2"/>
      <c r="X39" s="2"/>
      <c r="Y39" s="2"/>
      <c r="Z39" s="3"/>
      <c r="AA39" s="3"/>
      <c r="AB39" s="3"/>
      <c r="AC39" s="3"/>
      <c r="AD39" s="3"/>
      <c r="AE39" s="3"/>
      <c r="AF39" s="3"/>
      <c r="AG39" s="3"/>
      <c r="AH39" s="3"/>
      <c r="BO39" s="6"/>
      <c r="BP39" s="6"/>
      <c r="BQ39" s="6"/>
      <c r="BR39" s="6"/>
      <c r="BS39" s="6"/>
      <c r="BT39" s="6"/>
      <c r="BU39" s="6"/>
      <c r="BV39" s="6"/>
      <c r="BW39" s="6"/>
      <c r="BX39" s="6"/>
      <c r="BY39" s="6"/>
      <c r="BZ39" s="6"/>
      <c r="CA39" s="6"/>
      <c r="CB39" s="26"/>
      <c r="CC39" s="26"/>
      <c r="CD39" s="26"/>
      <c r="CE39" s="26"/>
      <c r="CF39" s="26"/>
      <c r="CG39" s="6"/>
      <c r="CH39" s="6"/>
      <c r="CI39" s="6"/>
      <c r="CJ39" s="6"/>
      <c r="CK39" s="6"/>
      <c r="CL39" s="6"/>
      <c r="CM39" s="6"/>
      <c r="CN39" s="6"/>
      <c r="CO39" s="6"/>
      <c r="CP39" s="6"/>
      <c r="CQ39" s="6"/>
      <c r="CR39" s="6"/>
      <c r="CS39" s="6"/>
      <c r="CT39" s="6"/>
      <c r="CU39" s="6"/>
      <c r="CV39" s="6"/>
      <c r="CW39" s="6"/>
      <c r="CX39" s="6"/>
      <c r="CY39" s="6"/>
      <c r="CZ39" s="6"/>
      <c r="DA39" s="6"/>
      <c r="DB39" s="6"/>
    </row>
    <row r="40" spans="3:122" x14ac:dyDescent="0.25">
      <c r="J40" s="298"/>
      <c r="K40" s="299"/>
      <c r="U40" s="2"/>
      <c r="V40" s="2"/>
      <c r="W40" s="2"/>
      <c r="X40" s="2"/>
      <c r="Y40" s="2"/>
      <c r="Z40" s="3"/>
      <c r="AA40" s="3"/>
      <c r="AB40" s="3"/>
      <c r="AC40" s="3"/>
      <c r="AD40" s="3"/>
      <c r="AE40" s="3"/>
      <c r="AF40" s="3"/>
      <c r="AG40" s="3"/>
      <c r="AH40" s="3"/>
    </row>
    <row r="41" spans="3:122" ht="74.25" customHeight="1" thickBot="1" x14ac:dyDescent="0.3">
      <c r="J41" s="300"/>
      <c r="K41" s="301"/>
      <c r="U41" s="2"/>
      <c r="V41" s="2"/>
      <c r="W41" s="2"/>
      <c r="X41" s="2"/>
      <c r="Y41" s="2"/>
      <c r="Z41" s="3"/>
      <c r="AA41" s="3"/>
      <c r="AB41" s="3"/>
      <c r="AC41" s="3"/>
      <c r="AD41" s="3"/>
      <c r="AE41" s="3"/>
      <c r="AF41" s="3"/>
      <c r="AG41" s="3"/>
      <c r="AH41" s="3"/>
      <c r="DN41" s="2"/>
      <c r="DO41" s="2"/>
      <c r="DP41" s="2"/>
      <c r="DQ41" s="3"/>
      <c r="DR41" s="77"/>
    </row>
    <row r="42" spans="3:122" ht="34.15" customHeight="1" x14ac:dyDescent="0.25">
      <c r="E42" s="2"/>
      <c r="F42" s="2"/>
      <c r="G42" s="2"/>
      <c r="H42" s="2"/>
      <c r="I42" s="2"/>
      <c r="J42" s="2"/>
    </row>
    <row r="44" spans="3:122" x14ac:dyDescent="0.25">
      <c r="E44" s="2"/>
      <c r="F44" s="2"/>
      <c r="G44" s="2"/>
      <c r="H44" s="2"/>
      <c r="I44" s="2"/>
      <c r="J44" s="2"/>
      <c r="K44" s="3"/>
      <c r="L44" s="3"/>
      <c r="M44" s="3"/>
      <c r="N44" s="3"/>
      <c r="O44" s="3"/>
      <c r="P44" s="2"/>
      <c r="Q44" s="2"/>
      <c r="R44" s="2"/>
      <c r="S44" s="2"/>
      <c r="T44" s="2"/>
      <c r="U44" s="2"/>
      <c r="V44" s="2"/>
      <c r="W44" s="2"/>
      <c r="X44" s="2"/>
      <c r="Y44" s="2"/>
      <c r="Z44" s="3"/>
      <c r="AA44" s="3"/>
      <c r="AB44" s="3"/>
      <c r="AC44" s="3"/>
      <c r="AD44" s="3"/>
      <c r="AE44" s="3"/>
      <c r="AF44" s="3"/>
      <c r="AG44" s="3"/>
      <c r="AH44" s="3"/>
    </row>
    <row r="45" spans="3:122" x14ac:dyDescent="0.25">
      <c r="E45" s="2"/>
      <c r="F45" s="2"/>
      <c r="G45" s="2"/>
      <c r="H45" s="2"/>
      <c r="I45" s="2"/>
      <c r="J45" s="2"/>
      <c r="K45" s="3"/>
      <c r="L45" s="3"/>
      <c r="M45" s="3"/>
      <c r="N45" s="3"/>
      <c r="O45" s="3"/>
      <c r="P45" s="2"/>
      <c r="Q45" s="2"/>
      <c r="R45" s="2"/>
      <c r="S45" s="2"/>
      <c r="T45" s="2"/>
      <c r="U45" s="2"/>
      <c r="V45" s="2"/>
      <c r="W45" s="2"/>
      <c r="X45" s="2"/>
      <c r="Y45" s="2"/>
      <c r="Z45" s="3"/>
      <c r="AA45" s="3"/>
      <c r="AB45" s="3"/>
      <c r="AC45" s="3"/>
      <c r="AD45" s="3"/>
      <c r="AE45" s="3"/>
      <c r="AF45" s="3"/>
      <c r="AG45" s="3"/>
      <c r="AH45" s="3"/>
    </row>
    <row r="46" spans="3:122" x14ac:dyDescent="0.25">
      <c r="E46" s="2"/>
      <c r="F46" s="2"/>
      <c r="G46" s="2"/>
      <c r="H46" s="2"/>
      <c r="I46" s="2"/>
      <c r="J46" s="2"/>
      <c r="K46" s="3"/>
      <c r="L46" s="3"/>
      <c r="M46" s="3"/>
      <c r="N46" s="3"/>
      <c r="O46" s="3"/>
      <c r="P46" s="2"/>
      <c r="Q46" s="2"/>
      <c r="R46" s="2"/>
      <c r="S46" s="2"/>
      <c r="T46" s="2"/>
      <c r="U46" s="2"/>
      <c r="V46" s="2"/>
      <c r="W46" s="2"/>
      <c r="X46" s="2"/>
      <c r="Y46" s="2"/>
      <c r="Z46" s="3"/>
      <c r="AA46" s="3"/>
      <c r="AB46" s="3"/>
      <c r="AC46" s="3"/>
      <c r="AD46" s="3"/>
      <c r="AE46" s="3"/>
      <c r="AF46" s="3"/>
      <c r="AG46" s="3"/>
      <c r="AH46" s="3"/>
    </row>
    <row r="47" spans="3:122" x14ac:dyDescent="0.25">
      <c r="E47" s="2"/>
      <c r="F47" s="2"/>
      <c r="G47" s="2"/>
      <c r="H47" s="2"/>
      <c r="I47" s="2"/>
      <c r="J47" s="2"/>
      <c r="K47" s="2"/>
      <c r="L47" s="2"/>
      <c r="M47" s="2"/>
      <c r="N47" s="2"/>
      <c r="O47" s="2"/>
      <c r="P47" s="2"/>
      <c r="Q47" s="2"/>
      <c r="R47" s="2"/>
      <c r="S47" s="2"/>
      <c r="T47" s="2"/>
      <c r="U47" s="2"/>
      <c r="V47" s="2"/>
      <c r="W47" s="2"/>
      <c r="X47" s="2"/>
      <c r="Y47" s="2"/>
      <c r="Z47" s="3"/>
      <c r="AA47" s="3"/>
      <c r="AB47" s="3"/>
      <c r="AC47" s="3"/>
      <c r="AD47" s="3"/>
      <c r="AE47" s="3"/>
      <c r="AF47" s="3"/>
      <c r="AG47" s="3"/>
      <c r="AH47" s="3"/>
    </row>
    <row r="48" spans="3:122" x14ac:dyDescent="0.25">
      <c r="E48" s="2"/>
      <c r="F48" s="2"/>
      <c r="G48" s="2"/>
      <c r="H48" s="2"/>
      <c r="I48" s="2"/>
      <c r="J48" s="2"/>
      <c r="K48" s="2"/>
      <c r="L48" s="2"/>
      <c r="M48" s="2"/>
      <c r="N48" s="2"/>
      <c r="O48" s="2"/>
      <c r="P48" s="2"/>
      <c r="Q48" s="2"/>
      <c r="R48" s="2"/>
      <c r="S48" s="2"/>
      <c r="T48" s="2"/>
      <c r="U48" s="2"/>
      <c r="V48" s="2"/>
      <c r="W48" s="2"/>
      <c r="X48" s="2"/>
      <c r="Y48" s="2"/>
      <c r="Z48" s="3"/>
      <c r="AA48" s="3"/>
      <c r="AB48" s="3"/>
      <c r="AC48" s="3"/>
      <c r="AD48" s="3"/>
      <c r="AE48" s="3"/>
      <c r="AF48" s="3"/>
      <c r="AG48" s="3"/>
      <c r="AH48" s="3"/>
    </row>
    <row r="49" spans="5:34" x14ac:dyDescent="0.25">
      <c r="E49" s="2"/>
      <c r="F49" s="2"/>
      <c r="G49" s="2"/>
      <c r="H49" s="2"/>
      <c r="I49" s="2"/>
      <c r="J49" s="2"/>
      <c r="K49" s="2"/>
      <c r="L49" s="2"/>
      <c r="M49" s="2"/>
      <c r="N49" s="2"/>
      <c r="O49" s="2"/>
      <c r="P49" s="2"/>
      <c r="Q49" s="2"/>
      <c r="R49" s="2"/>
      <c r="S49" s="2"/>
      <c r="T49" s="2"/>
      <c r="U49" s="2"/>
      <c r="V49" s="2"/>
      <c r="W49" s="2"/>
      <c r="X49" s="2"/>
      <c r="Y49" s="2"/>
      <c r="Z49" s="3"/>
      <c r="AA49" s="3"/>
      <c r="AB49" s="3"/>
      <c r="AC49" s="3"/>
      <c r="AD49" s="3"/>
      <c r="AE49" s="3"/>
      <c r="AF49" s="3"/>
      <c r="AG49" s="3"/>
      <c r="AH49" s="3"/>
    </row>
    <row r="50" spans="5:34" x14ac:dyDescent="0.25">
      <c r="E50" s="2"/>
      <c r="F50" s="2"/>
      <c r="G50" s="2"/>
      <c r="H50" s="2"/>
      <c r="I50" s="2"/>
      <c r="J50" s="2"/>
      <c r="K50" s="2"/>
      <c r="L50" s="2"/>
      <c r="M50" s="2"/>
      <c r="N50" s="2"/>
      <c r="O50" s="2"/>
      <c r="P50" s="2"/>
      <c r="Q50" s="2"/>
      <c r="R50" s="2"/>
      <c r="S50" s="2"/>
      <c r="T50" s="2"/>
      <c r="U50" s="2"/>
      <c r="V50" s="2"/>
      <c r="W50" s="2"/>
      <c r="X50" s="2"/>
      <c r="Y50" s="2"/>
      <c r="Z50" s="3"/>
      <c r="AA50" s="3"/>
      <c r="AB50" s="3"/>
      <c r="AC50" s="3"/>
      <c r="AD50" s="3"/>
      <c r="AE50" s="3"/>
      <c r="AF50" s="3"/>
      <c r="AG50" s="3"/>
      <c r="AH50" s="3"/>
    </row>
    <row r="51" spans="5:34" x14ac:dyDescent="0.25">
      <c r="E51" s="2"/>
      <c r="F51" s="2"/>
      <c r="G51" s="2"/>
      <c r="H51" s="2"/>
      <c r="I51" s="2"/>
      <c r="J51" s="2"/>
      <c r="K51" s="2"/>
      <c r="L51" s="2"/>
      <c r="M51" s="2"/>
      <c r="N51" s="2"/>
      <c r="O51" s="2"/>
      <c r="P51" s="2"/>
      <c r="Q51" s="2"/>
      <c r="R51" s="2"/>
      <c r="S51" s="2"/>
      <c r="T51" s="2"/>
      <c r="U51" s="2"/>
      <c r="V51" s="2"/>
      <c r="W51" s="2"/>
      <c r="X51" s="2"/>
      <c r="Y51" s="2"/>
      <c r="Z51" s="3"/>
      <c r="AA51" s="3"/>
      <c r="AB51" s="3"/>
      <c r="AC51" s="3"/>
      <c r="AD51" s="3"/>
      <c r="AE51" s="3"/>
      <c r="AF51" s="3"/>
      <c r="AG51" s="3"/>
      <c r="AH51" s="3"/>
    </row>
    <row r="52" spans="5:34" x14ac:dyDescent="0.25">
      <c r="E52" s="2"/>
      <c r="F52" s="2"/>
      <c r="G52" s="2"/>
      <c r="H52" s="2"/>
      <c r="I52" s="2"/>
      <c r="J52" s="2"/>
      <c r="K52" s="2"/>
      <c r="L52" s="2"/>
      <c r="M52" s="2"/>
      <c r="N52" s="2"/>
      <c r="O52" s="2"/>
      <c r="P52" s="2"/>
      <c r="Q52" s="2"/>
      <c r="R52" s="2"/>
      <c r="S52" s="2"/>
      <c r="T52" s="2"/>
      <c r="U52" s="2"/>
      <c r="V52" s="2"/>
      <c r="W52" s="2"/>
      <c r="X52" s="2"/>
      <c r="Y52" s="2"/>
      <c r="Z52" s="3"/>
      <c r="AA52" s="3"/>
      <c r="AB52" s="3"/>
      <c r="AC52" s="3"/>
      <c r="AD52" s="3"/>
      <c r="AE52" s="3"/>
      <c r="AF52" s="3"/>
      <c r="AG52" s="3"/>
      <c r="AH52" s="3"/>
    </row>
    <row r="53" spans="5:34" x14ac:dyDescent="0.25">
      <c r="E53" s="2"/>
      <c r="F53" s="2"/>
      <c r="G53" s="2"/>
      <c r="H53" s="2"/>
      <c r="I53" s="2"/>
      <c r="J53" s="2"/>
      <c r="K53" s="2"/>
      <c r="L53" s="2"/>
      <c r="M53" s="2"/>
      <c r="N53" s="2"/>
      <c r="O53" s="2"/>
      <c r="P53" s="2"/>
      <c r="Q53" s="2"/>
      <c r="R53" s="2"/>
      <c r="S53" s="2"/>
      <c r="T53" s="2"/>
      <c r="U53" s="2"/>
      <c r="V53" s="2"/>
      <c r="W53" s="2"/>
      <c r="X53" s="2"/>
      <c r="Y53" s="2"/>
      <c r="Z53" s="3"/>
      <c r="AA53" s="3"/>
      <c r="AB53" s="3"/>
      <c r="AC53" s="3"/>
      <c r="AD53" s="3"/>
      <c r="AE53" s="3"/>
      <c r="AF53" s="3"/>
      <c r="AG53" s="3"/>
      <c r="AH53" s="3"/>
    </row>
    <row r="54" spans="5:34" x14ac:dyDescent="0.25">
      <c r="E54" s="2"/>
      <c r="F54" s="2"/>
      <c r="G54" s="2"/>
      <c r="H54" s="2"/>
      <c r="I54" s="2"/>
      <c r="J54" s="2"/>
      <c r="K54" s="2"/>
      <c r="L54" s="2"/>
      <c r="M54" s="2"/>
      <c r="N54" s="2"/>
      <c r="O54" s="2"/>
      <c r="P54" s="2"/>
      <c r="Q54" s="2"/>
      <c r="R54" s="2"/>
      <c r="S54" s="2"/>
      <c r="T54" s="2"/>
      <c r="U54" s="2"/>
      <c r="V54" s="2"/>
      <c r="W54" s="2"/>
      <c r="X54" s="2"/>
      <c r="Y54" s="2"/>
      <c r="Z54" s="3"/>
      <c r="AA54" s="3"/>
      <c r="AB54" s="3"/>
      <c r="AC54" s="3"/>
      <c r="AD54" s="3"/>
      <c r="AE54" s="3"/>
      <c r="AF54" s="3"/>
      <c r="AG54" s="3"/>
      <c r="AH54" s="3"/>
    </row>
    <row r="55" spans="5:34" x14ac:dyDescent="0.25">
      <c r="E55" s="2"/>
      <c r="F55" s="2"/>
      <c r="G55" s="2"/>
      <c r="H55" s="2"/>
      <c r="I55" s="2"/>
      <c r="J55" s="2"/>
      <c r="K55" s="2"/>
      <c r="L55" s="2"/>
      <c r="M55" s="2"/>
      <c r="N55" s="2"/>
      <c r="O55" s="2"/>
      <c r="P55" s="2"/>
      <c r="Q55" s="2"/>
      <c r="R55" s="2"/>
      <c r="S55" s="2"/>
      <c r="T55" s="2"/>
      <c r="U55" s="2"/>
      <c r="V55" s="2"/>
      <c r="W55" s="2"/>
      <c r="X55" s="2"/>
      <c r="Y55" s="2"/>
      <c r="Z55" s="3"/>
      <c r="AA55" s="3"/>
      <c r="AB55" s="3"/>
      <c r="AC55" s="3"/>
      <c r="AD55" s="3"/>
      <c r="AE55" s="3"/>
      <c r="AF55" s="3"/>
      <c r="AG55" s="3"/>
      <c r="AH55" s="3"/>
    </row>
    <row r="56" spans="5:34" x14ac:dyDescent="0.25">
      <c r="E56" s="2"/>
      <c r="F56" s="2"/>
      <c r="G56" s="2"/>
      <c r="H56" s="2"/>
      <c r="I56" s="2"/>
      <c r="J56" s="2"/>
      <c r="K56" s="2"/>
      <c r="L56" s="2"/>
      <c r="M56" s="2"/>
      <c r="N56" s="2"/>
      <c r="O56" s="2"/>
      <c r="P56" s="2"/>
      <c r="Q56" s="2"/>
      <c r="R56" s="2"/>
      <c r="S56" s="2"/>
      <c r="T56" s="2"/>
      <c r="U56" s="2"/>
      <c r="V56" s="2"/>
      <c r="W56" s="2"/>
      <c r="X56" s="2"/>
      <c r="Y56" s="2"/>
      <c r="Z56" s="3"/>
      <c r="AA56" s="3"/>
      <c r="AB56" s="3"/>
      <c r="AC56" s="3"/>
      <c r="AD56" s="3"/>
      <c r="AE56" s="3"/>
      <c r="AF56" s="3"/>
      <c r="AG56" s="3"/>
      <c r="AH56" s="3"/>
    </row>
    <row r="57" spans="5:34" x14ac:dyDescent="0.25">
      <c r="E57" s="2"/>
      <c r="F57" s="2"/>
      <c r="G57" s="2"/>
      <c r="H57" s="2"/>
      <c r="I57" s="2"/>
      <c r="J57" s="2"/>
      <c r="K57" s="2"/>
      <c r="L57" s="2"/>
      <c r="M57" s="2"/>
      <c r="N57" s="2"/>
      <c r="O57" s="2"/>
      <c r="P57" s="2"/>
      <c r="Q57" s="2"/>
      <c r="R57" s="2"/>
      <c r="S57" s="2"/>
      <c r="T57" s="2"/>
      <c r="U57" s="2"/>
      <c r="V57" s="2"/>
      <c r="W57" s="2"/>
      <c r="X57" s="2"/>
      <c r="Y57" s="2"/>
      <c r="Z57" s="3"/>
      <c r="AA57" s="3"/>
      <c r="AB57" s="3"/>
      <c r="AC57" s="3"/>
      <c r="AD57" s="3"/>
      <c r="AE57" s="3"/>
      <c r="AF57" s="3"/>
      <c r="AG57" s="3"/>
      <c r="AH57" s="3"/>
    </row>
    <row r="58" spans="5:34" x14ac:dyDescent="0.25">
      <c r="E58" s="2"/>
      <c r="F58" s="2"/>
      <c r="G58" s="2"/>
      <c r="H58" s="2"/>
      <c r="I58" s="2"/>
      <c r="J58" s="2"/>
      <c r="K58" s="2"/>
      <c r="L58" s="2"/>
      <c r="M58" s="2"/>
      <c r="N58" s="2"/>
      <c r="O58" s="2"/>
      <c r="P58" s="2"/>
      <c r="Q58" s="2"/>
      <c r="R58" s="2"/>
      <c r="S58" s="2"/>
      <c r="T58" s="2"/>
      <c r="U58" s="2"/>
      <c r="V58" s="2"/>
      <c r="W58" s="2"/>
      <c r="X58" s="2"/>
      <c r="Y58" s="2"/>
      <c r="Z58" s="3"/>
      <c r="AA58" s="3"/>
      <c r="AB58" s="3"/>
      <c r="AC58" s="3"/>
      <c r="AD58" s="3"/>
      <c r="AE58" s="3"/>
      <c r="AF58" s="3"/>
      <c r="AG58" s="3"/>
      <c r="AH58" s="3"/>
    </row>
    <row r="59" spans="5:34" x14ac:dyDescent="0.25">
      <c r="E59" s="2"/>
      <c r="F59" s="2"/>
      <c r="G59" s="2"/>
      <c r="H59" s="2"/>
      <c r="I59" s="2"/>
      <c r="J59" s="2"/>
      <c r="K59" s="2"/>
      <c r="L59" s="2"/>
      <c r="M59" s="2"/>
      <c r="N59" s="2"/>
      <c r="O59" s="2"/>
      <c r="P59" s="2"/>
      <c r="Q59" s="2"/>
      <c r="R59" s="2"/>
      <c r="S59" s="2"/>
      <c r="T59" s="2"/>
      <c r="U59" s="2"/>
      <c r="V59" s="2"/>
      <c r="W59" s="2"/>
      <c r="X59" s="2"/>
      <c r="Y59" s="2"/>
      <c r="Z59" s="3"/>
      <c r="AA59" s="3"/>
      <c r="AB59" s="3"/>
      <c r="AC59" s="3"/>
      <c r="AD59" s="3"/>
      <c r="AE59" s="3"/>
      <c r="AF59" s="3"/>
      <c r="AG59" s="3"/>
      <c r="AH59" s="3"/>
    </row>
    <row r="60" spans="5:34" x14ac:dyDescent="0.25">
      <c r="E60" s="2"/>
      <c r="F60" s="2"/>
      <c r="G60" s="2"/>
      <c r="H60" s="2"/>
      <c r="I60" s="2"/>
      <c r="J60" s="2"/>
      <c r="K60" s="2"/>
      <c r="L60" s="2"/>
      <c r="M60" s="2"/>
      <c r="N60" s="2"/>
      <c r="O60" s="2"/>
      <c r="P60" s="2"/>
      <c r="Q60" s="2"/>
      <c r="R60" s="2"/>
      <c r="S60" s="2"/>
      <c r="T60" s="2"/>
      <c r="U60" s="2"/>
      <c r="V60" s="2"/>
      <c r="W60" s="2"/>
      <c r="X60" s="2"/>
      <c r="Y60" s="2"/>
      <c r="Z60" s="3"/>
      <c r="AA60" s="3"/>
      <c r="AB60" s="3"/>
      <c r="AC60" s="3"/>
      <c r="AD60" s="3"/>
      <c r="AE60" s="3"/>
      <c r="AF60" s="3"/>
      <c r="AG60" s="3"/>
      <c r="AH60" s="3"/>
    </row>
    <row r="61" spans="5:34" x14ac:dyDescent="0.25">
      <c r="E61" s="2"/>
      <c r="F61" s="2"/>
      <c r="G61" s="2"/>
      <c r="H61" s="2"/>
      <c r="I61" s="2"/>
      <c r="J61" s="2"/>
      <c r="K61" s="2"/>
      <c r="L61" s="2"/>
      <c r="M61" s="2"/>
      <c r="N61" s="2"/>
      <c r="O61" s="2"/>
      <c r="P61" s="2"/>
      <c r="Q61" s="2"/>
      <c r="R61" s="2"/>
      <c r="S61" s="2"/>
      <c r="T61" s="2"/>
      <c r="U61" s="2"/>
      <c r="V61" s="2"/>
      <c r="W61" s="2"/>
      <c r="X61" s="2"/>
      <c r="Y61" s="2"/>
      <c r="Z61" s="3"/>
      <c r="AA61" s="3"/>
      <c r="AB61" s="3"/>
      <c r="AC61" s="3"/>
      <c r="AD61" s="3"/>
      <c r="AE61" s="3"/>
      <c r="AF61" s="3"/>
      <c r="AG61" s="3"/>
      <c r="AH61" s="3"/>
    </row>
    <row r="62" spans="5:34" x14ac:dyDescent="0.25">
      <c r="E62" s="2"/>
      <c r="F62" s="2"/>
      <c r="G62" s="2"/>
      <c r="H62" s="2"/>
      <c r="I62" s="2"/>
      <c r="J62" s="2"/>
      <c r="K62" s="2"/>
      <c r="L62" s="2"/>
      <c r="M62" s="2"/>
      <c r="N62" s="2"/>
      <c r="O62" s="2"/>
      <c r="P62" s="2"/>
      <c r="Q62" s="2"/>
      <c r="R62" s="2"/>
      <c r="S62" s="2"/>
      <c r="T62" s="2"/>
      <c r="U62" s="2"/>
      <c r="V62" s="2"/>
      <c r="W62" s="2"/>
      <c r="X62" s="2"/>
      <c r="Y62" s="2"/>
      <c r="Z62" s="3"/>
      <c r="AA62" s="3"/>
      <c r="AB62" s="3"/>
      <c r="AC62" s="3"/>
      <c r="AD62" s="3"/>
      <c r="AE62" s="3"/>
      <c r="AF62" s="3"/>
      <c r="AG62" s="3"/>
      <c r="AH62" s="3"/>
    </row>
    <row r="63" spans="5:34" x14ac:dyDescent="0.25">
      <c r="E63" s="2"/>
      <c r="F63" s="2"/>
      <c r="G63" s="2"/>
      <c r="H63" s="2"/>
      <c r="I63" s="2"/>
      <c r="J63" s="2"/>
      <c r="K63" s="2"/>
      <c r="L63" s="2"/>
      <c r="M63" s="2"/>
      <c r="N63" s="2"/>
      <c r="O63" s="2"/>
      <c r="P63" s="2"/>
      <c r="Q63" s="2"/>
      <c r="R63" s="2"/>
      <c r="S63" s="2"/>
      <c r="T63" s="2"/>
      <c r="U63" s="2"/>
      <c r="V63" s="2"/>
      <c r="W63" s="2"/>
      <c r="X63" s="2"/>
      <c r="Y63" s="2"/>
      <c r="Z63" s="3"/>
      <c r="AA63" s="3"/>
      <c r="AB63" s="3"/>
      <c r="AC63" s="3"/>
      <c r="AD63" s="3"/>
      <c r="AE63" s="3"/>
      <c r="AF63" s="3"/>
      <c r="AG63" s="3"/>
      <c r="AH63" s="3"/>
    </row>
    <row r="64" spans="5:34" x14ac:dyDescent="0.25">
      <c r="K64" s="2"/>
      <c r="L64" s="2"/>
      <c r="M64" s="2"/>
      <c r="N64" s="2"/>
      <c r="O64" s="2"/>
      <c r="P64" s="2"/>
      <c r="Q64" s="2"/>
      <c r="R64" s="2"/>
      <c r="S64" s="2"/>
      <c r="T64" s="2"/>
      <c r="U64" s="2"/>
      <c r="V64" s="2"/>
      <c r="W64" s="2"/>
      <c r="X64" s="2"/>
      <c r="Y64" s="2"/>
      <c r="Z64" s="2"/>
      <c r="AA64" s="2"/>
      <c r="AB64" s="2"/>
      <c r="AC64" s="2"/>
      <c r="AD64" s="2"/>
      <c r="AE64" s="2"/>
      <c r="AF64" s="2"/>
      <c r="AG64" s="2"/>
      <c r="AH64" s="2"/>
    </row>
    <row r="65" spans="11:34" x14ac:dyDescent="0.25">
      <c r="K65" s="2"/>
      <c r="L65" s="2"/>
      <c r="M65" s="2"/>
      <c r="N65" s="2"/>
      <c r="O65" s="2"/>
      <c r="P65" s="2"/>
      <c r="Q65" s="2"/>
      <c r="R65" s="2"/>
      <c r="S65" s="2"/>
      <c r="T65" s="2"/>
      <c r="U65" s="2"/>
      <c r="V65" s="2"/>
      <c r="W65" s="2"/>
      <c r="X65" s="2"/>
      <c r="Y65" s="2"/>
      <c r="Z65" s="2"/>
      <c r="AA65" s="2"/>
      <c r="AB65" s="2"/>
      <c r="AC65" s="2"/>
      <c r="AD65" s="2"/>
      <c r="AE65" s="2"/>
      <c r="AF65" s="2"/>
      <c r="AG65" s="2"/>
      <c r="AH65" s="2"/>
    </row>
    <row r="66" spans="11:34" x14ac:dyDescent="0.25">
      <c r="K66" s="2"/>
      <c r="L66" s="2"/>
      <c r="M66" s="2"/>
      <c r="N66" s="2"/>
      <c r="O66" s="2"/>
      <c r="P66" s="2"/>
      <c r="Q66" s="2"/>
      <c r="R66" s="2"/>
      <c r="S66" s="2"/>
      <c r="T66" s="2"/>
      <c r="U66" s="2"/>
      <c r="V66" s="2"/>
      <c r="W66" s="2"/>
      <c r="X66" s="2"/>
      <c r="Y66" s="2"/>
      <c r="Z66" s="2"/>
      <c r="AA66" s="2"/>
      <c r="AB66" s="2"/>
      <c r="AC66" s="2"/>
      <c r="AD66" s="2"/>
      <c r="AE66" s="2"/>
      <c r="AF66" s="2"/>
      <c r="AG66" s="2"/>
      <c r="AH66" s="2"/>
    </row>
    <row r="67" spans="11:34" x14ac:dyDescent="0.25">
      <c r="K67" s="2"/>
      <c r="L67" s="2"/>
      <c r="M67" s="2"/>
      <c r="N67" s="2"/>
      <c r="O67" s="2"/>
      <c r="P67" s="2"/>
      <c r="Q67" s="2"/>
      <c r="R67" s="2"/>
      <c r="S67" s="2"/>
      <c r="T67" s="2"/>
      <c r="U67" s="2"/>
      <c r="V67" s="2"/>
      <c r="W67" s="2"/>
      <c r="X67" s="2"/>
      <c r="Y67" s="2"/>
      <c r="Z67" s="2"/>
      <c r="AA67" s="2"/>
      <c r="AB67" s="2"/>
      <c r="AC67" s="2"/>
      <c r="AD67" s="2"/>
      <c r="AE67" s="2"/>
      <c r="AF67" s="2"/>
      <c r="AG67" s="2"/>
      <c r="AH67" s="2"/>
    </row>
    <row r="68" spans="11:34" x14ac:dyDescent="0.25">
      <c r="K68" s="2"/>
      <c r="L68" s="2"/>
      <c r="M68" s="2"/>
      <c r="N68" s="2"/>
      <c r="O68" s="2"/>
      <c r="P68" s="2"/>
      <c r="Q68" s="2"/>
      <c r="R68" s="2"/>
      <c r="S68" s="2"/>
      <c r="T68" s="2"/>
    </row>
    <row r="69" spans="11:34" x14ac:dyDescent="0.25">
      <c r="K69" s="2"/>
      <c r="L69" s="2"/>
      <c r="M69" s="2"/>
      <c r="N69" s="2"/>
      <c r="O69" s="2"/>
      <c r="P69" s="2"/>
      <c r="Q69" s="2"/>
      <c r="R69" s="2"/>
      <c r="S69" s="2"/>
      <c r="T69" s="2"/>
    </row>
    <row r="70" spans="11:34" x14ac:dyDescent="0.25">
      <c r="K70" s="3"/>
      <c r="L70" s="3"/>
      <c r="M70" s="3"/>
      <c r="N70" s="3"/>
      <c r="O70" s="3"/>
      <c r="P70" s="2"/>
      <c r="Q70" s="2"/>
      <c r="R70" s="2"/>
      <c r="S70" s="2"/>
      <c r="T70" s="2"/>
    </row>
    <row r="71" spans="11:34" x14ac:dyDescent="0.25">
      <c r="K71" s="3"/>
      <c r="L71" s="3"/>
      <c r="M71" s="3"/>
      <c r="N71" s="3"/>
      <c r="O71" s="3"/>
      <c r="P71" s="2"/>
      <c r="Q71" s="2"/>
      <c r="R71" s="2"/>
      <c r="S71" s="2"/>
      <c r="T71" s="2"/>
    </row>
    <row r="72" spans="11:34" x14ac:dyDescent="0.25">
      <c r="K72" s="3"/>
      <c r="L72" s="3"/>
      <c r="M72" s="3"/>
      <c r="N72" s="3"/>
      <c r="O72" s="3"/>
      <c r="P72" s="2"/>
      <c r="Q72" s="2"/>
      <c r="R72" s="2"/>
      <c r="S72" s="2"/>
      <c r="T72" s="2"/>
    </row>
    <row r="73" spans="11:34" x14ac:dyDescent="0.25">
      <c r="K73" s="3"/>
      <c r="L73" s="3"/>
      <c r="M73" s="3"/>
      <c r="N73" s="3"/>
      <c r="O73" s="3"/>
      <c r="P73" s="2"/>
      <c r="Q73" s="2"/>
      <c r="R73" s="2"/>
      <c r="S73" s="2"/>
      <c r="T73" s="2"/>
    </row>
    <row r="102" ht="37.15" customHeight="1" x14ac:dyDescent="0.25"/>
  </sheetData>
  <mergeCells count="17">
    <mergeCell ref="E2:G2"/>
    <mergeCell ref="H2:J2"/>
    <mergeCell ref="K2:O2"/>
    <mergeCell ref="P2:T2"/>
    <mergeCell ref="U2:Y2"/>
    <mergeCell ref="J36:K36"/>
    <mergeCell ref="J38:K41"/>
    <mergeCell ref="CE2:CI2"/>
    <mergeCell ref="CJ2:CN2"/>
    <mergeCell ref="DM2:DN2"/>
    <mergeCell ref="BC2:BD2"/>
    <mergeCell ref="BK2:BM2"/>
    <mergeCell ref="BN2:BQ2"/>
    <mergeCell ref="BR2:BT2"/>
    <mergeCell ref="BU2:BY2"/>
    <mergeCell ref="BZ2:CD2"/>
    <mergeCell ref="Z2:AD2"/>
  </mergeCells>
  <phoneticPr fontId="3" type="noConversion"/>
  <conditionalFormatting sqref="BD4:BD32">
    <cfRule type="dataBar" priority="5">
      <dataBar>
        <cfvo type="min"/>
        <cfvo type="max"/>
        <color rgb="FF63C384"/>
      </dataBar>
      <extLst>
        <ext xmlns:x14="http://schemas.microsoft.com/office/spreadsheetml/2009/9/main" uri="{B025F937-C7B1-47D3-B67F-A62EFF666E3E}">
          <x14:id>{211F5D56-AE6F-409E-A7A8-9A9C688DE5C1}</x14:id>
        </ext>
      </extLst>
    </cfRule>
  </conditionalFormatting>
  <conditionalFormatting sqref="BF4:BF32">
    <cfRule type="dataBar" priority="4">
      <dataBar>
        <cfvo type="min"/>
        <cfvo type="max"/>
        <color rgb="FF008AEF"/>
      </dataBar>
      <extLst>
        <ext xmlns:x14="http://schemas.microsoft.com/office/spreadsheetml/2009/9/main" uri="{B025F937-C7B1-47D3-B67F-A62EFF666E3E}">
          <x14:id>{E81A75E4-58A7-4533-A597-C460FF8310FD}</x14:id>
        </ext>
      </extLst>
    </cfRule>
  </conditionalFormatting>
  <conditionalFormatting sqref="DP4:DP32">
    <cfRule type="dataBar" priority="3">
      <dataBar>
        <cfvo type="min"/>
        <cfvo type="max"/>
        <color rgb="FF008AEF"/>
      </dataBar>
      <extLst>
        <ext xmlns:x14="http://schemas.microsoft.com/office/spreadsheetml/2009/9/main" uri="{B025F937-C7B1-47D3-B67F-A62EFF666E3E}">
          <x14:id>{398DADD7-6BAE-4F71-B3FC-36B60C5394A3}</x14:id>
        </ext>
      </extLst>
    </cfRule>
  </conditionalFormatting>
  <conditionalFormatting sqref="DN4:DN32">
    <cfRule type="dataBar" priority="2">
      <dataBar>
        <cfvo type="min"/>
        <cfvo type="max"/>
        <color rgb="FF63C384"/>
      </dataBar>
      <extLst>
        <ext xmlns:x14="http://schemas.microsoft.com/office/spreadsheetml/2009/9/main" uri="{B025F937-C7B1-47D3-B67F-A62EFF666E3E}">
          <x14:id>{E38EB047-49BF-471A-9071-8FB3B6CD8141}</x14:id>
        </ext>
      </extLst>
    </cfRule>
  </conditionalFormatting>
  <conditionalFormatting sqref="K37">
    <cfRule type="cellIs" dxfId="0" priority="1" operator="equal">
      <formula>"Good"</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11F5D56-AE6F-409E-A7A8-9A9C688DE5C1}">
            <x14:dataBar minLength="0" maxLength="100" border="1" negativeBarBorderColorSameAsPositive="0">
              <x14:cfvo type="autoMin"/>
              <x14:cfvo type="autoMax"/>
              <x14:borderColor rgb="FF63C384"/>
              <x14:negativeFillColor rgb="FFFF0000"/>
              <x14:negativeBorderColor rgb="FFFF0000"/>
              <x14:axisColor rgb="FF000000"/>
            </x14:dataBar>
          </x14:cfRule>
          <xm:sqref>BD4:BD32</xm:sqref>
        </x14:conditionalFormatting>
        <x14:conditionalFormatting xmlns:xm="http://schemas.microsoft.com/office/excel/2006/main">
          <x14:cfRule type="dataBar" id="{E81A75E4-58A7-4533-A597-C460FF8310FD}">
            <x14:dataBar minLength="0" maxLength="100" border="1" negativeBarBorderColorSameAsPositive="0">
              <x14:cfvo type="autoMin"/>
              <x14:cfvo type="autoMax"/>
              <x14:borderColor rgb="FF008AEF"/>
              <x14:negativeFillColor rgb="FFFF0000"/>
              <x14:negativeBorderColor rgb="FFFF0000"/>
              <x14:axisColor rgb="FF000000"/>
            </x14:dataBar>
          </x14:cfRule>
          <xm:sqref>BF4:BF32</xm:sqref>
        </x14:conditionalFormatting>
        <x14:conditionalFormatting xmlns:xm="http://schemas.microsoft.com/office/excel/2006/main">
          <x14:cfRule type="dataBar" id="{398DADD7-6BAE-4F71-B3FC-36B60C5394A3}">
            <x14:dataBar minLength="0" maxLength="100" border="1" negativeBarBorderColorSameAsPositive="0">
              <x14:cfvo type="autoMin"/>
              <x14:cfvo type="autoMax"/>
              <x14:borderColor rgb="FF008AEF"/>
              <x14:negativeFillColor rgb="FFFF0000"/>
              <x14:negativeBorderColor rgb="FFFF0000"/>
              <x14:axisColor rgb="FF000000"/>
            </x14:dataBar>
          </x14:cfRule>
          <xm:sqref>DP4:DP32</xm:sqref>
        </x14:conditionalFormatting>
        <x14:conditionalFormatting xmlns:xm="http://schemas.microsoft.com/office/excel/2006/main">
          <x14:cfRule type="dataBar" id="{E38EB047-49BF-471A-9071-8FB3B6CD8141}">
            <x14:dataBar minLength="0" maxLength="100" border="1" negativeBarBorderColorSameAsPositive="0">
              <x14:cfvo type="autoMin"/>
              <x14:cfvo type="autoMax"/>
              <x14:borderColor rgb="FF63C384"/>
              <x14:negativeFillColor rgb="FFFF0000"/>
              <x14:negativeBorderColor rgb="FFFF0000"/>
              <x14:axisColor rgb="FF000000"/>
            </x14:dataBar>
          </x14:cfRule>
          <xm:sqref>DN4:DN32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9BBA165-DAC1-4638-9C37-5AB0413D30FC}">
          <x14:formula1>
            <xm:f>'Notes and Scenario Inputs'!$B$19:$B$28</xm:f>
          </x14:formula1>
          <xm:sqref>M37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0351E-198C-4647-90C5-8C1326FF04CE}">
  <sheetPr>
    <tabColor rgb="FF0070C0"/>
  </sheetPr>
  <dimension ref="A1:AI60"/>
  <sheetViews>
    <sheetView topLeftCell="A36" workbookViewId="0">
      <selection activeCell="AU34" sqref="AU34"/>
    </sheetView>
  </sheetViews>
  <sheetFormatPr defaultRowHeight="15" x14ac:dyDescent="0.25"/>
  <cols>
    <col min="1" max="1" width="9.7109375" customWidth="1"/>
    <col min="2" max="2" width="9" customWidth="1"/>
    <col min="3" max="5" width="9" style="219" customWidth="1"/>
  </cols>
  <sheetData>
    <row r="1" spans="1:35" x14ac:dyDescent="0.25">
      <c r="A1" t="s">
        <v>79</v>
      </c>
      <c r="B1" t="s">
        <v>242</v>
      </c>
      <c r="C1" s="219" t="s">
        <v>527</v>
      </c>
      <c r="D1" s="219" t="s">
        <v>528</v>
      </c>
      <c r="E1" s="219" t="s">
        <v>529</v>
      </c>
      <c r="F1" t="s">
        <v>527</v>
      </c>
      <c r="G1">
        <v>1</v>
      </c>
      <c r="H1">
        <v>2</v>
      </c>
      <c r="I1">
        <v>3</v>
      </c>
      <c r="J1">
        <v>4</v>
      </c>
      <c r="K1">
        <v>5</v>
      </c>
      <c r="L1">
        <v>6</v>
      </c>
      <c r="M1">
        <v>7</v>
      </c>
      <c r="N1">
        <v>8</v>
      </c>
      <c r="O1">
        <v>9</v>
      </c>
      <c r="P1" t="s">
        <v>530</v>
      </c>
      <c r="Q1">
        <v>1</v>
      </c>
      <c r="R1">
        <v>2</v>
      </c>
      <c r="S1">
        <v>3</v>
      </c>
      <c r="T1">
        <v>4</v>
      </c>
      <c r="U1">
        <v>5</v>
      </c>
      <c r="V1">
        <v>6</v>
      </c>
      <c r="W1">
        <v>7</v>
      </c>
      <c r="X1">
        <v>8</v>
      </c>
      <c r="Y1">
        <v>9</v>
      </c>
      <c r="Z1" t="s">
        <v>531</v>
      </c>
      <c r="AA1">
        <v>1</v>
      </c>
      <c r="AB1">
        <v>2</v>
      </c>
      <c r="AC1">
        <v>3</v>
      </c>
      <c r="AD1">
        <v>4</v>
      </c>
      <c r="AE1">
        <v>5</v>
      </c>
      <c r="AF1">
        <v>6</v>
      </c>
      <c r="AG1">
        <v>7</v>
      </c>
      <c r="AH1">
        <v>8</v>
      </c>
      <c r="AI1">
        <v>9</v>
      </c>
    </row>
    <row r="2" spans="1:35" x14ac:dyDescent="0.25">
      <c r="A2">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2">
        <v>2022</v>
      </c>
      <c r="C2" s="219">
        <f t="array" ref="C2">INDEX($G$2:$O$30,$B2-2022,$A$2)</f>
        <v>0</v>
      </c>
      <c r="D2" s="219">
        <f t="array" ref="D2:D30">INDEX($Q$2:$Y$30,$B2-2022,$A$2)</f>
        <v>0</v>
      </c>
      <c r="E2" s="219">
        <f t="array" ref="E2:E30">INDEX($AA$2:$AI$30,$B2-2022,$A$2)</f>
        <v>1</v>
      </c>
      <c r="F2" t="s">
        <v>532</v>
      </c>
      <c r="G2" s="222">
        <v>0</v>
      </c>
      <c r="H2" s="222">
        <v>0</v>
      </c>
      <c r="I2" s="222">
        <v>0</v>
      </c>
      <c r="J2" s="222">
        <v>0</v>
      </c>
      <c r="K2" s="222">
        <v>0</v>
      </c>
      <c r="L2" s="222">
        <v>0</v>
      </c>
      <c r="M2" s="222">
        <v>0</v>
      </c>
      <c r="N2" s="222">
        <v>0</v>
      </c>
      <c r="O2" s="222">
        <v>0</v>
      </c>
      <c r="P2" t="s">
        <v>532</v>
      </c>
      <c r="Q2" s="222">
        <v>0</v>
      </c>
      <c r="R2" s="222">
        <v>0</v>
      </c>
      <c r="S2" s="222">
        <v>0</v>
      </c>
      <c r="T2" s="222">
        <v>0</v>
      </c>
      <c r="U2" s="222">
        <v>0</v>
      </c>
      <c r="V2" s="222">
        <v>0</v>
      </c>
      <c r="W2" s="222">
        <v>0</v>
      </c>
      <c r="X2" s="222">
        <v>0</v>
      </c>
      <c r="Y2" s="222">
        <v>0</v>
      </c>
      <c r="Z2" t="s">
        <v>532</v>
      </c>
      <c r="AA2" s="222">
        <v>1</v>
      </c>
      <c r="AB2" s="222">
        <v>1</v>
      </c>
      <c r="AC2" s="222">
        <v>1</v>
      </c>
      <c r="AD2" s="222">
        <v>1</v>
      </c>
      <c r="AE2" s="222">
        <v>1</v>
      </c>
      <c r="AF2" s="222">
        <v>1</v>
      </c>
      <c r="AG2" s="222">
        <v>1</v>
      </c>
      <c r="AH2" s="222">
        <v>1</v>
      </c>
      <c r="AI2" s="222">
        <v>1</v>
      </c>
    </row>
    <row r="3" spans="1:35" x14ac:dyDescent="0.25">
      <c r="B3">
        <v>2023</v>
      </c>
      <c r="C3" s="219">
        <f t="array" ref="C3">INDEX($G$2:$O$30,$B3-2021,$A$2)</f>
        <v>0</v>
      </c>
      <c r="D3" s="219">
        <v>0</v>
      </c>
      <c r="E3" s="219">
        <v>1</v>
      </c>
      <c r="G3" s="222">
        <v>0</v>
      </c>
      <c r="H3" s="222">
        <v>0</v>
      </c>
      <c r="I3" s="222">
        <v>0</v>
      </c>
      <c r="J3" s="222">
        <v>0</v>
      </c>
      <c r="K3" s="222">
        <v>0</v>
      </c>
      <c r="L3" s="222">
        <v>0</v>
      </c>
      <c r="M3" s="222">
        <v>0</v>
      </c>
      <c r="N3" s="222">
        <v>0</v>
      </c>
      <c r="O3" s="222">
        <v>0</v>
      </c>
      <c r="P3" s="222"/>
      <c r="Q3" s="222">
        <v>0</v>
      </c>
      <c r="R3" s="222">
        <v>0</v>
      </c>
      <c r="S3" s="222">
        <v>0.15</v>
      </c>
      <c r="T3" s="222">
        <v>0</v>
      </c>
      <c r="U3" s="222">
        <v>0</v>
      </c>
      <c r="V3" s="222">
        <v>0</v>
      </c>
      <c r="W3" s="222">
        <v>0</v>
      </c>
      <c r="X3" s="222">
        <v>0</v>
      </c>
      <c r="Y3" s="222">
        <v>0</v>
      </c>
      <c r="AA3" s="222">
        <v>1</v>
      </c>
      <c r="AB3" s="222">
        <v>1</v>
      </c>
      <c r="AC3" s="222">
        <v>0.85</v>
      </c>
      <c r="AD3" s="222">
        <v>1</v>
      </c>
      <c r="AE3" s="222">
        <v>1</v>
      </c>
      <c r="AF3" s="222">
        <v>1</v>
      </c>
      <c r="AG3" s="222">
        <v>1</v>
      </c>
      <c r="AH3" s="222">
        <v>1</v>
      </c>
      <c r="AI3" s="222">
        <v>1</v>
      </c>
    </row>
    <row r="4" spans="1:35" x14ac:dyDescent="0.25">
      <c r="B4">
        <v>2024</v>
      </c>
      <c r="C4" s="219">
        <f t="array" ref="C4">INDEX($G$2:$O$30,$B4-2021,$A$2)</f>
        <v>0</v>
      </c>
      <c r="D4" s="219">
        <v>0</v>
      </c>
      <c r="E4" s="219">
        <v>1</v>
      </c>
      <c r="G4" s="222">
        <v>0</v>
      </c>
      <c r="H4" s="222">
        <v>0</v>
      </c>
      <c r="I4" s="222">
        <v>0</v>
      </c>
      <c r="J4" s="222">
        <v>0</v>
      </c>
      <c r="K4" s="222">
        <v>0</v>
      </c>
      <c r="L4" s="222">
        <v>0</v>
      </c>
      <c r="M4" s="222">
        <v>0</v>
      </c>
      <c r="N4" s="222">
        <v>0</v>
      </c>
      <c r="O4" s="222">
        <v>0</v>
      </c>
      <c r="P4" s="222"/>
      <c r="Q4" s="222">
        <v>0</v>
      </c>
      <c r="R4" s="222">
        <v>0</v>
      </c>
      <c r="S4" s="222">
        <v>0.3</v>
      </c>
      <c r="T4" s="222">
        <v>0</v>
      </c>
      <c r="U4" s="222">
        <v>0</v>
      </c>
      <c r="V4" s="222">
        <v>0</v>
      </c>
      <c r="W4" s="222">
        <v>0</v>
      </c>
      <c r="X4" s="222">
        <v>0</v>
      </c>
      <c r="Y4" s="222">
        <v>0</v>
      </c>
      <c r="AA4" s="222">
        <v>1</v>
      </c>
      <c r="AB4" s="222">
        <v>1</v>
      </c>
      <c r="AC4" s="222">
        <v>0.7</v>
      </c>
      <c r="AD4" s="222">
        <v>1</v>
      </c>
      <c r="AE4" s="222">
        <v>1</v>
      </c>
      <c r="AF4" s="222">
        <v>1</v>
      </c>
      <c r="AG4" s="222">
        <v>1</v>
      </c>
      <c r="AH4" s="222">
        <v>1</v>
      </c>
      <c r="AI4" s="222">
        <v>1</v>
      </c>
    </row>
    <row r="5" spans="1:35" x14ac:dyDescent="0.25">
      <c r="B5">
        <v>2025</v>
      </c>
      <c r="C5" s="219">
        <f t="array" ref="C5">INDEX($G$2:$O$30,$B5-2021,$A$2)</f>
        <v>0</v>
      </c>
      <c r="D5" s="219">
        <v>0</v>
      </c>
      <c r="E5" s="219">
        <v>1</v>
      </c>
      <c r="G5" s="222">
        <v>0.05</v>
      </c>
      <c r="H5" s="222">
        <v>0.02</v>
      </c>
      <c r="I5" s="222">
        <v>0</v>
      </c>
      <c r="J5" s="222">
        <v>0.05</v>
      </c>
      <c r="K5" s="222">
        <v>0</v>
      </c>
      <c r="L5" s="222">
        <v>0</v>
      </c>
      <c r="M5" s="222">
        <v>0.05</v>
      </c>
      <c r="N5" s="222">
        <v>0.05</v>
      </c>
      <c r="O5" s="222">
        <v>0</v>
      </c>
      <c r="P5" s="222"/>
      <c r="Q5" s="222">
        <v>0.3</v>
      </c>
      <c r="R5" s="222">
        <v>0.1</v>
      </c>
      <c r="S5" s="222">
        <v>0.5</v>
      </c>
      <c r="T5" s="222">
        <v>0.3</v>
      </c>
      <c r="U5" s="222">
        <v>0</v>
      </c>
      <c r="V5" s="222">
        <v>0</v>
      </c>
      <c r="W5" s="222">
        <v>0.05</v>
      </c>
      <c r="X5" s="222">
        <v>0.05</v>
      </c>
      <c r="Y5" s="222">
        <v>0.1</v>
      </c>
      <c r="AA5" s="222">
        <v>0.64999999999999991</v>
      </c>
      <c r="AB5" s="222">
        <v>0.88</v>
      </c>
      <c r="AC5" s="222">
        <v>0.5</v>
      </c>
      <c r="AD5" s="222">
        <v>0.64999999999999991</v>
      </c>
      <c r="AE5" s="222">
        <v>1</v>
      </c>
      <c r="AF5" s="222">
        <v>1</v>
      </c>
      <c r="AG5" s="222">
        <v>0.89999999999999991</v>
      </c>
      <c r="AH5" s="222">
        <v>0.89999999999999991</v>
      </c>
      <c r="AI5" s="222">
        <v>0.9</v>
      </c>
    </row>
    <row r="6" spans="1:35" x14ac:dyDescent="0.25">
      <c r="B6">
        <v>2026</v>
      </c>
      <c r="C6" s="219">
        <f t="array" ref="C6">INDEX($G$2:$O$30,$B6-2021,$A$2)</f>
        <v>0</v>
      </c>
      <c r="D6" s="219">
        <v>0</v>
      </c>
      <c r="E6" s="219">
        <v>1</v>
      </c>
      <c r="G6" s="222">
        <v>0.1</v>
      </c>
      <c r="H6" s="222">
        <v>0.04</v>
      </c>
      <c r="I6" s="222">
        <v>0</v>
      </c>
      <c r="J6" s="222">
        <v>0.1</v>
      </c>
      <c r="K6" s="222">
        <v>0</v>
      </c>
      <c r="L6" s="222">
        <v>0</v>
      </c>
      <c r="M6" s="222">
        <v>0.1</v>
      </c>
      <c r="N6" s="222">
        <v>0.1</v>
      </c>
      <c r="O6" s="222">
        <v>0</v>
      </c>
      <c r="P6" s="222"/>
      <c r="Q6" s="222">
        <v>0.3</v>
      </c>
      <c r="R6" s="222">
        <v>0.1</v>
      </c>
      <c r="S6" s="222">
        <v>0.75</v>
      </c>
      <c r="T6" s="222">
        <v>0.3</v>
      </c>
      <c r="U6" s="222">
        <v>0</v>
      </c>
      <c r="V6" s="222">
        <v>0</v>
      </c>
      <c r="W6" s="222">
        <v>0.1</v>
      </c>
      <c r="X6" s="222">
        <v>0.1</v>
      </c>
      <c r="Y6" s="222">
        <v>0.15</v>
      </c>
      <c r="AA6" s="222">
        <v>0.60000000000000009</v>
      </c>
      <c r="AB6" s="222">
        <v>0.86</v>
      </c>
      <c r="AC6" s="222">
        <v>0.25</v>
      </c>
      <c r="AD6" s="222">
        <v>0.60000000000000009</v>
      </c>
      <c r="AE6" s="222">
        <v>1</v>
      </c>
      <c r="AF6" s="222">
        <v>1</v>
      </c>
      <c r="AG6" s="222">
        <v>0.8</v>
      </c>
      <c r="AH6" s="222">
        <v>0.8</v>
      </c>
      <c r="AI6" s="222">
        <v>0.85</v>
      </c>
    </row>
    <row r="7" spans="1:35" x14ac:dyDescent="0.25">
      <c r="B7">
        <v>2027</v>
      </c>
      <c r="C7" s="219">
        <f t="array" ref="C7">INDEX($G$2:$O$30,$B7-2021,$A$2)</f>
        <v>0</v>
      </c>
      <c r="D7" s="219">
        <v>0</v>
      </c>
      <c r="E7" s="219">
        <v>1</v>
      </c>
      <c r="G7" s="222">
        <v>0.15</v>
      </c>
      <c r="H7" s="222">
        <v>7.0000000000000007E-2</v>
      </c>
      <c r="I7" s="222">
        <v>0</v>
      </c>
      <c r="J7" s="222">
        <v>0.15</v>
      </c>
      <c r="K7" s="222">
        <v>0</v>
      </c>
      <c r="L7" s="222">
        <v>0</v>
      </c>
      <c r="M7" s="222">
        <v>0.15</v>
      </c>
      <c r="N7" s="222">
        <v>0.15</v>
      </c>
      <c r="O7" s="222">
        <v>0</v>
      </c>
      <c r="P7" s="222"/>
      <c r="Q7" s="222">
        <v>0.3</v>
      </c>
      <c r="R7" s="222">
        <v>0.1</v>
      </c>
      <c r="S7" s="222">
        <v>0.9</v>
      </c>
      <c r="T7" s="222">
        <v>0.3</v>
      </c>
      <c r="U7" s="222">
        <v>0</v>
      </c>
      <c r="V7" s="222">
        <v>0</v>
      </c>
      <c r="W7" s="222">
        <v>0.15</v>
      </c>
      <c r="X7" s="222">
        <v>0.15</v>
      </c>
      <c r="Y7" s="222">
        <v>0.2</v>
      </c>
      <c r="AA7" s="222">
        <v>0.55000000000000004</v>
      </c>
      <c r="AB7" s="222">
        <v>0.83</v>
      </c>
      <c r="AC7" s="222">
        <v>9.9999999999999978E-2</v>
      </c>
      <c r="AD7" s="222">
        <v>0.55000000000000004</v>
      </c>
      <c r="AE7" s="222">
        <v>1</v>
      </c>
      <c r="AF7" s="222">
        <v>1</v>
      </c>
      <c r="AG7" s="222">
        <v>0.7</v>
      </c>
      <c r="AH7" s="222">
        <v>0.7</v>
      </c>
      <c r="AI7" s="222">
        <v>0.8</v>
      </c>
    </row>
    <row r="8" spans="1:35" x14ac:dyDescent="0.25">
      <c r="B8">
        <v>2028</v>
      </c>
      <c r="C8" s="219">
        <f t="array" ref="C8">INDEX($G$2:$O$30,$B8-2021,$A$2)</f>
        <v>0</v>
      </c>
      <c r="D8" s="219">
        <v>0</v>
      </c>
      <c r="E8" s="219">
        <v>1</v>
      </c>
      <c r="G8" s="222">
        <v>0.2</v>
      </c>
      <c r="H8" s="222">
        <v>0.1</v>
      </c>
      <c r="I8" s="222">
        <v>0</v>
      </c>
      <c r="J8" s="222">
        <v>0.2</v>
      </c>
      <c r="K8" s="222">
        <v>0</v>
      </c>
      <c r="L8" s="222">
        <v>0</v>
      </c>
      <c r="M8" s="222">
        <v>0.2</v>
      </c>
      <c r="N8" s="222">
        <v>0.2</v>
      </c>
      <c r="O8" s="222">
        <v>0</v>
      </c>
      <c r="P8" s="222"/>
      <c r="Q8" s="222">
        <v>0.3</v>
      </c>
      <c r="R8" s="222">
        <v>0.1</v>
      </c>
      <c r="S8" s="222">
        <v>1</v>
      </c>
      <c r="T8" s="222">
        <v>0.3</v>
      </c>
      <c r="U8" s="222">
        <v>0</v>
      </c>
      <c r="V8" s="222">
        <v>0</v>
      </c>
      <c r="W8" s="222">
        <v>0.2</v>
      </c>
      <c r="X8" s="222">
        <v>0.2</v>
      </c>
      <c r="Y8" s="222">
        <v>0.25</v>
      </c>
      <c r="AA8" s="222">
        <v>0.5</v>
      </c>
      <c r="AB8" s="222">
        <v>0.8</v>
      </c>
      <c r="AC8" s="222">
        <v>0</v>
      </c>
      <c r="AD8" s="222">
        <v>0.5</v>
      </c>
      <c r="AE8" s="222">
        <v>1</v>
      </c>
      <c r="AF8" s="222">
        <v>1</v>
      </c>
      <c r="AG8" s="222">
        <v>0.60000000000000009</v>
      </c>
      <c r="AH8" s="222">
        <v>0.60000000000000009</v>
      </c>
      <c r="AI8" s="222">
        <v>0.75</v>
      </c>
    </row>
    <row r="9" spans="1:35" x14ac:dyDescent="0.25">
      <c r="B9">
        <v>2029</v>
      </c>
      <c r="C9" s="219">
        <f t="array" ref="C9">INDEX($G$2:$O$30,$B9-2021,$A$2)</f>
        <v>0</v>
      </c>
      <c r="D9" s="219">
        <v>0</v>
      </c>
      <c r="E9" s="219">
        <v>1</v>
      </c>
      <c r="G9" s="222">
        <v>0.25</v>
      </c>
      <c r="H9" s="222">
        <v>0.14000000000000001</v>
      </c>
      <c r="I9" s="222">
        <v>0</v>
      </c>
      <c r="J9" s="222">
        <v>0.25</v>
      </c>
      <c r="K9" s="222">
        <v>0</v>
      </c>
      <c r="L9" s="222">
        <v>0</v>
      </c>
      <c r="M9" s="222">
        <v>0.25</v>
      </c>
      <c r="N9" s="222">
        <v>0.25</v>
      </c>
      <c r="O9" s="222">
        <v>0</v>
      </c>
      <c r="P9" s="222"/>
      <c r="Q9" s="222">
        <v>0.3</v>
      </c>
      <c r="R9" s="222">
        <v>0.1</v>
      </c>
      <c r="S9" s="222">
        <v>1</v>
      </c>
      <c r="T9" s="222">
        <v>0.3</v>
      </c>
      <c r="U9" s="222">
        <v>0</v>
      </c>
      <c r="V9" s="222">
        <v>0</v>
      </c>
      <c r="W9" s="222">
        <v>0.25</v>
      </c>
      <c r="X9" s="222">
        <v>0.25</v>
      </c>
      <c r="Y9" s="222">
        <v>0.3</v>
      </c>
      <c r="AA9" s="222">
        <v>0.45</v>
      </c>
      <c r="AB9" s="222">
        <v>0.76</v>
      </c>
      <c r="AC9" s="222">
        <v>0</v>
      </c>
      <c r="AD9" s="222">
        <v>0.45</v>
      </c>
      <c r="AE9" s="222">
        <v>1</v>
      </c>
      <c r="AF9" s="222">
        <v>1</v>
      </c>
      <c r="AG9" s="222">
        <v>0.5</v>
      </c>
      <c r="AH9" s="222">
        <v>0.5</v>
      </c>
      <c r="AI9" s="222">
        <v>0.7</v>
      </c>
    </row>
    <row r="10" spans="1:35" x14ac:dyDescent="0.25">
      <c r="B10">
        <v>2030</v>
      </c>
      <c r="C10" s="219">
        <f t="array" ref="C10">INDEX($G$2:$O$30,$B10-2021,$A$2)</f>
        <v>0</v>
      </c>
      <c r="D10" s="219">
        <v>0</v>
      </c>
      <c r="E10" s="219">
        <v>1</v>
      </c>
      <c r="G10" s="222">
        <v>0.3</v>
      </c>
      <c r="H10" s="222">
        <v>0.18</v>
      </c>
      <c r="I10" s="222">
        <v>0</v>
      </c>
      <c r="J10" s="222">
        <v>0.25</v>
      </c>
      <c r="K10" s="222">
        <v>0</v>
      </c>
      <c r="L10" s="222">
        <v>0</v>
      </c>
      <c r="M10" s="222">
        <v>0.3</v>
      </c>
      <c r="N10" s="222">
        <v>0.3</v>
      </c>
      <c r="O10" s="222">
        <v>0</v>
      </c>
      <c r="P10" s="222"/>
      <c r="Q10" s="222">
        <v>0.3</v>
      </c>
      <c r="R10" s="222">
        <v>0.1</v>
      </c>
      <c r="S10" s="222">
        <v>1</v>
      </c>
      <c r="T10" s="222">
        <v>0.3</v>
      </c>
      <c r="U10" s="222">
        <v>0</v>
      </c>
      <c r="V10" s="222">
        <v>0</v>
      </c>
      <c r="W10" s="222">
        <v>0.3</v>
      </c>
      <c r="X10" s="222">
        <v>0.3</v>
      </c>
      <c r="Y10" s="222">
        <v>0.3</v>
      </c>
      <c r="AA10" s="222">
        <v>0.39999999999999997</v>
      </c>
      <c r="AB10" s="222">
        <v>0.72000000000000008</v>
      </c>
      <c r="AC10" s="222">
        <v>0</v>
      </c>
      <c r="AD10" s="222">
        <v>0.45</v>
      </c>
      <c r="AE10" s="222">
        <v>1</v>
      </c>
      <c r="AF10" s="222">
        <v>1</v>
      </c>
      <c r="AG10" s="222">
        <v>0.39999999999999997</v>
      </c>
      <c r="AH10" s="222">
        <v>0.39999999999999997</v>
      </c>
      <c r="AI10" s="222">
        <v>0.7</v>
      </c>
    </row>
    <row r="11" spans="1:35" x14ac:dyDescent="0.25">
      <c r="B11">
        <v>2031</v>
      </c>
      <c r="C11" s="219">
        <f t="array" ref="C11">INDEX($G$2:$O$30,$B11-2021,$A$2)</f>
        <v>0</v>
      </c>
      <c r="D11" s="219">
        <v>0</v>
      </c>
      <c r="E11" s="219">
        <v>1</v>
      </c>
      <c r="G11" s="222">
        <v>0.3</v>
      </c>
      <c r="H11" s="222">
        <v>0.23</v>
      </c>
      <c r="I11" s="222">
        <v>0</v>
      </c>
      <c r="J11" s="222">
        <v>0.25</v>
      </c>
      <c r="K11" s="222">
        <v>0</v>
      </c>
      <c r="L11" s="222">
        <v>0</v>
      </c>
      <c r="M11" s="222">
        <v>0.3</v>
      </c>
      <c r="N11" s="222">
        <v>0.3</v>
      </c>
      <c r="O11" s="222">
        <v>0</v>
      </c>
      <c r="P11" s="222"/>
      <c r="Q11" s="222">
        <v>0.3</v>
      </c>
      <c r="R11" s="222">
        <v>0.1</v>
      </c>
      <c r="S11" s="222">
        <v>1</v>
      </c>
      <c r="T11" s="222">
        <v>0.3</v>
      </c>
      <c r="U11" s="222">
        <v>0</v>
      </c>
      <c r="V11" s="222">
        <v>0</v>
      </c>
      <c r="W11" s="222">
        <v>0.3</v>
      </c>
      <c r="X11" s="222">
        <v>0.3</v>
      </c>
      <c r="Y11" s="222">
        <v>0.3</v>
      </c>
      <c r="AA11" s="222">
        <v>0.39999999999999997</v>
      </c>
      <c r="AB11" s="222">
        <v>0.67</v>
      </c>
      <c r="AC11" s="222">
        <v>0</v>
      </c>
      <c r="AD11" s="222">
        <v>0.45</v>
      </c>
      <c r="AE11" s="222">
        <v>1</v>
      </c>
      <c r="AF11" s="222">
        <v>1</v>
      </c>
      <c r="AG11" s="222">
        <v>0.39999999999999997</v>
      </c>
      <c r="AH11" s="222">
        <v>0.39999999999999997</v>
      </c>
      <c r="AI11" s="222">
        <v>0.7</v>
      </c>
    </row>
    <row r="12" spans="1:35" x14ac:dyDescent="0.25">
      <c r="B12">
        <v>2032</v>
      </c>
      <c r="C12" s="219">
        <f t="array" ref="C12">INDEX($G$2:$O$30,$B12-2021,$A$2)</f>
        <v>0</v>
      </c>
      <c r="D12" s="219">
        <v>0</v>
      </c>
      <c r="E12" s="219">
        <v>1</v>
      </c>
      <c r="G12" s="222">
        <v>0.3</v>
      </c>
      <c r="H12" s="222">
        <v>0.28000000000000003</v>
      </c>
      <c r="I12" s="222">
        <v>0</v>
      </c>
      <c r="J12" s="222">
        <v>0.25</v>
      </c>
      <c r="K12" s="222">
        <v>0</v>
      </c>
      <c r="L12" s="222">
        <v>0</v>
      </c>
      <c r="M12" s="222">
        <v>0.3</v>
      </c>
      <c r="N12" s="222">
        <v>0.3</v>
      </c>
      <c r="O12" s="222">
        <v>0</v>
      </c>
      <c r="P12" s="222"/>
      <c r="Q12" s="222">
        <v>0.3</v>
      </c>
      <c r="R12" s="222">
        <v>0.1</v>
      </c>
      <c r="S12" s="222">
        <v>1</v>
      </c>
      <c r="T12" s="222">
        <v>0.3</v>
      </c>
      <c r="U12" s="222">
        <v>0</v>
      </c>
      <c r="V12" s="222">
        <v>0</v>
      </c>
      <c r="W12" s="222">
        <v>0.3</v>
      </c>
      <c r="X12" s="222">
        <v>0.3</v>
      </c>
      <c r="Y12" s="222">
        <v>0.3</v>
      </c>
      <c r="AA12" s="222">
        <v>0.39999999999999997</v>
      </c>
      <c r="AB12" s="222">
        <v>0.62</v>
      </c>
      <c r="AC12" s="222">
        <v>0</v>
      </c>
      <c r="AD12" s="222">
        <v>0.45</v>
      </c>
      <c r="AE12" s="222">
        <v>1</v>
      </c>
      <c r="AF12" s="222">
        <v>1</v>
      </c>
      <c r="AG12" s="222">
        <v>0.39999999999999997</v>
      </c>
      <c r="AH12" s="222">
        <v>0.39999999999999997</v>
      </c>
      <c r="AI12" s="222">
        <v>0.7</v>
      </c>
    </row>
    <row r="13" spans="1:35" x14ac:dyDescent="0.25">
      <c r="B13">
        <v>2033</v>
      </c>
      <c r="C13" s="219">
        <f t="array" ref="C13">INDEX($G$2:$O$30,$B13-2021,$A$2)</f>
        <v>0</v>
      </c>
      <c r="D13" s="219">
        <v>0</v>
      </c>
      <c r="E13" s="219">
        <v>1</v>
      </c>
      <c r="G13" s="222">
        <v>0.3</v>
      </c>
      <c r="H13" s="222">
        <v>0.34</v>
      </c>
      <c r="I13" s="222">
        <v>0</v>
      </c>
      <c r="J13" s="222">
        <v>0.25</v>
      </c>
      <c r="K13" s="222">
        <v>0</v>
      </c>
      <c r="L13" s="222">
        <v>0</v>
      </c>
      <c r="M13" s="222">
        <v>0.3</v>
      </c>
      <c r="N13" s="222">
        <v>0.3</v>
      </c>
      <c r="O13" s="222">
        <v>0</v>
      </c>
      <c r="P13" s="222"/>
      <c r="Q13" s="222">
        <v>0.3</v>
      </c>
      <c r="R13" s="222">
        <v>0.1</v>
      </c>
      <c r="S13" s="222">
        <v>1</v>
      </c>
      <c r="T13" s="222">
        <v>0.3</v>
      </c>
      <c r="U13" s="222">
        <v>0</v>
      </c>
      <c r="V13" s="222">
        <v>0</v>
      </c>
      <c r="W13" s="222">
        <v>0.3</v>
      </c>
      <c r="X13" s="222">
        <v>0.3</v>
      </c>
      <c r="Y13" s="222">
        <v>0.3</v>
      </c>
      <c r="AA13" s="222">
        <v>0.39999999999999997</v>
      </c>
      <c r="AB13" s="222">
        <v>0.55999999999999994</v>
      </c>
      <c r="AC13" s="222">
        <v>0</v>
      </c>
      <c r="AD13" s="222">
        <v>0.45</v>
      </c>
      <c r="AE13" s="222">
        <v>1</v>
      </c>
      <c r="AF13" s="222">
        <v>1</v>
      </c>
      <c r="AG13" s="222">
        <v>0.39999999999999997</v>
      </c>
      <c r="AH13" s="222">
        <v>0.39999999999999997</v>
      </c>
      <c r="AI13" s="222">
        <v>0.7</v>
      </c>
    </row>
    <row r="14" spans="1:35" x14ac:dyDescent="0.25">
      <c r="B14">
        <v>2034</v>
      </c>
      <c r="C14" s="219">
        <f t="array" ref="C14">INDEX($G$2:$O$30,$B14-2021,$A$2)</f>
        <v>0</v>
      </c>
      <c r="D14" s="219">
        <v>0</v>
      </c>
      <c r="E14" s="219">
        <v>1</v>
      </c>
      <c r="G14" s="222">
        <v>0.3</v>
      </c>
      <c r="H14" s="222">
        <v>0.4</v>
      </c>
      <c r="I14" s="222">
        <v>0</v>
      </c>
      <c r="J14" s="222">
        <v>0.25</v>
      </c>
      <c r="K14" s="222">
        <v>0</v>
      </c>
      <c r="L14" s="222">
        <v>0</v>
      </c>
      <c r="M14" s="222">
        <v>0.3</v>
      </c>
      <c r="N14" s="222">
        <v>0.3</v>
      </c>
      <c r="O14" s="222">
        <v>0</v>
      </c>
      <c r="P14" s="222"/>
      <c r="Q14" s="222">
        <v>0.3</v>
      </c>
      <c r="R14" s="222">
        <v>0.1</v>
      </c>
      <c r="S14" s="222">
        <v>1</v>
      </c>
      <c r="T14" s="222">
        <v>0.3</v>
      </c>
      <c r="U14" s="222">
        <v>0</v>
      </c>
      <c r="V14" s="222">
        <v>0</v>
      </c>
      <c r="W14" s="222">
        <v>0.3</v>
      </c>
      <c r="X14" s="222">
        <v>0.3</v>
      </c>
      <c r="Y14" s="222">
        <v>0.3</v>
      </c>
      <c r="AA14" s="222">
        <v>0.39999999999999997</v>
      </c>
      <c r="AB14" s="222">
        <v>0.5</v>
      </c>
      <c r="AC14" s="222">
        <v>0</v>
      </c>
      <c r="AD14" s="222">
        <v>0.45</v>
      </c>
      <c r="AE14" s="222">
        <v>1</v>
      </c>
      <c r="AF14" s="222">
        <v>1</v>
      </c>
      <c r="AG14" s="222">
        <v>0.39999999999999997</v>
      </c>
      <c r="AH14" s="222">
        <v>0.39999999999999997</v>
      </c>
      <c r="AI14" s="222">
        <v>0.7</v>
      </c>
    </row>
    <row r="15" spans="1:35" x14ac:dyDescent="0.25">
      <c r="B15">
        <v>2035</v>
      </c>
      <c r="C15" s="219">
        <f t="array" ref="C15">INDEX($G$2:$O$30,$B15-2021,$A$2)</f>
        <v>0</v>
      </c>
      <c r="D15" s="219">
        <v>0</v>
      </c>
      <c r="E15" s="219">
        <v>1</v>
      </c>
      <c r="G15" s="222">
        <v>0.3</v>
      </c>
      <c r="H15" s="222">
        <v>0.47</v>
      </c>
      <c r="I15" s="222">
        <v>0</v>
      </c>
      <c r="J15" s="222">
        <v>0.25</v>
      </c>
      <c r="K15" s="222">
        <v>0</v>
      </c>
      <c r="L15" s="222">
        <v>0</v>
      </c>
      <c r="M15" s="222">
        <v>0.3</v>
      </c>
      <c r="N15" s="222">
        <v>0.3</v>
      </c>
      <c r="O15" s="222">
        <v>0</v>
      </c>
      <c r="P15" s="222"/>
      <c r="Q15" s="222">
        <v>0.3</v>
      </c>
      <c r="R15" s="222">
        <v>0.1</v>
      </c>
      <c r="S15" s="222">
        <v>1</v>
      </c>
      <c r="T15" s="222">
        <v>0.3</v>
      </c>
      <c r="U15" s="222">
        <v>0</v>
      </c>
      <c r="V15" s="222">
        <v>0</v>
      </c>
      <c r="W15" s="222">
        <v>0.3</v>
      </c>
      <c r="X15" s="222">
        <v>0.3</v>
      </c>
      <c r="Y15" s="222">
        <v>0.3</v>
      </c>
      <c r="AA15" s="222">
        <v>0.39999999999999997</v>
      </c>
      <c r="AB15" s="222">
        <v>0.43000000000000005</v>
      </c>
      <c r="AC15" s="222">
        <v>0</v>
      </c>
      <c r="AD15" s="222">
        <v>0.45</v>
      </c>
      <c r="AE15" s="222">
        <v>1</v>
      </c>
      <c r="AF15" s="222">
        <v>1</v>
      </c>
      <c r="AG15" s="222">
        <v>0.39999999999999997</v>
      </c>
      <c r="AH15" s="222">
        <v>0.39999999999999997</v>
      </c>
      <c r="AI15" s="222">
        <v>0.7</v>
      </c>
    </row>
    <row r="16" spans="1:35" x14ac:dyDescent="0.25">
      <c r="B16">
        <v>2036</v>
      </c>
      <c r="C16" s="219">
        <f t="array" ref="C16">INDEX($G$2:$O$30,$B16-2021,$A$2)</f>
        <v>0</v>
      </c>
      <c r="D16" s="219">
        <v>0</v>
      </c>
      <c r="E16" s="219">
        <v>1</v>
      </c>
      <c r="G16" s="222">
        <v>0.3</v>
      </c>
      <c r="H16" s="222">
        <v>0.53</v>
      </c>
      <c r="I16" s="222">
        <v>0</v>
      </c>
      <c r="J16" s="222">
        <v>0.25</v>
      </c>
      <c r="K16" s="222">
        <v>0</v>
      </c>
      <c r="L16" s="222">
        <v>0</v>
      </c>
      <c r="M16" s="222">
        <v>0.3</v>
      </c>
      <c r="N16" s="222">
        <v>0.3</v>
      </c>
      <c r="O16" s="222">
        <v>0</v>
      </c>
      <c r="P16" s="222"/>
      <c r="Q16" s="222">
        <v>0.3</v>
      </c>
      <c r="R16" s="222">
        <v>0.1</v>
      </c>
      <c r="S16" s="222">
        <v>1</v>
      </c>
      <c r="T16" s="222">
        <v>0.3</v>
      </c>
      <c r="U16" s="222">
        <v>0</v>
      </c>
      <c r="V16" s="222">
        <v>0</v>
      </c>
      <c r="W16" s="222">
        <v>0.3</v>
      </c>
      <c r="X16" s="222">
        <v>0.3</v>
      </c>
      <c r="Y16" s="222">
        <v>0.3</v>
      </c>
      <c r="AA16" s="222">
        <v>0.39999999999999997</v>
      </c>
      <c r="AB16" s="222">
        <v>0.37</v>
      </c>
      <c r="AC16" s="222">
        <v>0</v>
      </c>
      <c r="AD16" s="222">
        <v>0.45</v>
      </c>
      <c r="AE16" s="222">
        <v>1</v>
      </c>
      <c r="AF16" s="222">
        <v>1</v>
      </c>
      <c r="AG16" s="222">
        <v>0.39999999999999997</v>
      </c>
      <c r="AH16" s="222">
        <v>0.39999999999999997</v>
      </c>
      <c r="AI16" s="222">
        <v>0.7</v>
      </c>
    </row>
    <row r="17" spans="2:35" x14ac:dyDescent="0.25">
      <c r="B17">
        <v>2037</v>
      </c>
      <c r="C17" s="219">
        <f t="array" ref="C17">INDEX($G$2:$O$30,$B17-2021,$A$2)</f>
        <v>0</v>
      </c>
      <c r="D17" s="219">
        <v>0</v>
      </c>
      <c r="E17" s="219">
        <v>1</v>
      </c>
      <c r="G17" s="222">
        <v>0.3</v>
      </c>
      <c r="H17" s="222">
        <v>0.57999999999999996</v>
      </c>
      <c r="I17" s="222">
        <v>0</v>
      </c>
      <c r="J17" s="222">
        <v>0.25</v>
      </c>
      <c r="K17" s="222">
        <v>0</v>
      </c>
      <c r="L17" s="222">
        <v>0</v>
      </c>
      <c r="M17" s="222">
        <v>0.3</v>
      </c>
      <c r="N17" s="222">
        <v>0.3</v>
      </c>
      <c r="O17" s="222">
        <v>0</v>
      </c>
      <c r="P17" s="222"/>
      <c r="Q17" s="222">
        <v>0.3</v>
      </c>
      <c r="R17" s="222">
        <v>0.1</v>
      </c>
      <c r="S17" s="222">
        <v>1</v>
      </c>
      <c r="T17" s="222">
        <v>0.3</v>
      </c>
      <c r="U17" s="222">
        <v>0</v>
      </c>
      <c r="V17" s="222">
        <v>0</v>
      </c>
      <c r="W17" s="222">
        <v>0.3</v>
      </c>
      <c r="X17" s="222">
        <v>0.3</v>
      </c>
      <c r="Y17" s="222">
        <v>0.3</v>
      </c>
      <c r="AA17" s="222">
        <v>0.39999999999999997</v>
      </c>
      <c r="AB17" s="222">
        <v>0.32000000000000006</v>
      </c>
      <c r="AC17" s="222">
        <v>0</v>
      </c>
      <c r="AD17" s="222">
        <v>0.45</v>
      </c>
      <c r="AE17" s="222">
        <v>1</v>
      </c>
      <c r="AF17" s="222">
        <v>1</v>
      </c>
      <c r="AG17" s="222">
        <v>0.39999999999999997</v>
      </c>
      <c r="AH17" s="222">
        <v>0.39999999999999997</v>
      </c>
      <c r="AI17" s="222">
        <v>0.7</v>
      </c>
    </row>
    <row r="18" spans="2:35" x14ac:dyDescent="0.25">
      <c r="B18">
        <v>2038</v>
      </c>
      <c r="C18" s="219">
        <f t="array" ref="C18">INDEX($G$2:$O$30,$B18-2021,$A$2)</f>
        <v>0</v>
      </c>
      <c r="D18" s="219">
        <v>0</v>
      </c>
      <c r="E18" s="219">
        <v>1</v>
      </c>
      <c r="G18" s="222">
        <v>0.3</v>
      </c>
      <c r="H18" s="222">
        <v>0.62</v>
      </c>
      <c r="I18" s="222">
        <v>0</v>
      </c>
      <c r="J18" s="222">
        <v>0.25</v>
      </c>
      <c r="K18" s="222">
        <v>0</v>
      </c>
      <c r="L18" s="222">
        <v>0</v>
      </c>
      <c r="M18" s="222">
        <v>0.3</v>
      </c>
      <c r="N18" s="222">
        <v>0.3</v>
      </c>
      <c r="O18" s="222">
        <v>0</v>
      </c>
      <c r="P18" s="222"/>
      <c r="Q18" s="222">
        <v>0.3</v>
      </c>
      <c r="R18" s="222">
        <v>0.1</v>
      </c>
      <c r="S18" s="222">
        <v>1</v>
      </c>
      <c r="T18" s="222">
        <v>0.3</v>
      </c>
      <c r="U18" s="222">
        <v>0</v>
      </c>
      <c r="V18" s="222">
        <v>0</v>
      </c>
      <c r="W18" s="222">
        <v>0.3</v>
      </c>
      <c r="X18" s="222">
        <v>0.3</v>
      </c>
      <c r="Y18" s="222">
        <v>0.3</v>
      </c>
      <c r="AA18" s="222">
        <v>0.39999999999999997</v>
      </c>
      <c r="AB18" s="222">
        <v>0.28000000000000003</v>
      </c>
      <c r="AC18" s="222">
        <v>0</v>
      </c>
      <c r="AD18" s="222">
        <v>0.45</v>
      </c>
      <c r="AE18" s="222">
        <v>1</v>
      </c>
      <c r="AF18" s="222">
        <v>1</v>
      </c>
      <c r="AG18" s="222">
        <v>0.39999999999999997</v>
      </c>
      <c r="AH18" s="222">
        <v>0.39999999999999997</v>
      </c>
      <c r="AI18" s="222">
        <v>0.7</v>
      </c>
    </row>
    <row r="19" spans="2:35" x14ac:dyDescent="0.25">
      <c r="B19">
        <v>2039</v>
      </c>
      <c r="C19" s="219">
        <f t="array" ref="C19">INDEX($G$2:$O$30,$B19-2021,$A$2)</f>
        <v>0</v>
      </c>
      <c r="D19" s="219">
        <v>0</v>
      </c>
      <c r="E19" s="219">
        <v>1</v>
      </c>
      <c r="G19" s="222">
        <v>0.3</v>
      </c>
      <c r="H19" s="222">
        <v>0.65</v>
      </c>
      <c r="I19" s="222">
        <v>0</v>
      </c>
      <c r="J19" s="222">
        <v>0.25</v>
      </c>
      <c r="K19" s="222">
        <v>0</v>
      </c>
      <c r="L19" s="222">
        <v>0</v>
      </c>
      <c r="M19" s="222">
        <v>0.3</v>
      </c>
      <c r="N19" s="222">
        <v>0.3</v>
      </c>
      <c r="O19" s="222">
        <v>0</v>
      </c>
      <c r="P19" s="222"/>
      <c r="Q19" s="222">
        <v>0.3</v>
      </c>
      <c r="R19" s="222">
        <v>0.1</v>
      </c>
      <c r="S19" s="222">
        <v>1</v>
      </c>
      <c r="T19" s="222">
        <v>0.3</v>
      </c>
      <c r="U19" s="222">
        <v>0</v>
      </c>
      <c r="V19" s="222">
        <v>0</v>
      </c>
      <c r="W19" s="222">
        <v>0.3</v>
      </c>
      <c r="X19" s="222">
        <v>0.3</v>
      </c>
      <c r="Y19" s="222">
        <v>0.3</v>
      </c>
      <c r="AA19" s="222">
        <v>0.39999999999999997</v>
      </c>
      <c r="AB19" s="222">
        <v>0.24999999999999997</v>
      </c>
      <c r="AC19" s="222">
        <v>0</v>
      </c>
      <c r="AD19" s="222">
        <v>0.45</v>
      </c>
      <c r="AE19" s="222">
        <v>1</v>
      </c>
      <c r="AF19" s="222">
        <v>1</v>
      </c>
      <c r="AG19" s="222">
        <v>0.39999999999999997</v>
      </c>
      <c r="AH19" s="222">
        <v>0.39999999999999997</v>
      </c>
      <c r="AI19" s="222">
        <v>0.7</v>
      </c>
    </row>
    <row r="20" spans="2:35" x14ac:dyDescent="0.25">
      <c r="B20">
        <v>2040</v>
      </c>
      <c r="C20" s="219">
        <f t="array" ref="C20">INDEX($G$2:$O$30,$B20-2021,$A$2)</f>
        <v>0</v>
      </c>
      <c r="D20" s="219">
        <v>0</v>
      </c>
      <c r="E20" s="219">
        <v>1</v>
      </c>
      <c r="G20" s="222">
        <v>0.3</v>
      </c>
      <c r="H20" s="222">
        <v>0.67</v>
      </c>
      <c r="I20" s="222">
        <v>0</v>
      </c>
      <c r="J20" s="222">
        <v>0.25</v>
      </c>
      <c r="K20" s="222">
        <v>0</v>
      </c>
      <c r="L20" s="222">
        <v>0</v>
      </c>
      <c r="M20" s="222">
        <v>0.3</v>
      </c>
      <c r="N20" s="222">
        <v>0.3</v>
      </c>
      <c r="O20" s="222">
        <v>0</v>
      </c>
      <c r="P20" s="222"/>
      <c r="Q20" s="222">
        <v>0.3</v>
      </c>
      <c r="R20" s="222">
        <v>0.1</v>
      </c>
      <c r="S20" s="222">
        <v>1</v>
      </c>
      <c r="T20" s="222">
        <v>0.3</v>
      </c>
      <c r="U20" s="222">
        <v>0</v>
      </c>
      <c r="V20" s="222">
        <v>0</v>
      </c>
      <c r="W20" s="222">
        <v>0.3</v>
      </c>
      <c r="X20" s="222">
        <v>0.3</v>
      </c>
      <c r="Y20" s="222">
        <v>0.3</v>
      </c>
      <c r="AA20" s="222">
        <v>0.39999999999999997</v>
      </c>
      <c r="AB20" s="222">
        <v>0.22999999999999995</v>
      </c>
      <c r="AC20" s="222">
        <v>0</v>
      </c>
      <c r="AD20" s="222">
        <v>0.45</v>
      </c>
      <c r="AE20" s="222">
        <v>1</v>
      </c>
      <c r="AF20" s="222">
        <v>1</v>
      </c>
      <c r="AG20" s="222">
        <v>0.39999999999999997</v>
      </c>
      <c r="AH20" s="222">
        <v>0.39999999999999997</v>
      </c>
      <c r="AI20" s="222">
        <v>0.7</v>
      </c>
    </row>
    <row r="21" spans="2:35" x14ac:dyDescent="0.25">
      <c r="B21">
        <v>2041</v>
      </c>
      <c r="C21" s="219">
        <f t="array" ref="C21">INDEX($G$2:$O$30,$B21-2021,$A$2)</f>
        <v>0</v>
      </c>
      <c r="D21" s="219">
        <v>0</v>
      </c>
      <c r="E21" s="219">
        <v>1</v>
      </c>
      <c r="G21" s="222">
        <v>0.3</v>
      </c>
      <c r="H21" s="222">
        <v>0.68</v>
      </c>
      <c r="I21" s="222">
        <v>0</v>
      </c>
      <c r="J21" s="222">
        <v>0.25</v>
      </c>
      <c r="K21" s="222">
        <v>0</v>
      </c>
      <c r="L21" s="222">
        <v>0</v>
      </c>
      <c r="M21" s="222">
        <v>0.3</v>
      </c>
      <c r="N21" s="222">
        <v>0.3</v>
      </c>
      <c r="O21" s="222">
        <v>0</v>
      </c>
      <c r="P21" s="222"/>
      <c r="Q21" s="222">
        <v>0.3</v>
      </c>
      <c r="R21" s="222">
        <v>0.1</v>
      </c>
      <c r="S21" s="222">
        <v>1</v>
      </c>
      <c r="T21" s="222">
        <v>0.3</v>
      </c>
      <c r="U21" s="222">
        <v>0</v>
      </c>
      <c r="V21" s="222">
        <v>0</v>
      </c>
      <c r="W21" s="222">
        <v>0.3</v>
      </c>
      <c r="X21" s="222">
        <v>0.3</v>
      </c>
      <c r="Y21" s="222">
        <v>0.3</v>
      </c>
      <c r="AA21" s="222">
        <v>0.39999999999999997</v>
      </c>
      <c r="AB21" s="222">
        <v>0.21999999999999995</v>
      </c>
      <c r="AC21" s="222">
        <v>0</v>
      </c>
      <c r="AD21" s="222">
        <v>0.45</v>
      </c>
      <c r="AE21" s="222">
        <v>1</v>
      </c>
      <c r="AF21" s="222">
        <v>1</v>
      </c>
      <c r="AG21" s="222">
        <v>0.39999999999999997</v>
      </c>
      <c r="AH21" s="222">
        <v>0.39999999999999997</v>
      </c>
      <c r="AI21" s="222">
        <v>0.7</v>
      </c>
    </row>
    <row r="22" spans="2:35" x14ac:dyDescent="0.25">
      <c r="B22">
        <v>2042</v>
      </c>
      <c r="C22" s="219">
        <f t="array" ref="C22">INDEX($G$2:$O$30,$B22-2021,$A$2)</f>
        <v>0</v>
      </c>
      <c r="D22" s="219">
        <v>0</v>
      </c>
      <c r="E22" s="219">
        <v>1</v>
      </c>
      <c r="G22" s="222">
        <v>0.3</v>
      </c>
      <c r="H22" s="222">
        <v>0.68</v>
      </c>
      <c r="I22" s="222">
        <v>0</v>
      </c>
      <c r="J22" s="222">
        <v>0.25</v>
      </c>
      <c r="K22" s="222">
        <v>0</v>
      </c>
      <c r="L22" s="222">
        <v>0</v>
      </c>
      <c r="M22" s="222">
        <v>0.3</v>
      </c>
      <c r="N22" s="222">
        <v>0.3</v>
      </c>
      <c r="O22" s="222">
        <v>0</v>
      </c>
      <c r="P22" s="222"/>
      <c r="Q22" s="222">
        <v>0.3</v>
      </c>
      <c r="R22" s="222">
        <v>0.1</v>
      </c>
      <c r="S22" s="222">
        <v>1</v>
      </c>
      <c r="T22" s="222">
        <v>0.3</v>
      </c>
      <c r="U22" s="222">
        <v>0</v>
      </c>
      <c r="V22" s="222">
        <v>0</v>
      </c>
      <c r="W22" s="222">
        <v>0.3</v>
      </c>
      <c r="X22" s="222">
        <v>0.3</v>
      </c>
      <c r="Y22" s="222">
        <v>0.3</v>
      </c>
      <c r="AA22" s="222">
        <v>0.39999999999999997</v>
      </c>
      <c r="AB22" s="222">
        <v>0.21999999999999995</v>
      </c>
      <c r="AC22" s="222">
        <v>0</v>
      </c>
      <c r="AD22" s="222">
        <v>0.45</v>
      </c>
      <c r="AE22" s="222">
        <v>1</v>
      </c>
      <c r="AF22" s="222">
        <v>1</v>
      </c>
      <c r="AG22" s="222">
        <v>0.39999999999999997</v>
      </c>
      <c r="AH22" s="222">
        <v>0.39999999999999997</v>
      </c>
      <c r="AI22" s="222">
        <v>0.7</v>
      </c>
    </row>
    <row r="23" spans="2:35" x14ac:dyDescent="0.25">
      <c r="B23">
        <v>2043</v>
      </c>
      <c r="C23" s="219">
        <f t="array" ref="C23">INDEX($G$2:$O$30,$B23-2021,$A$2)</f>
        <v>0</v>
      </c>
      <c r="D23" s="219">
        <v>0</v>
      </c>
      <c r="E23" s="219">
        <v>1</v>
      </c>
      <c r="G23" s="222">
        <v>0.3</v>
      </c>
      <c r="H23" s="222">
        <v>0.68</v>
      </c>
      <c r="I23" s="222">
        <v>0</v>
      </c>
      <c r="J23" s="222">
        <v>0.25</v>
      </c>
      <c r="K23" s="222">
        <v>0</v>
      </c>
      <c r="L23" s="222">
        <v>0</v>
      </c>
      <c r="M23" s="222">
        <v>0.3</v>
      </c>
      <c r="N23" s="222">
        <v>0.3</v>
      </c>
      <c r="O23" s="222">
        <v>0</v>
      </c>
      <c r="P23" s="222"/>
      <c r="Q23" s="222">
        <v>0.3</v>
      </c>
      <c r="R23" s="222">
        <v>0.1</v>
      </c>
      <c r="S23" s="222">
        <v>1</v>
      </c>
      <c r="T23" s="222">
        <v>0.3</v>
      </c>
      <c r="U23" s="222">
        <v>0</v>
      </c>
      <c r="V23" s="222">
        <v>0</v>
      </c>
      <c r="W23" s="222">
        <v>0.3</v>
      </c>
      <c r="X23" s="222">
        <v>0.3</v>
      </c>
      <c r="Y23" s="222">
        <v>0.3</v>
      </c>
      <c r="AA23" s="222">
        <v>0.39999999999999997</v>
      </c>
      <c r="AB23" s="222">
        <v>0.21999999999999995</v>
      </c>
      <c r="AC23" s="222">
        <v>0</v>
      </c>
      <c r="AD23" s="222">
        <v>0.45</v>
      </c>
      <c r="AE23" s="222">
        <v>1</v>
      </c>
      <c r="AF23" s="222">
        <v>1</v>
      </c>
      <c r="AG23" s="222">
        <v>0.39999999999999997</v>
      </c>
      <c r="AH23" s="222">
        <v>0.39999999999999997</v>
      </c>
      <c r="AI23" s="222">
        <v>0.7</v>
      </c>
    </row>
    <row r="24" spans="2:35" x14ac:dyDescent="0.25">
      <c r="B24">
        <v>2044</v>
      </c>
      <c r="C24" s="219">
        <f t="array" ref="C24">INDEX($G$2:$O$30,$B24-2021,$A$2)</f>
        <v>0</v>
      </c>
      <c r="D24" s="219">
        <v>0</v>
      </c>
      <c r="E24" s="219">
        <v>1</v>
      </c>
      <c r="G24" s="222">
        <v>0.3</v>
      </c>
      <c r="H24" s="222">
        <v>0.68</v>
      </c>
      <c r="I24" s="222">
        <v>0</v>
      </c>
      <c r="J24" s="222">
        <v>0.25</v>
      </c>
      <c r="K24" s="222">
        <v>0</v>
      </c>
      <c r="L24" s="222">
        <v>0</v>
      </c>
      <c r="M24" s="222">
        <v>0.3</v>
      </c>
      <c r="N24" s="222">
        <v>0.3</v>
      </c>
      <c r="O24" s="222">
        <v>0</v>
      </c>
      <c r="P24" s="222"/>
      <c r="Q24" s="222">
        <v>0.3</v>
      </c>
      <c r="R24" s="222">
        <v>0.1</v>
      </c>
      <c r="S24" s="222">
        <v>1</v>
      </c>
      <c r="T24" s="222">
        <v>0.3</v>
      </c>
      <c r="U24" s="222">
        <v>0</v>
      </c>
      <c r="V24" s="222">
        <v>0</v>
      </c>
      <c r="W24" s="222">
        <v>0.3</v>
      </c>
      <c r="X24" s="222">
        <v>0.3</v>
      </c>
      <c r="Y24" s="222">
        <v>0.3</v>
      </c>
      <c r="AA24" s="222">
        <v>0.39999999999999997</v>
      </c>
      <c r="AB24" s="222">
        <v>0.21999999999999995</v>
      </c>
      <c r="AC24" s="222">
        <v>0</v>
      </c>
      <c r="AD24" s="222">
        <v>0.45</v>
      </c>
      <c r="AE24" s="222">
        <v>1</v>
      </c>
      <c r="AF24" s="222">
        <v>1</v>
      </c>
      <c r="AG24" s="222">
        <v>0.39999999999999997</v>
      </c>
      <c r="AH24" s="222">
        <v>0.39999999999999997</v>
      </c>
      <c r="AI24" s="222">
        <v>0.7</v>
      </c>
    </row>
    <row r="25" spans="2:35" x14ac:dyDescent="0.25">
      <c r="B25">
        <v>2045</v>
      </c>
      <c r="C25" s="219">
        <f t="array" ref="C25">INDEX($G$2:$O$30,$B25-2021,$A$2)</f>
        <v>0</v>
      </c>
      <c r="D25" s="219">
        <v>0</v>
      </c>
      <c r="E25" s="219">
        <v>1</v>
      </c>
      <c r="G25" s="222">
        <v>0.3</v>
      </c>
      <c r="H25" s="222">
        <v>0.68</v>
      </c>
      <c r="I25" s="222">
        <v>0</v>
      </c>
      <c r="J25" s="222">
        <v>0.25</v>
      </c>
      <c r="K25" s="222">
        <v>0</v>
      </c>
      <c r="L25" s="222">
        <v>0</v>
      </c>
      <c r="M25" s="222">
        <v>0.3</v>
      </c>
      <c r="N25" s="222">
        <v>0.3</v>
      </c>
      <c r="O25" s="222">
        <v>0</v>
      </c>
      <c r="P25" s="222"/>
      <c r="Q25" s="222">
        <v>0.3</v>
      </c>
      <c r="R25" s="222">
        <v>0.1</v>
      </c>
      <c r="S25" s="222">
        <v>1</v>
      </c>
      <c r="T25" s="222">
        <v>0.3</v>
      </c>
      <c r="U25" s="222">
        <v>0</v>
      </c>
      <c r="V25" s="222">
        <v>0</v>
      </c>
      <c r="W25" s="222">
        <v>0.3</v>
      </c>
      <c r="X25" s="222">
        <v>0.3</v>
      </c>
      <c r="Y25" s="222">
        <v>0.3</v>
      </c>
      <c r="AA25" s="222">
        <v>0.39999999999999997</v>
      </c>
      <c r="AB25" s="222">
        <v>0.21999999999999995</v>
      </c>
      <c r="AC25" s="222">
        <v>0</v>
      </c>
      <c r="AD25" s="222">
        <v>0.45</v>
      </c>
      <c r="AE25" s="222">
        <v>1</v>
      </c>
      <c r="AF25" s="222">
        <v>1</v>
      </c>
      <c r="AG25" s="222">
        <v>0.39999999999999997</v>
      </c>
      <c r="AH25" s="222">
        <v>0.39999999999999997</v>
      </c>
      <c r="AI25" s="222">
        <v>0.7</v>
      </c>
    </row>
    <row r="26" spans="2:35" x14ac:dyDescent="0.25">
      <c r="B26">
        <v>2046</v>
      </c>
      <c r="C26" s="219">
        <f t="array" ref="C26">INDEX($G$2:$O$30,$B26-2021,$A$2)</f>
        <v>0</v>
      </c>
      <c r="D26" s="219">
        <v>0</v>
      </c>
      <c r="E26" s="219">
        <v>1</v>
      </c>
      <c r="G26" s="222">
        <v>0.3</v>
      </c>
      <c r="H26" s="222">
        <v>0.68</v>
      </c>
      <c r="I26" s="222">
        <v>0</v>
      </c>
      <c r="J26" s="222">
        <v>0.25</v>
      </c>
      <c r="K26" s="222">
        <v>0</v>
      </c>
      <c r="L26" s="222">
        <v>0</v>
      </c>
      <c r="M26" s="222">
        <v>0.3</v>
      </c>
      <c r="N26" s="222">
        <v>0.3</v>
      </c>
      <c r="O26" s="222">
        <v>0</v>
      </c>
      <c r="P26" s="222"/>
      <c r="Q26" s="222">
        <v>0.3</v>
      </c>
      <c r="R26" s="222">
        <v>0.1</v>
      </c>
      <c r="S26" s="222">
        <v>1</v>
      </c>
      <c r="T26" s="222">
        <v>0.3</v>
      </c>
      <c r="U26" s="222">
        <v>0</v>
      </c>
      <c r="V26" s="222">
        <v>0</v>
      </c>
      <c r="W26" s="222">
        <v>0.3</v>
      </c>
      <c r="X26" s="222">
        <v>0.3</v>
      </c>
      <c r="Y26" s="222">
        <v>0.3</v>
      </c>
      <c r="AA26" s="222">
        <v>0.39999999999999997</v>
      </c>
      <c r="AB26" s="222">
        <v>0.21999999999999995</v>
      </c>
      <c r="AC26" s="222">
        <v>0</v>
      </c>
      <c r="AD26" s="222">
        <v>0.45</v>
      </c>
      <c r="AE26" s="222">
        <v>1</v>
      </c>
      <c r="AF26" s="222">
        <v>1</v>
      </c>
      <c r="AG26" s="222">
        <v>0.39999999999999997</v>
      </c>
      <c r="AH26" s="222">
        <v>0.39999999999999997</v>
      </c>
      <c r="AI26" s="222">
        <v>0.7</v>
      </c>
    </row>
    <row r="27" spans="2:35" x14ac:dyDescent="0.25">
      <c r="B27">
        <v>2047</v>
      </c>
      <c r="C27" s="219">
        <f t="array" ref="C27">INDEX($G$2:$O$30,$B27-2021,$A$2)</f>
        <v>0</v>
      </c>
      <c r="D27" s="219">
        <v>0</v>
      </c>
      <c r="E27" s="219">
        <v>1</v>
      </c>
      <c r="G27" s="222">
        <v>0.3</v>
      </c>
      <c r="H27" s="222">
        <v>0.68</v>
      </c>
      <c r="I27" s="222">
        <v>0</v>
      </c>
      <c r="J27" s="222">
        <v>0.25</v>
      </c>
      <c r="K27" s="222">
        <v>0</v>
      </c>
      <c r="L27" s="222">
        <v>0</v>
      </c>
      <c r="M27" s="222">
        <v>0.3</v>
      </c>
      <c r="N27" s="222">
        <v>0.3</v>
      </c>
      <c r="O27" s="222">
        <v>0</v>
      </c>
      <c r="P27" s="222"/>
      <c r="Q27" s="222">
        <v>0.3</v>
      </c>
      <c r="R27" s="222">
        <v>0.1</v>
      </c>
      <c r="S27" s="222">
        <v>1</v>
      </c>
      <c r="T27" s="222">
        <v>0.3</v>
      </c>
      <c r="U27" s="222">
        <v>0</v>
      </c>
      <c r="V27" s="222">
        <v>0</v>
      </c>
      <c r="W27" s="222">
        <v>0.3</v>
      </c>
      <c r="X27" s="222">
        <v>0.3</v>
      </c>
      <c r="Y27" s="222">
        <v>0.3</v>
      </c>
      <c r="AA27" s="222">
        <v>0.39999999999999997</v>
      </c>
      <c r="AB27" s="222">
        <v>0.21999999999999995</v>
      </c>
      <c r="AC27" s="222">
        <v>0</v>
      </c>
      <c r="AD27" s="222">
        <v>0.45</v>
      </c>
      <c r="AE27" s="222">
        <v>1</v>
      </c>
      <c r="AF27" s="222">
        <v>1</v>
      </c>
      <c r="AG27" s="222">
        <v>0.39999999999999997</v>
      </c>
      <c r="AH27" s="222">
        <v>0.39999999999999997</v>
      </c>
      <c r="AI27" s="222">
        <v>0.7</v>
      </c>
    </row>
    <row r="28" spans="2:35" x14ac:dyDescent="0.25">
      <c r="B28">
        <v>2048</v>
      </c>
      <c r="C28" s="219">
        <f t="array" ref="C28">INDEX($G$2:$O$30,$B28-2021,$A$2)</f>
        <v>0</v>
      </c>
      <c r="D28" s="219">
        <v>0</v>
      </c>
      <c r="E28" s="219">
        <v>1</v>
      </c>
      <c r="G28" s="222">
        <v>0.3</v>
      </c>
      <c r="H28" s="222">
        <v>0.68</v>
      </c>
      <c r="I28" s="222">
        <v>0</v>
      </c>
      <c r="J28" s="222">
        <v>0.25</v>
      </c>
      <c r="K28" s="222">
        <v>0</v>
      </c>
      <c r="L28" s="222">
        <v>0</v>
      </c>
      <c r="M28" s="222">
        <v>0.3</v>
      </c>
      <c r="N28" s="222">
        <v>0.3</v>
      </c>
      <c r="O28" s="222">
        <v>0</v>
      </c>
      <c r="P28" s="222"/>
      <c r="Q28" s="222">
        <v>0.3</v>
      </c>
      <c r="R28" s="222">
        <v>0.1</v>
      </c>
      <c r="S28" s="222">
        <v>1</v>
      </c>
      <c r="T28" s="222">
        <v>0.3</v>
      </c>
      <c r="U28" s="222">
        <v>0</v>
      </c>
      <c r="V28" s="222">
        <v>0</v>
      </c>
      <c r="W28" s="222">
        <v>0.3</v>
      </c>
      <c r="X28" s="222">
        <v>0.3</v>
      </c>
      <c r="Y28" s="222">
        <v>0.3</v>
      </c>
      <c r="AA28" s="222">
        <v>0.39999999999999997</v>
      </c>
      <c r="AB28" s="222">
        <v>0.21999999999999995</v>
      </c>
      <c r="AC28" s="222">
        <v>0</v>
      </c>
      <c r="AD28" s="222">
        <v>0.45</v>
      </c>
      <c r="AE28" s="222">
        <v>1</v>
      </c>
      <c r="AF28" s="222">
        <v>1</v>
      </c>
      <c r="AG28" s="222">
        <v>0.39999999999999997</v>
      </c>
      <c r="AH28" s="222">
        <v>0.39999999999999997</v>
      </c>
      <c r="AI28" s="222">
        <v>0.7</v>
      </c>
    </row>
    <row r="29" spans="2:35" x14ac:dyDescent="0.25">
      <c r="B29">
        <v>2049</v>
      </c>
      <c r="C29" s="219">
        <f t="array" ref="C29">INDEX($G$2:$O$30,$B29-2021,$A$2)</f>
        <v>0</v>
      </c>
      <c r="D29" s="219">
        <v>0</v>
      </c>
      <c r="E29" s="219">
        <v>1</v>
      </c>
      <c r="G29" s="222">
        <v>0.3</v>
      </c>
      <c r="H29" s="222">
        <v>0.68</v>
      </c>
      <c r="I29" s="222">
        <v>0</v>
      </c>
      <c r="J29" s="222">
        <v>0.25</v>
      </c>
      <c r="K29" s="222">
        <v>0</v>
      </c>
      <c r="L29" s="222">
        <v>0</v>
      </c>
      <c r="M29" s="222">
        <v>0.3</v>
      </c>
      <c r="N29" s="222">
        <v>0.3</v>
      </c>
      <c r="O29" s="222">
        <v>0</v>
      </c>
      <c r="P29" s="222"/>
      <c r="Q29" s="222">
        <v>0.3</v>
      </c>
      <c r="R29" s="222">
        <v>0.1</v>
      </c>
      <c r="S29" s="222">
        <v>1</v>
      </c>
      <c r="T29" s="222">
        <v>0.3</v>
      </c>
      <c r="U29" s="222">
        <v>0</v>
      </c>
      <c r="V29" s="222">
        <v>0</v>
      </c>
      <c r="W29" s="222">
        <v>0.3</v>
      </c>
      <c r="X29" s="222">
        <v>0.3</v>
      </c>
      <c r="Y29" s="222">
        <v>0.3</v>
      </c>
      <c r="AA29" s="222">
        <v>0.39999999999999997</v>
      </c>
      <c r="AB29" s="222">
        <v>0.21999999999999995</v>
      </c>
      <c r="AC29" s="222">
        <v>0</v>
      </c>
      <c r="AD29" s="222">
        <v>0.45</v>
      </c>
      <c r="AE29" s="222">
        <v>1</v>
      </c>
      <c r="AF29" s="222">
        <v>1</v>
      </c>
      <c r="AG29" s="222">
        <v>0.39999999999999997</v>
      </c>
      <c r="AH29" s="222">
        <v>0.39999999999999997</v>
      </c>
      <c r="AI29" s="222">
        <v>0.7</v>
      </c>
    </row>
    <row r="30" spans="2:35" x14ac:dyDescent="0.25">
      <c r="B30">
        <v>2050</v>
      </c>
      <c r="C30" s="219">
        <f t="array" ref="C30">INDEX($G$2:$O$30,$B30-2021,$A$2)</f>
        <v>0</v>
      </c>
      <c r="D30" s="219">
        <v>0</v>
      </c>
      <c r="E30" s="219">
        <v>1</v>
      </c>
      <c r="G30" s="222">
        <v>0.3</v>
      </c>
      <c r="H30" s="222">
        <v>0.68</v>
      </c>
      <c r="I30" s="222">
        <v>0</v>
      </c>
      <c r="J30" s="222">
        <v>0.25</v>
      </c>
      <c r="K30" s="222">
        <v>0</v>
      </c>
      <c r="L30" s="222">
        <v>0</v>
      </c>
      <c r="M30" s="222">
        <v>0.3</v>
      </c>
      <c r="N30" s="222">
        <v>0.3</v>
      </c>
      <c r="O30" s="222">
        <v>0</v>
      </c>
      <c r="P30" s="222"/>
      <c r="Q30" s="222">
        <v>0.3</v>
      </c>
      <c r="R30" s="222">
        <v>0.1</v>
      </c>
      <c r="S30" s="222">
        <v>1</v>
      </c>
      <c r="T30" s="222">
        <v>0.3</v>
      </c>
      <c r="U30" s="222">
        <v>0</v>
      </c>
      <c r="V30" s="222">
        <v>0</v>
      </c>
      <c r="W30" s="222">
        <v>0.3</v>
      </c>
      <c r="X30" s="222">
        <v>0.3</v>
      </c>
      <c r="Y30" s="222">
        <v>0.3</v>
      </c>
      <c r="AA30" s="222">
        <v>0.39999999999999997</v>
      </c>
      <c r="AB30" s="222">
        <v>0.21999999999999995</v>
      </c>
      <c r="AC30" s="222">
        <v>0</v>
      </c>
      <c r="AD30" s="222">
        <v>0.45</v>
      </c>
      <c r="AE30" s="222">
        <v>1</v>
      </c>
      <c r="AF30" s="222">
        <v>1</v>
      </c>
      <c r="AG30" s="222">
        <v>0.39999999999999997</v>
      </c>
      <c r="AH30" s="222">
        <v>0.39999999999999997</v>
      </c>
      <c r="AI30" s="222">
        <v>0.7</v>
      </c>
    </row>
    <row r="32" spans="2:35" x14ac:dyDescent="0.25">
      <c r="B32">
        <v>2022</v>
      </c>
      <c r="C32" s="219">
        <f t="array" ref="C32:C60">INDEX($G$32:$O$60,$B2-2022,$A$2)</f>
        <v>0</v>
      </c>
      <c r="D32" s="219">
        <f t="array" ref="D32:D60">INDEX($Q$32:$Y$60,$B2-2022,$A$2)</f>
        <v>0</v>
      </c>
      <c r="E32" s="219">
        <f t="array" ref="E32:E60">INDEX($AA$32:$AI$60,$B2-2022,$A$2)</f>
        <v>1</v>
      </c>
      <c r="F32" t="s">
        <v>533</v>
      </c>
      <c r="G32" s="222">
        <v>0</v>
      </c>
      <c r="H32" s="222">
        <v>0</v>
      </c>
      <c r="I32" s="222">
        <v>0</v>
      </c>
      <c r="J32" s="222">
        <v>0</v>
      </c>
      <c r="K32" s="222">
        <v>0</v>
      </c>
      <c r="L32" s="222">
        <v>0</v>
      </c>
      <c r="M32" s="222">
        <v>0</v>
      </c>
      <c r="N32" s="222">
        <v>0</v>
      </c>
      <c r="O32" s="222">
        <v>0</v>
      </c>
      <c r="P32" s="222"/>
      <c r="Q32" s="219">
        <v>0</v>
      </c>
      <c r="R32" s="219">
        <v>0</v>
      </c>
      <c r="S32" s="219">
        <v>0</v>
      </c>
      <c r="T32" s="219">
        <v>0</v>
      </c>
      <c r="U32" s="219">
        <v>0</v>
      </c>
      <c r="V32" s="219">
        <v>0</v>
      </c>
      <c r="W32" s="219">
        <v>0</v>
      </c>
      <c r="X32" s="219">
        <v>0</v>
      </c>
      <c r="Y32" s="219">
        <v>0</v>
      </c>
      <c r="Z32" t="s">
        <v>533</v>
      </c>
      <c r="AA32" s="222">
        <v>1</v>
      </c>
      <c r="AB32" s="222">
        <v>1</v>
      </c>
      <c r="AC32" s="222">
        <v>1</v>
      </c>
      <c r="AD32" s="222">
        <v>1</v>
      </c>
      <c r="AE32" s="222">
        <v>1</v>
      </c>
      <c r="AF32" s="222">
        <v>1</v>
      </c>
      <c r="AG32" s="222">
        <v>1</v>
      </c>
      <c r="AH32" s="222">
        <v>1</v>
      </c>
      <c r="AI32" s="222">
        <v>1</v>
      </c>
    </row>
    <row r="33" spans="2:35" x14ac:dyDescent="0.25">
      <c r="B33">
        <v>2023</v>
      </c>
      <c r="C33" s="219">
        <v>0</v>
      </c>
      <c r="D33" s="219">
        <v>0</v>
      </c>
      <c r="E33" s="219">
        <v>1</v>
      </c>
      <c r="G33" s="222">
        <v>0</v>
      </c>
      <c r="H33" s="222">
        <v>0</v>
      </c>
      <c r="I33" s="222">
        <v>0</v>
      </c>
      <c r="J33" s="222">
        <v>0</v>
      </c>
      <c r="K33" s="222">
        <v>0</v>
      </c>
      <c r="L33" s="222">
        <v>0</v>
      </c>
      <c r="M33" s="222">
        <v>0</v>
      </c>
      <c r="N33" s="222">
        <v>0</v>
      </c>
      <c r="O33" s="222">
        <v>0</v>
      </c>
      <c r="P33" s="222"/>
      <c r="Q33" s="219">
        <v>0</v>
      </c>
      <c r="R33" s="219">
        <v>0</v>
      </c>
      <c r="S33" s="219">
        <v>8.1284747113648161E-3</v>
      </c>
      <c r="T33" s="219">
        <v>0</v>
      </c>
      <c r="U33" s="219">
        <v>0</v>
      </c>
      <c r="V33" s="219">
        <v>0</v>
      </c>
      <c r="W33" s="219">
        <v>0</v>
      </c>
      <c r="X33" s="219">
        <v>0</v>
      </c>
      <c r="Y33" s="219">
        <v>0</v>
      </c>
      <c r="AA33" s="222">
        <v>1</v>
      </c>
      <c r="AB33" s="222">
        <v>1</v>
      </c>
      <c r="AC33" s="222">
        <v>0.9918715252886352</v>
      </c>
      <c r="AD33" s="222">
        <v>1</v>
      </c>
      <c r="AE33" s="222">
        <v>1</v>
      </c>
      <c r="AF33" s="222">
        <v>1</v>
      </c>
      <c r="AG33" s="222">
        <v>1</v>
      </c>
      <c r="AH33" s="222">
        <v>1</v>
      </c>
      <c r="AI33" s="222">
        <v>1</v>
      </c>
    </row>
    <row r="34" spans="2:35" x14ac:dyDescent="0.25">
      <c r="B34">
        <v>2024</v>
      </c>
      <c r="C34" s="219">
        <v>0</v>
      </c>
      <c r="D34" s="219">
        <v>0</v>
      </c>
      <c r="E34" s="219">
        <v>1</v>
      </c>
      <c r="G34" s="222">
        <v>0</v>
      </c>
      <c r="H34" s="222">
        <v>0</v>
      </c>
      <c r="I34" s="222">
        <v>0</v>
      </c>
      <c r="J34" s="222">
        <v>0</v>
      </c>
      <c r="K34" s="222">
        <v>0</v>
      </c>
      <c r="L34" s="222">
        <v>0</v>
      </c>
      <c r="M34" s="222">
        <v>0</v>
      </c>
      <c r="N34" s="222">
        <v>0</v>
      </c>
      <c r="O34" s="222">
        <v>0</v>
      </c>
      <c r="P34" s="222"/>
      <c r="Q34" s="219">
        <v>0</v>
      </c>
      <c r="R34" s="219">
        <v>0</v>
      </c>
      <c r="S34" s="219">
        <v>2.447904760441626E-2</v>
      </c>
      <c r="T34" s="219">
        <v>0</v>
      </c>
      <c r="U34" s="219">
        <v>0</v>
      </c>
      <c r="V34" s="219">
        <v>0</v>
      </c>
      <c r="W34" s="219">
        <v>0</v>
      </c>
      <c r="X34" s="219">
        <v>0</v>
      </c>
      <c r="Y34" s="219">
        <v>0</v>
      </c>
      <c r="AA34" s="222">
        <v>1</v>
      </c>
      <c r="AB34" s="222">
        <v>1</v>
      </c>
      <c r="AC34" s="222">
        <v>0.97552095239558378</v>
      </c>
      <c r="AD34" s="222">
        <v>1</v>
      </c>
      <c r="AE34" s="222">
        <v>1</v>
      </c>
      <c r="AF34" s="222">
        <v>1</v>
      </c>
      <c r="AG34" s="222">
        <v>1</v>
      </c>
      <c r="AH34" s="222">
        <v>1</v>
      </c>
      <c r="AI34" s="222">
        <v>1</v>
      </c>
    </row>
    <row r="35" spans="2:35" x14ac:dyDescent="0.25">
      <c r="B35">
        <v>2025</v>
      </c>
      <c r="C35" s="219">
        <v>0</v>
      </c>
      <c r="D35" s="219">
        <v>0</v>
      </c>
      <c r="E35" s="219">
        <v>1</v>
      </c>
      <c r="G35" s="222">
        <v>2.6801465126820205E-3</v>
      </c>
      <c r="H35" s="222">
        <v>1.0720586050728081E-3</v>
      </c>
      <c r="I35" s="222">
        <v>0</v>
      </c>
      <c r="J35" s="222">
        <v>1.896265628106201E-3</v>
      </c>
      <c r="K35" s="222">
        <v>0</v>
      </c>
      <c r="L35" s="222">
        <v>0</v>
      </c>
      <c r="M35" s="222">
        <v>2.6801465126820205E-3</v>
      </c>
      <c r="N35" s="222">
        <v>2.6801465126820205E-3</v>
      </c>
      <c r="O35" s="222">
        <v>0</v>
      </c>
      <c r="P35" s="222"/>
      <c r="Q35" s="219">
        <v>1.6080879076092121E-2</v>
      </c>
      <c r="R35" s="219">
        <v>5.3602930253640411E-3</v>
      </c>
      <c r="S35" s="219">
        <v>5.0919608693077101E-2</v>
      </c>
      <c r="T35" s="219">
        <v>1.1377593768637203E-2</v>
      </c>
      <c r="U35" s="219">
        <v>0</v>
      </c>
      <c r="V35" s="219">
        <v>0</v>
      </c>
      <c r="W35" s="219">
        <v>2.6801465126820205E-3</v>
      </c>
      <c r="X35" s="219">
        <v>2.6801465126820205E-3</v>
      </c>
      <c r="Y35" s="219">
        <v>5.3602930253640411E-3</v>
      </c>
      <c r="AA35" s="222">
        <v>0.98123897441122587</v>
      </c>
      <c r="AB35" s="222">
        <v>0.99356764836956324</v>
      </c>
      <c r="AC35" s="222">
        <v>0.9490803913069229</v>
      </c>
      <c r="AD35" s="222">
        <v>0.98672614060325659</v>
      </c>
      <c r="AE35" s="222">
        <v>1</v>
      </c>
      <c r="AF35" s="222">
        <v>1</v>
      </c>
      <c r="AG35" s="222">
        <v>0.994639706974636</v>
      </c>
      <c r="AH35" s="222">
        <v>0.994639706974636</v>
      </c>
      <c r="AI35" s="222">
        <v>0.994639706974636</v>
      </c>
    </row>
    <row r="36" spans="2:35" x14ac:dyDescent="0.25">
      <c r="B36">
        <v>2026</v>
      </c>
      <c r="C36" s="219">
        <v>0</v>
      </c>
      <c r="D36" s="219">
        <v>0</v>
      </c>
      <c r="E36" s="219">
        <v>1</v>
      </c>
      <c r="G36" s="222">
        <v>7.973659211083348E-3</v>
      </c>
      <c r="H36" s="222">
        <v>3.1894636844333395E-3</v>
      </c>
      <c r="I36" s="222">
        <v>0</v>
      </c>
      <c r="J36" s="222">
        <v>5.6914898799632994E-3</v>
      </c>
      <c r="K36" s="222">
        <v>0</v>
      </c>
      <c r="L36" s="222">
        <v>0</v>
      </c>
      <c r="M36" s="222">
        <v>7.973659211083348E-3</v>
      </c>
      <c r="N36" s="222">
        <v>7.973659211083348E-3</v>
      </c>
      <c r="O36" s="222">
        <v>0</v>
      </c>
      <c r="P36" s="222"/>
      <c r="Q36" s="219">
        <v>3.1839876759897905E-2</v>
      </c>
      <c r="R36" s="219">
        <v>1.0613292253299305E-2</v>
      </c>
      <c r="S36" s="219">
        <v>9.0155097015196251E-2</v>
      </c>
      <c r="T36" s="219">
        <v>2.2772338014910125E-2</v>
      </c>
      <c r="U36" s="219">
        <v>0</v>
      </c>
      <c r="V36" s="219">
        <v>0</v>
      </c>
      <c r="W36" s="219">
        <v>7.973659211083348E-3</v>
      </c>
      <c r="X36" s="219">
        <v>7.973659211083348E-3</v>
      </c>
      <c r="Y36" s="219">
        <v>1.3280305337733E-2</v>
      </c>
      <c r="AA36" s="222">
        <v>0.96018646402901875</v>
      </c>
      <c r="AB36" s="222">
        <v>0.98619724406226739</v>
      </c>
      <c r="AC36" s="222">
        <v>0.90984490298480369</v>
      </c>
      <c r="AD36" s="222">
        <v>0.97153617210512666</v>
      </c>
      <c r="AE36" s="222">
        <v>1</v>
      </c>
      <c r="AF36" s="222">
        <v>1</v>
      </c>
      <c r="AG36" s="222">
        <v>0.98405268157783321</v>
      </c>
      <c r="AH36" s="222">
        <v>0.98405268157783321</v>
      </c>
      <c r="AI36" s="222">
        <v>0.98671969466226694</v>
      </c>
    </row>
    <row r="37" spans="2:35" x14ac:dyDescent="0.25">
      <c r="B37">
        <v>2027</v>
      </c>
      <c r="C37" s="219">
        <v>0</v>
      </c>
      <c r="D37" s="219">
        <v>0</v>
      </c>
      <c r="E37" s="219">
        <v>1</v>
      </c>
      <c r="G37" s="222">
        <v>1.5695000410382163E-2</v>
      </c>
      <c r="H37" s="222">
        <v>6.8005457192425447E-3</v>
      </c>
      <c r="I37" s="222">
        <v>0</v>
      </c>
      <c r="J37" s="222">
        <v>1.1388370169899093E-2</v>
      </c>
      <c r="K37" s="222">
        <v>0</v>
      </c>
      <c r="L37" s="222">
        <v>0</v>
      </c>
      <c r="M37" s="222">
        <v>1.5695000410382163E-2</v>
      </c>
      <c r="N37" s="222">
        <v>1.5695000410382163E-2</v>
      </c>
      <c r="O37" s="222">
        <v>0</v>
      </c>
      <c r="P37" s="222"/>
      <c r="Q37" s="219">
        <v>4.7049677332067809E-2</v>
      </c>
      <c r="R37" s="219">
        <v>1.5683225777355942E-2</v>
      </c>
      <c r="S37" s="219">
        <v>0.13586310799511214</v>
      </c>
      <c r="T37" s="219">
        <v>3.4184262274716513E-2</v>
      </c>
      <c r="U37" s="219">
        <v>0</v>
      </c>
      <c r="V37" s="219">
        <v>0</v>
      </c>
      <c r="W37" s="219">
        <v>1.5695000410382163E-2</v>
      </c>
      <c r="X37" s="219">
        <v>1.5695000410382163E-2</v>
      </c>
      <c r="Y37" s="219">
        <v>2.3536613299060136E-2</v>
      </c>
      <c r="AA37" s="222">
        <v>0.93725532225755004</v>
      </c>
      <c r="AB37" s="222">
        <v>0.97751622850340159</v>
      </c>
      <c r="AC37" s="222">
        <v>0.86413689200488786</v>
      </c>
      <c r="AD37" s="222">
        <v>0.95442736755538438</v>
      </c>
      <c r="AE37" s="222">
        <v>1</v>
      </c>
      <c r="AF37" s="222">
        <v>1</v>
      </c>
      <c r="AG37" s="222">
        <v>0.96860999917923563</v>
      </c>
      <c r="AH37" s="222">
        <v>0.96860999917923563</v>
      </c>
      <c r="AI37" s="222">
        <v>0.97646338670093991</v>
      </c>
    </row>
    <row r="38" spans="2:35" x14ac:dyDescent="0.25">
      <c r="B38">
        <v>2028</v>
      </c>
      <c r="C38" s="219">
        <v>0</v>
      </c>
      <c r="D38" s="219">
        <v>0</v>
      </c>
      <c r="E38" s="219">
        <v>1</v>
      </c>
      <c r="G38" s="222">
        <v>2.5733528184319541E-2</v>
      </c>
      <c r="H38" s="222">
        <v>1.1834782605263723E-2</v>
      </c>
      <c r="I38" s="222">
        <v>0</v>
      </c>
      <c r="J38" s="222">
        <v>1.8989756811208975E-2</v>
      </c>
      <c r="K38" s="222">
        <v>0</v>
      </c>
      <c r="L38" s="222">
        <v>0</v>
      </c>
      <c r="M38" s="222">
        <v>2.5733528184319541E-2</v>
      </c>
      <c r="N38" s="222">
        <v>2.5733528184319541E-2</v>
      </c>
      <c r="O38" s="222">
        <v>0</v>
      </c>
      <c r="P38" s="222"/>
      <c r="Q38" s="219">
        <v>6.1771281566083157E-2</v>
      </c>
      <c r="R38" s="219">
        <v>2.0590427188694391E-2</v>
      </c>
      <c r="S38" s="219">
        <v>0.1852350119928976</v>
      </c>
      <c r="T38" s="219">
        <v>4.5613850265441555E-2</v>
      </c>
      <c r="U38" s="219">
        <v>0</v>
      </c>
      <c r="V38" s="219">
        <v>0</v>
      </c>
      <c r="W38" s="219">
        <v>2.5733528184319541E-2</v>
      </c>
      <c r="X38" s="219">
        <v>2.5733528184319541E-2</v>
      </c>
      <c r="Y38" s="219">
        <v>3.6028741778666731E-2</v>
      </c>
      <c r="AA38" s="222">
        <v>0.91249519024959735</v>
      </c>
      <c r="AB38" s="222">
        <v>0.96757479020604187</v>
      </c>
      <c r="AC38" s="222">
        <v>0.8147649880071024</v>
      </c>
      <c r="AD38" s="222">
        <v>0.93539639292334953</v>
      </c>
      <c r="AE38" s="222">
        <v>1</v>
      </c>
      <c r="AF38" s="222">
        <v>1</v>
      </c>
      <c r="AG38" s="222">
        <v>0.94853294363136098</v>
      </c>
      <c r="AH38" s="222">
        <v>0.94853294363136098</v>
      </c>
      <c r="AI38" s="222">
        <v>0.96397125822133323</v>
      </c>
    </row>
    <row r="39" spans="2:35" x14ac:dyDescent="0.25">
      <c r="B39">
        <v>2029</v>
      </c>
      <c r="C39" s="219">
        <v>0</v>
      </c>
      <c r="D39" s="219">
        <v>0</v>
      </c>
      <c r="E39" s="219">
        <v>1</v>
      </c>
      <c r="G39" s="222">
        <v>3.7978858051537792E-2</v>
      </c>
      <c r="H39" s="222">
        <v>1.8728157655888214E-2</v>
      </c>
      <c r="I39" s="222">
        <v>0</v>
      </c>
      <c r="J39" s="222">
        <v>2.8498578867902833E-2</v>
      </c>
      <c r="K39" s="222">
        <v>0</v>
      </c>
      <c r="L39" s="222">
        <v>0</v>
      </c>
      <c r="M39" s="222">
        <v>3.7978858051537792E-2</v>
      </c>
      <c r="N39" s="222">
        <v>3.7978858051537792E-2</v>
      </c>
      <c r="O39" s="222">
        <v>0</v>
      </c>
      <c r="P39" s="222"/>
      <c r="Q39" s="219">
        <v>7.6034085096293308E-2</v>
      </c>
      <c r="R39" s="219">
        <v>2.5344695032097769E-2</v>
      </c>
      <c r="S39" s="219">
        <v>0.23306646967801628</v>
      </c>
      <c r="T39" s="219">
        <v>5.7061498289058564E-2</v>
      </c>
      <c r="U39" s="219">
        <v>0</v>
      </c>
      <c r="V39" s="219">
        <v>0</v>
      </c>
      <c r="W39" s="219">
        <v>3.7978858051537792E-2</v>
      </c>
      <c r="X39" s="219">
        <v>3.7978858051537792E-2</v>
      </c>
      <c r="Y39" s="219">
        <v>5.0651205567586684E-2</v>
      </c>
      <c r="AA39" s="222">
        <v>0.88598705685216894</v>
      </c>
      <c r="AB39" s="222">
        <v>0.955927147312014</v>
      </c>
      <c r="AC39" s="222">
        <v>0.76693353032198375</v>
      </c>
      <c r="AD39" s="222">
        <v>0.91443992284303854</v>
      </c>
      <c r="AE39" s="222">
        <v>1</v>
      </c>
      <c r="AF39" s="222">
        <v>1</v>
      </c>
      <c r="AG39" s="222">
        <v>0.92404228389692444</v>
      </c>
      <c r="AH39" s="222">
        <v>0.92404228389692444</v>
      </c>
      <c r="AI39" s="222">
        <v>0.94934879443241327</v>
      </c>
    </row>
    <row r="40" spans="2:35" x14ac:dyDescent="0.25">
      <c r="B40">
        <v>2030</v>
      </c>
      <c r="C40" s="219">
        <v>0</v>
      </c>
      <c r="D40" s="219">
        <v>0</v>
      </c>
      <c r="E40" s="219">
        <v>1</v>
      </c>
      <c r="G40" s="222">
        <v>5.2307843438893879E-2</v>
      </c>
      <c r="H40" s="222">
        <v>2.7380700668592113E-2</v>
      </c>
      <c r="I40" s="222">
        <v>0</v>
      </c>
      <c r="J40" s="222">
        <v>3.8022149903765519E-2</v>
      </c>
      <c r="K40" s="222">
        <v>0</v>
      </c>
      <c r="L40" s="222">
        <v>0</v>
      </c>
      <c r="M40" s="222">
        <v>5.2307843438893879E-2</v>
      </c>
      <c r="N40" s="222">
        <v>5.2307843438893879E-2</v>
      </c>
      <c r="O40" s="222">
        <v>0</v>
      </c>
      <c r="P40" s="222"/>
      <c r="Q40" s="219">
        <v>8.9846014003605618E-2</v>
      </c>
      <c r="R40" s="219">
        <v>2.9948671334535208E-2</v>
      </c>
      <c r="S40" s="219">
        <v>0.27938314235189698</v>
      </c>
      <c r="T40" s="219">
        <v>6.8527034046022645E-2</v>
      </c>
      <c r="U40" s="219">
        <v>0</v>
      </c>
      <c r="V40" s="219">
        <v>0</v>
      </c>
      <c r="W40" s="219">
        <v>5.2307843438893879E-2</v>
      </c>
      <c r="X40" s="219">
        <v>5.2307843438893879E-2</v>
      </c>
      <c r="Y40" s="219">
        <v>6.4808011732550158E-2</v>
      </c>
      <c r="AA40" s="222">
        <v>0.85784614255750058</v>
      </c>
      <c r="AB40" s="222">
        <v>0.94267062799687273</v>
      </c>
      <c r="AC40" s="222">
        <v>0.72061685764810302</v>
      </c>
      <c r="AD40" s="222">
        <v>0.89345081605021182</v>
      </c>
      <c r="AE40" s="222">
        <v>1</v>
      </c>
      <c r="AF40" s="222">
        <v>1</v>
      </c>
      <c r="AG40" s="222">
        <v>0.89538431312221234</v>
      </c>
      <c r="AH40" s="222">
        <v>0.89538431312221234</v>
      </c>
      <c r="AI40" s="222">
        <v>0.93519198826744987</v>
      </c>
    </row>
    <row r="41" spans="2:35" x14ac:dyDescent="0.25">
      <c r="B41">
        <v>2031</v>
      </c>
      <c r="C41" s="219">
        <v>0</v>
      </c>
      <c r="D41" s="219">
        <v>0</v>
      </c>
      <c r="E41" s="219">
        <v>1</v>
      </c>
      <c r="G41" s="222">
        <v>6.6182819121458916E-2</v>
      </c>
      <c r="H41" s="222">
        <v>3.8185929171023765E-2</v>
      </c>
      <c r="I41" s="222">
        <v>0</v>
      </c>
      <c r="J41" s="222">
        <v>4.7560428385520014E-2</v>
      </c>
      <c r="K41" s="222">
        <v>0</v>
      </c>
      <c r="L41" s="222">
        <v>0</v>
      </c>
      <c r="M41" s="222">
        <v>6.6182819121458916E-2</v>
      </c>
      <c r="N41" s="222">
        <v>6.6182819121458916E-2</v>
      </c>
      <c r="O41" s="222">
        <v>0</v>
      </c>
      <c r="P41" s="222"/>
      <c r="Q41" s="219">
        <v>0.10322602574843504</v>
      </c>
      <c r="R41" s="219">
        <v>3.4408675249478354E-2</v>
      </c>
      <c r="S41" s="219">
        <v>0.32424825948759617</v>
      </c>
      <c r="T41" s="219">
        <v>8.0010305559393716E-2</v>
      </c>
      <c r="U41" s="219">
        <v>0</v>
      </c>
      <c r="V41" s="219">
        <v>0</v>
      </c>
      <c r="W41" s="219">
        <v>6.6182819121458916E-2</v>
      </c>
      <c r="X41" s="219">
        <v>6.6182819121458916E-2</v>
      </c>
      <c r="Y41" s="219">
        <v>7.8518164984295868E-2</v>
      </c>
      <c r="AA41" s="222">
        <v>0.83059115513010595</v>
      </c>
      <c r="AB41" s="222">
        <v>0.92740539557949786</v>
      </c>
      <c r="AC41" s="222">
        <v>0.67575174051240383</v>
      </c>
      <c r="AD41" s="222">
        <v>0.87242926605508631</v>
      </c>
      <c r="AE41" s="222">
        <v>1</v>
      </c>
      <c r="AF41" s="222">
        <v>1</v>
      </c>
      <c r="AG41" s="222">
        <v>0.86763436175708208</v>
      </c>
      <c r="AH41" s="222">
        <v>0.86763436175708208</v>
      </c>
      <c r="AI41" s="222">
        <v>0.92148183501570413</v>
      </c>
    </row>
    <row r="42" spans="2:35" x14ac:dyDescent="0.25">
      <c r="B42">
        <v>2032</v>
      </c>
      <c r="C42" s="219">
        <v>0</v>
      </c>
      <c r="D42" s="219">
        <v>0</v>
      </c>
      <c r="E42" s="219">
        <v>1</v>
      </c>
      <c r="G42" s="222">
        <v>7.954628233016138E-2</v>
      </c>
      <c r="H42" s="222">
        <v>5.0952721100034279E-2</v>
      </c>
      <c r="I42" s="222">
        <v>0</v>
      </c>
      <c r="J42" s="222">
        <v>5.7111146803969691E-2</v>
      </c>
      <c r="K42" s="222">
        <v>0</v>
      </c>
      <c r="L42" s="222">
        <v>0</v>
      </c>
      <c r="M42" s="222">
        <v>7.954628233016138E-2</v>
      </c>
      <c r="N42" s="222">
        <v>7.954628233016138E-2</v>
      </c>
      <c r="O42" s="222">
        <v>0</v>
      </c>
      <c r="P42" s="222"/>
      <c r="Q42" s="219">
        <v>0.11612736378718802</v>
      </c>
      <c r="R42" s="219">
        <v>3.8709121262396007E-2</v>
      </c>
      <c r="S42" s="219">
        <v>0.36750021079767414</v>
      </c>
      <c r="T42" s="219">
        <v>9.1507464946667241E-2</v>
      </c>
      <c r="U42" s="219">
        <v>0</v>
      </c>
      <c r="V42" s="219">
        <v>0</v>
      </c>
      <c r="W42" s="219">
        <v>7.954628233016138E-2</v>
      </c>
      <c r="X42" s="219">
        <v>7.954628233016138E-2</v>
      </c>
      <c r="Y42" s="219">
        <v>9.1727741034668533E-2</v>
      </c>
      <c r="AA42" s="222">
        <v>0.80432635388265061</v>
      </c>
      <c r="AB42" s="222">
        <v>0.91033815763756976</v>
      </c>
      <c r="AC42" s="222">
        <v>0.63249978920232586</v>
      </c>
      <c r="AD42" s="222">
        <v>0.85138138824936305</v>
      </c>
      <c r="AE42" s="222">
        <v>1</v>
      </c>
      <c r="AF42" s="222">
        <v>1</v>
      </c>
      <c r="AG42" s="222">
        <v>0.84090743533967727</v>
      </c>
      <c r="AH42" s="222">
        <v>0.84090743533967727</v>
      </c>
      <c r="AI42" s="222">
        <v>0.90827225896533148</v>
      </c>
    </row>
    <row r="43" spans="2:35" x14ac:dyDescent="0.25">
      <c r="B43">
        <v>2033</v>
      </c>
      <c r="C43" s="219">
        <v>0</v>
      </c>
      <c r="D43" s="219">
        <v>0</v>
      </c>
      <c r="E43" s="219">
        <v>1</v>
      </c>
      <c r="G43" s="222">
        <v>9.2281563810885842E-2</v>
      </c>
      <c r="H43" s="222">
        <v>6.5823298217173087E-2</v>
      </c>
      <c r="I43" s="222">
        <v>0</v>
      </c>
      <c r="J43" s="222">
        <v>6.666787646209632E-2</v>
      </c>
      <c r="K43" s="222">
        <v>0</v>
      </c>
      <c r="L43" s="222">
        <v>0</v>
      </c>
      <c r="M43" s="222">
        <v>9.2281563810885842E-2</v>
      </c>
      <c r="N43" s="222">
        <v>9.2281563810885842E-2</v>
      </c>
      <c r="O43" s="222">
        <v>0</v>
      </c>
      <c r="P43" s="222"/>
      <c r="Q43" s="219">
        <v>0.12845459721554553</v>
      </c>
      <c r="R43" s="219">
        <v>4.2818199071848514E-2</v>
      </c>
      <c r="S43" s="219">
        <v>0.40880951906738072</v>
      </c>
      <c r="T43" s="219">
        <v>0.10300853684287076</v>
      </c>
      <c r="U43" s="219">
        <v>0</v>
      </c>
      <c r="V43" s="219">
        <v>0</v>
      </c>
      <c r="W43" s="219">
        <v>9.2281563810885842E-2</v>
      </c>
      <c r="X43" s="219">
        <v>9.2281563810885842E-2</v>
      </c>
      <c r="Y43" s="219">
        <v>0.10432714297598678</v>
      </c>
      <c r="AA43" s="222">
        <v>0.77926383897356866</v>
      </c>
      <c r="AB43" s="222">
        <v>0.89135850271097838</v>
      </c>
      <c r="AC43" s="222">
        <v>0.59119048093261928</v>
      </c>
      <c r="AD43" s="222">
        <v>0.83032358669503292</v>
      </c>
      <c r="AE43" s="222">
        <v>1</v>
      </c>
      <c r="AF43" s="222">
        <v>1</v>
      </c>
      <c r="AG43" s="222">
        <v>0.81543687237822837</v>
      </c>
      <c r="AH43" s="222">
        <v>0.81543687237822837</v>
      </c>
      <c r="AI43" s="222">
        <v>0.89567285702401322</v>
      </c>
    </row>
    <row r="44" spans="2:35" x14ac:dyDescent="0.25">
      <c r="B44">
        <v>2034</v>
      </c>
      <c r="C44" s="219">
        <v>0</v>
      </c>
      <c r="D44" s="219">
        <v>0</v>
      </c>
      <c r="E44" s="219">
        <v>1</v>
      </c>
      <c r="G44" s="222">
        <v>0.10453141000062419</v>
      </c>
      <c r="H44" s="222">
        <v>8.2739784550928161E-2</v>
      </c>
      <c r="I44" s="222">
        <v>0</v>
      </c>
      <c r="J44" s="222">
        <v>7.6231176248646546E-2</v>
      </c>
      <c r="K44" s="222">
        <v>0</v>
      </c>
      <c r="L44" s="222">
        <v>0</v>
      </c>
      <c r="M44" s="222">
        <v>0.10453141000062419</v>
      </c>
      <c r="N44" s="222">
        <v>0.10453141000062419</v>
      </c>
      <c r="O44" s="222">
        <v>0</v>
      </c>
      <c r="P44" s="222"/>
      <c r="Q44" s="219">
        <v>0.14033565139659027</v>
      </c>
      <c r="R44" s="219">
        <v>4.6778550465530075E-2</v>
      </c>
      <c r="S44" s="219">
        <v>0.44861053960126973</v>
      </c>
      <c r="T44" s="219">
        <v>0.11451531369294513</v>
      </c>
      <c r="U44" s="219">
        <v>0</v>
      </c>
      <c r="V44" s="219">
        <v>0</v>
      </c>
      <c r="W44" s="219">
        <v>0.10453141000062419</v>
      </c>
      <c r="X44" s="219">
        <v>0.10453141000062419</v>
      </c>
      <c r="Y44" s="219">
        <v>0.11645418184441257</v>
      </c>
      <c r="AA44" s="222">
        <v>0.75513293860278563</v>
      </c>
      <c r="AB44" s="222">
        <v>0.87048166498354185</v>
      </c>
      <c r="AC44" s="222">
        <v>0.55138946039873027</v>
      </c>
      <c r="AD44" s="222">
        <v>0.8092535100584084</v>
      </c>
      <c r="AE44" s="222">
        <v>1</v>
      </c>
      <c r="AF44" s="222">
        <v>1</v>
      </c>
      <c r="AG44" s="222">
        <v>0.79093717999875168</v>
      </c>
      <c r="AH44" s="222">
        <v>0.79093717999875168</v>
      </c>
      <c r="AI44" s="222">
        <v>0.88354581815558741</v>
      </c>
    </row>
    <row r="45" spans="2:35" x14ac:dyDescent="0.25">
      <c r="B45">
        <v>2035</v>
      </c>
      <c r="C45" s="219">
        <v>0</v>
      </c>
      <c r="D45" s="219">
        <v>0</v>
      </c>
      <c r="E45" s="219">
        <v>1</v>
      </c>
      <c r="G45" s="222">
        <v>0.11649051221411663</v>
      </c>
      <c r="H45" s="222">
        <v>0.10227987070771585</v>
      </c>
      <c r="I45" s="222">
        <v>0</v>
      </c>
      <c r="J45" s="222">
        <v>8.5807113471804725E-2</v>
      </c>
      <c r="K45" s="222">
        <v>0</v>
      </c>
      <c r="L45" s="222">
        <v>0</v>
      </c>
      <c r="M45" s="222">
        <v>0.11649051221411663</v>
      </c>
      <c r="N45" s="222">
        <v>0.11649051221411663</v>
      </c>
      <c r="O45" s="222">
        <v>0</v>
      </c>
      <c r="P45" s="222"/>
      <c r="Q45" s="219">
        <v>0.15193940738402537</v>
      </c>
      <c r="R45" s="219">
        <v>5.0646469128008444E-2</v>
      </c>
      <c r="S45" s="219">
        <v>0.48748003193289347</v>
      </c>
      <c r="T45" s="219">
        <v>0.12603745873597083</v>
      </c>
      <c r="U45" s="219">
        <v>0</v>
      </c>
      <c r="V45" s="219">
        <v>0</v>
      </c>
      <c r="W45" s="219">
        <v>0.11649051221411663</v>
      </c>
      <c r="X45" s="219">
        <v>0.11649051221411663</v>
      </c>
      <c r="Y45" s="219">
        <v>0.12829495416698572</v>
      </c>
      <c r="AA45" s="222">
        <v>0.731570080401858</v>
      </c>
      <c r="AB45" s="222">
        <v>0.84707366016427577</v>
      </c>
      <c r="AC45" s="222">
        <v>0.51251996806710653</v>
      </c>
      <c r="AD45" s="222">
        <v>0.78815542779222447</v>
      </c>
      <c r="AE45" s="222">
        <v>1</v>
      </c>
      <c r="AF45" s="222">
        <v>1</v>
      </c>
      <c r="AG45" s="222">
        <v>0.76701897557176668</v>
      </c>
      <c r="AH45" s="222">
        <v>0.76701897557176668</v>
      </c>
      <c r="AI45" s="222">
        <v>0.87170504583301422</v>
      </c>
    </row>
    <row r="46" spans="2:35" x14ac:dyDescent="0.25">
      <c r="B46">
        <v>2036</v>
      </c>
      <c r="C46" s="219">
        <v>0</v>
      </c>
      <c r="D46" s="219">
        <v>0</v>
      </c>
      <c r="E46" s="219">
        <v>1</v>
      </c>
      <c r="G46" s="222">
        <v>0.12814589708060506</v>
      </c>
      <c r="H46" s="222">
        <v>0.12385773902421052</v>
      </c>
      <c r="I46" s="222">
        <v>0</v>
      </c>
      <c r="J46" s="222">
        <v>9.5394075916591381E-2</v>
      </c>
      <c r="K46" s="222">
        <v>0</v>
      </c>
      <c r="L46" s="222">
        <v>0</v>
      </c>
      <c r="M46" s="222">
        <v>0.12814589708060506</v>
      </c>
      <c r="N46" s="222">
        <v>0.12814589708060506</v>
      </c>
      <c r="O46" s="222">
        <v>0</v>
      </c>
      <c r="P46" s="222"/>
      <c r="Q46" s="219">
        <v>0.16325691549632823</v>
      </c>
      <c r="R46" s="219">
        <v>5.4418971832109406E-2</v>
      </c>
      <c r="S46" s="219">
        <v>0.52538600890333809</v>
      </c>
      <c r="T46" s="219">
        <v>0.1375725621602446</v>
      </c>
      <c r="U46" s="219">
        <v>0</v>
      </c>
      <c r="V46" s="219">
        <v>0</v>
      </c>
      <c r="W46" s="219">
        <v>0.12814589708060506</v>
      </c>
      <c r="X46" s="219">
        <v>0.12814589708060506</v>
      </c>
      <c r="Y46" s="219">
        <v>0.13983782645690751</v>
      </c>
      <c r="AA46" s="222">
        <v>0.70859718742306665</v>
      </c>
      <c r="AB46" s="222">
        <v>0.82172328914368009</v>
      </c>
      <c r="AC46" s="222">
        <v>0.47461399109666191</v>
      </c>
      <c r="AD46" s="222">
        <v>0.76703336192316396</v>
      </c>
      <c r="AE46" s="222">
        <v>1</v>
      </c>
      <c r="AF46" s="222">
        <v>1</v>
      </c>
      <c r="AG46" s="222">
        <v>0.74370820583878983</v>
      </c>
      <c r="AH46" s="222">
        <v>0.74370820583878983</v>
      </c>
      <c r="AI46" s="222">
        <v>0.86016217354309243</v>
      </c>
    </row>
    <row r="47" spans="2:35" x14ac:dyDescent="0.25">
      <c r="B47">
        <v>2037</v>
      </c>
      <c r="C47" s="219">
        <v>0</v>
      </c>
      <c r="D47" s="219">
        <v>0</v>
      </c>
      <c r="E47" s="219">
        <v>1</v>
      </c>
      <c r="G47" s="222">
        <v>0.13945938728712268</v>
      </c>
      <c r="H47" s="222">
        <v>0.14682847487603506</v>
      </c>
      <c r="I47" s="222">
        <v>0</v>
      </c>
      <c r="J47" s="222">
        <v>0.10498745703721381</v>
      </c>
      <c r="K47" s="222">
        <v>0</v>
      </c>
      <c r="L47" s="222">
        <v>0</v>
      </c>
      <c r="M47" s="222">
        <v>0.13945938728712268</v>
      </c>
      <c r="N47" s="222">
        <v>0.13945938728712268</v>
      </c>
      <c r="O47" s="222">
        <v>0</v>
      </c>
      <c r="P47" s="222"/>
      <c r="Q47" s="219">
        <v>0.17425923311947028</v>
      </c>
      <c r="R47" s="219">
        <v>5.8086411039823427E-2</v>
      </c>
      <c r="S47" s="219">
        <v>0.56222704948857016</v>
      </c>
      <c r="T47" s="219">
        <v>0.14911403157764946</v>
      </c>
      <c r="U47" s="219">
        <v>0</v>
      </c>
      <c r="V47" s="219">
        <v>0</v>
      </c>
      <c r="W47" s="219">
        <v>0.13945938728712268</v>
      </c>
      <c r="X47" s="219">
        <v>0.13945938728712268</v>
      </c>
      <c r="Y47" s="219">
        <v>0.1510476965455011</v>
      </c>
      <c r="AA47" s="222">
        <v>0.68628137959340707</v>
      </c>
      <c r="AB47" s="222">
        <v>0.79508511408414151</v>
      </c>
      <c r="AC47" s="222">
        <v>0.43777295051142984</v>
      </c>
      <c r="AD47" s="222">
        <v>0.74589851138513674</v>
      </c>
      <c r="AE47" s="222">
        <v>1</v>
      </c>
      <c r="AF47" s="222">
        <v>1</v>
      </c>
      <c r="AG47" s="222">
        <v>0.72108122542575459</v>
      </c>
      <c r="AH47" s="222">
        <v>0.72108122542575459</v>
      </c>
      <c r="AI47" s="222">
        <v>0.8489523034544989</v>
      </c>
    </row>
    <row r="48" spans="2:35" x14ac:dyDescent="0.25">
      <c r="B48">
        <v>2038</v>
      </c>
      <c r="C48" s="219">
        <v>0</v>
      </c>
      <c r="D48" s="219">
        <v>0</v>
      </c>
      <c r="E48" s="219">
        <v>1</v>
      </c>
      <c r="G48" s="222">
        <v>0.15048285331911332</v>
      </c>
      <c r="H48" s="222">
        <v>0.17078798143434729</v>
      </c>
      <c r="I48" s="222">
        <v>0</v>
      </c>
      <c r="J48" s="222">
        <v>0.11458815196565471</v>
      </c>
      <c r="K48" s="222">
        <v>0</v>
      </c>
      <c r="L48" s="222">
        <v>0</v>
      </c>
      <c r="M48" s="222">
        <v>0.15048285331911332</v>
      </c>
      <c r="N48" s="222">
        <v>0.15048285331911332</v>
      </c>
      <c r="O48" s="222">
        <v>0</v>
      </c>
      <c r="P48" s="222"/>
      <c r="Q48" s="219">
        <v>0.18499283658986151</v>
      </c>
      <c r="R48" s="219">
        <v>6.1664278863287167E-2</v>
      </c>
      <c r="S48" s="219">
        <v>0.59816096364700977</v>
      </c>
      <c r="T48" s="219">
        <v>0.16066337869693947</v>
      </c>
      <c r="U48" s="219">
        <v>0</v>
      </c>
      <c r="V48" s="219">
        <v>0</v>
      </c>
      <c r="W48" s="219">
        <v>0.15048285331911332</v>
      </c>
      <c r="X48" s="219">
        <v>0.15048285331911332</v>
      </c>
      <c r="Y48" s="219">
        <v>0.16197463867268996</v>
      </c>
      <c r="AA48" s="222">
        <v>0.66452431009102508</v>
      </c>
      <c r="AB48" s="222">
        <v>0.76754773970236556</v>
      </c>
      <c r="AC48" s="222">
        <v>0.40183903635299023</v>
      </c>
      <c r="AD48" s="222">
        <v>0.72474846933740578</v>
      </c>
      <c r="AE48" s="222">
        <v>1</v>
      </c>
      <c r="AF48" s="222">
        <v>1</v>
      </c>
      <c r="AG48" s="222">
        <v>0.69903429336177325</v>
      </c>
      <c r="AH48" s="222">
        <v>0.69903429336177325</v>
      </c>
      <c r="AI48" s="222">
        <v>0.83802536132731009</v>
      </c>
    </row>
    <row r="49" spans="2:35" x14ac:dyDescent="0.25">
      <c r="B49">
        <v>2039</v>
      </c>
      <c r="C49" s="219">
        <v>0</v>
      </c>
      <c r="D49" s="219">
        <v>0</v>
      </c>
      <c r="E49" s="219">
        <v>1</v>
      </c>
      <c r="G49" s="222">
        <v>0.1612886035600512</v>
      </c>
      <c r="H49" s="222">
        <v>0.19545601085126457</v>
      </c>
      <c r="I49" s="222">
        <v>0</v>
      </c>
      <c r="J49" s="222">
        <v>0.12420059023940062</v>
      </c>
      <c r="K49" s="222">
        <v>0</v>
      </c>
      <c r="L49" s="222">
        <v>0</v>
      </c>
      <c r="M49" s="222">
        <v>0.1612886035600512</v>
      </c>
      <c r="N49" s="222">
        <v>0.1612886035600512</v>
      </c>
      <c r="O49" s="222">
        <v>0</v>
      </c>
      <c r="P49" s="222"/>
      <c r="Q49" s="219">
        <v>0.19551950515354743</v>
      </c>
      <c r="R49" s="219">
        <v>6.5173168384515812E-2</v>
      </c>
      <c r="S49" s="219">
        <v>0.63339932107940988</v>
      </c>
      <c r="T49" s="219">
        <v>0.17222696658896486</v>
      </c>
      <c r="U49" s="219">
        <v>0</v>
      </c>
      <c r="V49" s="219">
        <v>0</v>
      </c>
      <c r="W49" s="219">
        <v>0.1612886035600512</v>
      </c>
      <c r="X49" s="219">
        <v>0.1612886035600512</v>
      </c>
      <c r="Y49" s="219">
        <v>0.17268745503110652</v>
      </c>
      <c r="AA49" s="222">
        <v>0.64319189128640142</v>
      </c>
      <c r="AB49" s="222">
        <v>0.73937082076421956</v>
      </c>
      <c r="AC49" s="222">
        <v>0.36660067892059012</v>
      </c>
      <c r="AD49" s="222">
        <v>0.70357244317163448</v>
      </c>
      <c r="AE49" s="222">
        <v>1</v>
      </c>
      <c r="AF49" s="222">
        <v>1</v>
      </c>
      <c r="AG49" s="222">
        <v>0.67742279287989771</v>
      </c>
      <c r="AH49" s="222">
        <v>0.67742279287989771</v>
      </c>
      <c r="AI49" s="222">
        <v>0.8273125449688935</v>
      </c>
    </row>
    <row r="50" spans="2:35" x14ac:dyDescent="0.25">
      <c r="B50">
        <v>2040</v>
      </c>
      <c r="C50" s="219">
        <v>0</v>
      </c>
      <c r="D50" s="219">
        <v>0</v>
      </c>
      <c r="E50" s="219">
        <v>1</v>
      </c>
      <c r="G50" s="222">
        <v>0.17188741005698524</v>
      </c>
      <c r="H50" s="222">
        <v>0.22041990830586261</v>
      </c>
      <c r="I50" s="222">
        <v>0</v>
      </c>
      <c r="J50" s="222">
        <v>0.13382487130568047</v>
      </c>
      <c r="K50" s="222">
        <v>0</v>
      </c>
      <c r="L50" s="222">
        <v>0</v>
      </c>
      <c r="M50" s="222">
        <v>0.17188741005698524</v>
      </c>
      <c r="N50" s="222">
        <v>0.17188741005698524</v>
      </c>
      <c r="O50" s="222">
        <v>0</v>
      </c>
      <c r="P50" s="222"/>
      <c r="Q50" s="219">
        <v>0.20584961958761949</v>
      </c>
      <c r="R50" s="219">
        <v>6.8616539862539835E-2</v>
      </c>
      <c r="S50" s="219">
        <v>0.66797693392073998</v>
      </c>
      <c r="T50" s="219">
        <v>0.18380491394190107</v>
      </c>
      <c r="U50" s="219">
        <v>0</v>
      </c>
      <c r="V50" s="219">
        <v>0</v>
      </c>
      <c r="W50" s="219">
        <v>0.17188741005698524</v>
      </c>
      <c r="X50" s="219">
        <v>0.17188741005698524</v>
      </c>
      <c r="Y50" s="219">
        <v>0.183196787375347</v>
      </c>
      <c r="AA50" s="222">
        <v>0.62226297035539524</v>
      </c>
      <c r="AB50" s="222">
        <v>0.71096355183159754</v>
      </c>
      <c r="AC50" s="222">
        <v>0.33202306607926002</v>
      </c>
      <c r="AD50" s="222">
        <v>0.68237021475241844</v>
      </c>
      <c r="AE50" s="222">
        <v>1</v>
      </c>
      <c r="AF50" s="222">
        <v>1</v>
      </c>
      <c r="AG50" s="222">
        <v>0.65622517988602946</v>
      </c>
      <c r="AH50" s="222">
        <v>0.65622517988602946</v>
      </c>
      <c r="AI50" s="222">
        <v>0.81680321262465294</v>
      </c>
    </row>
    <row r="51" spans="2:35" x14ac:dyDescent="0.25">
      <c r="B51">
        <v>2041</v>
      </c>
      <c r="C51" s="219">
        <v>0</v>
      </c>
      <c r="D51" s="219">
        <v>0</v>
      </c>
      <c r="E51" s="219">
        <v>1</v>
      </c>
      <c r="G51" s="222">
        <v>0.18229376437926131</v>
      </c>
      <c r="H51" s="222">
        <v>0.24530086644045923</v>
      </c>
      <c r="I51" s="222">
        <v>0</v>
      </c>
      <c r="J51" s="222">
        <v>0.14346169451061344</v>
      </c>
      <c r="K51" s="222">
        <v>0</v>
      </c>
      <c r="L51" s="222">
        <v>0</v>
      </c>
      <c r="M51" s="222">
        <v>0.18229376437926131</v>
      </c>
      <c r="N51" s="222">
        <v>0.18229376437926131</v>
      </c>
      <c r="O51" s="222">
        <v>0</v>
      </c>
      <c r="P51" s="222"/>
      <c r="Q51" s="219">
        <v>0.21599638255213141</v>
      </c>
      <c r="R51" s="219">
        <v>7.1998794184043813E-2</v>
      </c>
      <c r="S51" s="219">
        <v>0.7019385013133459</v>
      </c>
      <c r="T51" s="219">
        <v>0.19539816398731116</v>
      </c>
      <c r="U51" s="219">
        <v>0</v>
      </c>
      <c r="V51" s="219">
        <v>0</v>
      </c>
      <c r="W51" s="219">
        <v>0.18229376437926131</v>
      </c>
      <c r="X51" s="219">
        <v>0.18229376437926131</v>
      </c>
      <c r="Y51" s="219">
        <v>0.19351669806942234</v>
      </c>
      <c r="AA51" s="222">
        <v>0.60170985306860736</v>
      </c>
      <c r="AB51" s="222">
        <v>0.6827003393754969</v>
      </c>
      <c r="AC51" s="222">
        <v>0.2980614986866541</v>
      </c>
      <c r="AD51" s="222">
        <v>0.66114014150207545</v>
      </c>
      <c r="AE51" s="222">
        <v>1</v>
      </c>
      <c r="AF51" s="222">
        <v>1</v>
      </c>
      <c r="AG51" s="222">
        <v>0.63541247124147748</v>
      </c>
      <c r="AH51" s="222">
        <v>0.63541247124147748</v>
      </c>
      <c r="AI51" s="222">
        <v>0.80648330193057771</v>
      </c>
    </row>
    <row r="52" spans="2:35" x14ac:dyDescent="0.25">
      <c r="B52">
        <v>2042</v>
      </c>
      <c r="C52" s="219">
        <v>0</v>
      </c>
      <c r="D52" s="219">
        <v>0</v>
      </c>
      <c r="E52" s="219">
        <v>1</v>
      </c>
      <c r="G52" s="222">
        <v>0.19252435992486444</v>
      </c>
      <c r="H52" s="222">
        <v>0.26974869277637092</v>
      </c>
      <c r="I52" s="222">
        <v>0</v>
      </c>
      <c r="J52" s="222">
        <v>0.15311254214703632</v>
      </c>
      <c r="K52" s="222">
        <v>0</v>
      </c>
      <c r="L52" s="222">
        <v>0</v>
      </c>
      <c r="M52" s="222">
        <v>0.19252435992486444</v>
      </c>
      <c r="N52" s="222">
        <v>0.19252435992486444</v>
      </c>
      <c r="O52" s="222">
        <v>0</v>
      </c>
      <c r="P52" s="222"/>
      <c r="Q52" s="219">
        <v>0.22597436123148326</v>
      </c>
      <c r="R52" s="219">
        <v>7.5324787077161087E-2</v>
      </c>
      <c r="S52" s="219">
        <v>0.73533371923245905</v>
      </c>
      <c r="T52" s="219">
        <v>0.20700870658663992</v>
      </c>
      <c r="U52" s="219">
        <v>0</v>
      </c>
      <c r="V52" s="219">
        <v>0</v>
      </c>
      <c r="W52" s="219">
        <v>0.19252435992486444</v>
      </c>
      <c r="X52" s="219">
        <v>0.19252435992486444</v>
      </c>
      <c r="Y52" s="219">
        <v>0.20366317248460139</v>
      </c>
      <c r="AA52" s="222">
        <v>0.58150127884365221</v>
      </c>
      <c r="AB52" s="222">
        <v>0.65492652014646802</v>
      </c>
      <c r="AC52" s="222">
        <v>0.26466628076754095</v>
      </c>
      <c r="AD52" s="222">
        <v>0.63987875126632376</v>
      </c>
      <c r="AE52" s="222">
        <v>1</v>
      </c>
      <c r="AF52" s="222">
        <v>1</v>
      </c>
      <c r="AG52" s="222">
        <v>0.61495128015027101</v>
      </c>
      <c r="AH52" s="222">
        <v>0.61495128015027101</v>
      </c>
      <c r="AI52" s="222">
        <v>0.79633682751539858</v>
      </c>
    </row>
    <row r="53" spans="2:35" x14ac:dyDescent="0.25">
      <c r="B53">
        <v>2043</v>
      </c>
      <c r="C53" s="219">
        <v>0</v>
      </c>
      <c r="D53" s="219">
        <v>0</v>
      </c>
      <c r="E53" s="219">
        <v>1</v>
      </c>
      <c r="G53" s="222">
        <v>0.20258265255835378</v>
      </c>
      <c r="H53" s="222">
        <v>0.29376858739428946</v>
      </c>
      <c r="I53" s="222">
        <v>0</v>
      </c>
      <c r="J53" s="222">
        <v>0.16277720391997774</v>
      </c>
      <c r="K53" s="222">
        <v>0</v>
      </c>
      <c r="L53" s="222">
        <v>0</v>
      </c>
      <c r="M53" s="222">
        <v>0.20258265255835378</v>
      </c>
      <c r="N53" s="222">
        <v>0.20258265255835378</v>
      </c>
      <c r="O53" s="222">
        <v>0</v>
      </c>
      <c r="P53" s="222"/>
      <c r="Q53" s="219">
        <v>0.23578754006099198</v>
      </c>
      <c r="R53" s="219">
        <v>7.8595846686997317E-2</v>
      </c>
      <c r="S53" s="219">
        <v>0.7681755860530135</v>
      </c>
      <c r="T53" s="219">
        <v>0.21863620384828322</v>
      </c>
      <c r="U53" s="219">
        <v>0</v>
      </c>
      <c r="V53" s="219">
        <v>0</v>
      </c>
      <c r="W53" s="219">
        <v>0.20258265255835378</v>
      </c>
      <c r="X53" s="219">
        <v>0.20258265255835378</v>
      </c>
      <c r="Y53" s="219">
        <v>0.21363984249890702</v>
      </c>
      <c r="AA53" s="222">
        <v>0.56162980738065416</v>
      </c>
      <c r="AB53" s="222">
        <v>0.62763556591871317</v>
      </c>
      <c r="AC53" s="222">
        <v>0.2318244139469865</v>
      </c>
      <c r="AD53" s="222">
        <v>0.61858659223173906</v>
      </c>
      <c r="AE53" s="222">
        <v>1</v>
      </c>
      <c r="AF53" s="222">
        <v>1</v>
      </c>
      <c r="AG53" s="222">
        <v>0.59483469488329233</v>
      </c>
      <c r="AH53" s="222">
        <v>0.59483469488329233</v>
      </c>
      <c r="AI53" s="222">
        <v>0.786360157501093</v>
      </c>
    </row>
    <row r="54" spans="2:35" x14ac:dyDescent="0.25">
      <c r="B54">
        <v>2044</v>
      </c>
      <c r="C54" s="219">
        <v>0</v>
      </c>
      <c r="D54" s="219">
        <v>0</v>
      </c>
      <c r="E54" s="219">
        <v>1</v>
      </c>
      <c r="G54" s="222">
        <v>0.21246887337888856</v>
      </c>
      <c r="H54" s="222">
        <v>0.31735343761909757</v>
      </c>
      <c r="I54" s="222">
        <v>0</v>
      </c>
      <c r="J54" s="222">
        <v>0.17245449307794625</v>
      </c>
      <c r="K54" s="222">
        <v>0</v>
      </c>
      <c r="L54" s="222">
        <v>0</v>
      </c>
      <c r="M54" s="222">
        <v>0.21246887337888856</v>
      </c>
      <c r="N54" s="222">
        <v>0.21246887337888856</v>
      </c>
      <c r="O54" s="222">
        <v>0</v>
      </c>
      <c r="P54" s="222"/>
      <c r="Q54" s="219">
        <v>0.24543768303198576</v>
      </c>
      <c r="R54" s="219">
        <v>8.1812561010661922E-2</v>
      </c>
      <c r="S54" s="219">
        <v>0.80046916080554942</v>
      </c>
      <c r="T54" s="219">
        <v>0.23027902071025749</v>
      </c>
      <c r="U54" s="219">
        <v>0</v>
      </c>
      <c r="V54" s="219">
        <v>0</v>
      </c>
      <c r="W54" s="219">
        <v>0.21246887337888856</v>
      </c>
      <c r="X54" s="219">
        <v>0.21246887337888856</v>
      </c>
      <c r="Y54" s="219">
        <v>0.2234474496628551</v>
      </c>
      <c r="AA54" s="222">
        <v>0.5420934435891257</v>
      </c>
      <c r="AB54" s="222">
        <v>0.60083400137024046</v>
      </c>
      <c r="AC54" s="222">
        <v>0.19953083919445058</v>
      </c>
      <c r="AD54" s="222">
        <v>0.59726648621179623</v>
      </c>
      <c r="AE54" s="222">
        <v>1</v>
      </c>
      <c r="AF54" s="222">
        <v>1</v>
      </c>
      <c r="AG54" s="222">
        <v>0.57506225324222293</v>
      </c>
      <c r="AH54" s="222">
        <v>0.57506225324222293</v>
      </c>
      <c r="AI54" s="222">
        <v>0.77655255033714488</v>
      </c>
    </row>
    <row r="55" spans="2:35" x14ac:dyDescent="0.25">
      <c r="B55">
        <v>2045</v>
      </c>
      <c r="C55" s="219">
        <v>0</v>
      </c>
      <c r="D55" s="219">
        <v>0</v>
      </c>
      <c r="E55" s="219">
        <v>1</v>
      </c>
      <c r="G55" s="222">
        <v>0.22219173522421293</v>
      </c>
      <c r="H55" s="222">
        <v>0.34052482392438127</v>
      </c>
      <c r="I55" s="222">
        <v>0</v>
      </c>
      <c r="J55" s="222">
        <v>0.18214458963415614</v>
      </c>
      <c r="K55" s="222">
        <v>0</v>
      </c>
      <c r="L55" s="222">
        <v>0</v>
      </c>
      <c r="M55" s="222">
        <v>0.22219173522421293</v>
      </c>
      <c r="N55" s="222">
        <v>0.22219173522421293</v>
      </c>
      <c r="O55" s="222">
        <v>0</v>
      </c>
      <c r="P55" s="222"/>
      <c r="Q55" s="219">
        <v>0.25493313536615703</v>
      </c>
      <c r="R55" s="219">
        <v>8.4977711788719004E-2</v>
      </c>
      <c r="S55" s="219">
        <v>0.83224245777252104</v>
      </c>
      <c r="T55" s="219">
        <v>0.24193738201768375</v>
      </c>
      <c r="U55" s="219">
        <v>0</v>
      </c>
      <c r="V55" s="219">
        <v>0</v>
      </c>
      <c r="W55" s="219">
        <v>0.22219173522421293</v>
      </c>
      <c r="X55" s="219">
        <v>0.22219173522421293</v>
      </c>
      <c r="Y55" s="219">
        <v>0.23309458439846081</v>
      </c>
      <c r="AA55" s="222">
        <v>0.5228751294096301</v>
      </c>
      <c r="AB55" s="222">
        <v>0.57449746428689974</v>
      </c>
      <c r="AC55" s="222">
        <v>0.16775754222747896</v>
      </c>
      <c r="AD55" s="222">
        <v>0.57591802834816008</v>
      </c>
      <c r="AE55" s="222">
        <v>1</v>
      </c>
      <c r="AF55" s="222">
        <v>1</v>
      </c>
      <c r="AG55" s="222">
        <v>0.55561652955157426</v>
      </c>
      <c r="AH55" s="222">
        <v>0.55561652955157426</v>
      </c>
      <c r="AI55" s="222">
        <v>0.76690541560153913</v>
      </c>
    </row>
    <row r="56" spans="2:35" x14ac:dyDescent="0.25">
      <c r="B56">
        <v>2046</v>
      </c>
      <c r="C56" s="219">
        <v>0</v>
      </c>
      <c r="D56" s="219">
        <v>0</v>
      </c>
      <c r="E56" s="219">
        <v>1</v>
      </c>
      <c r="G56" s="222">
        <v>0.23175912719134492</v>
      </c>
      <c r="H56" s="222">
        <v>0.36330184329010229</v>
      </c>
      <c r="I56" s="222">
        <v>0</v>
      </c>
      <c r="J56" s="222">
        <v>0.19184757585047976</v>
      </c>
      <c r="K56" s="222">
        <v>0</v>
      </c>
      <c r="L56" s="222">
        <v>0</v>
      </c>
      <c r="M56" s="222">
        <v>0.23175912719134492</v>
      </c>
      <c r="N56" s="222">
        <v>0.23175912719134492</v>
      </c>
      <c r="O56" s="222">
        <v>0</v>
      </c>
      <c r="P56" s="222"/>
      <c r="Q56" s="219">
        <v>0.26428154226541795</v>
      </c>
      <c r="R56" s="219">
        <v>8.8093847421805982E-2</v>
      </c>
      <c r="S56" s="219">
        <v>0.863521091578351</v>
      </c>
      <c r="T56" s="219">
        <v>0.25361138142642303</v>
      </c>
      <c r="U56" s="219">
        <v>0</v>
      </c>
      <c r="V56" s="219">
        <v>0</v>
      </c>
      <c r="W56" s="219">
        <v>0.23175912719134492</v>
      </c>
      <c r="X56" s="219">
        <v>0.23175912719134492</v>
      </c>
      <c r="Y56" s="219">
        <v>0.24258905458594809</v>
      </c>
      <c r="AA56" s="222">
        <v>0.50395933054323705</v>
      </c>
      <c r="AB56" s="222">
        <v>0.54860430928809167</v>
      </c>
      <c r="AC56" s="222">
        <v>0.136478908421649</v>
      </c>
      <c r="AD56" s="222">
        <v>0.55454104272309723</v>
      </c>
      <c r="AE56" s="222">
        <v>1</v>
      </c>
      <c r="AF56" s="222">
        <v>1</v>
      </c>
      <c r="AG56" s="222">
        <v>0.5364817456173101</v>
      </c>
      <c r="AH56" s="222">
        <v>0.5364817456173101</v>
      </c>
      <c r="AI56" s="222">
        <v>0.75741094541405185</v>
      </c>
    </row>
    <row r="57" spans="2:35" x14ac:dyDescent="0.25">
      <c r="B57">
        <v>2047</v>
      </c>
      <c r="C57" s="219">
        <v>0</v>
      </c>
      <c r="D57" s="219">
        <v>0</v>
      </c>
      <c r="E57" s="219">
        <v>1</v>
      </c>
      <c r="G57" s="222">
        <v>0.24117884187609562</v>
      </c>
      <c r="H57" s="222">
        <v>0.38570364600526874</v>
      </c>
      <c r="I57" s="222">
        <v>0</v>
      </c>
      <c r="J57" s="222">
        <v>0.20156360367194862</v>
      </c>
      <c r="K57" s="222">
        <v>0</v>
      </c>
      <c r="L57" s="222">
        <v>0</v>
      </c>
      <c r="M57" s="222">
        <v>0.24117884187609562</v>
      </c>
      <c r="N57" s="222">
        <v>0.24117884187609562</v>
      </c>
      <c r="O57" s="222">
        <v>0</v>
      </c>
      <c r="P57" s="222"/>
      <c r="Q57" s="219">
        <v>0.27349039782223272</v>
      </c>
      <c r="R57" s="219">
        <v>9.1163465940744232E-2</v>
      </c>
      <c r="S57" s="219">
        <v>0.89433020239475014</v>
      </c>
      <c r="T57" s="219">
        <v>0.26530120551190012</v>
      </c>
      <c r="U57" s="219">
        <v>0</v>
      </c>
      <c r="V57" s="219">
        <v>0</v>
      </c>
      <c r="W57" s="219">
        <v>0.24117884187609562</v>
      </c>
      <c r="X57" s="219">
        <v>0.24117884187609562</v>
      </c>
      <c r="Y57" s="219">
        <v>0.25193855341985144</v>
      </c>
      <c r="AA57" s="222">
        <v>0.48533076030167166</v>
      </c>
      <c r="AB57" s="222">
        <v>0.52313288805398706</v>
      </c>
      <c r="AC57" s="222">
        <v>0.10566979760524986</v>
      </c>
      <c r="AD57" s="222">
        <v>0.53313519081615124</v>
      </c>
      <c r="AE57" s="222">
        <v>1</v>
      </c>
      <c r="AF57" s="222">
        <v>1</v>
      </c>
      <c r="AG57" s="222">
        <v>0.51764231624780876</v>
      </c>
      <c r="AH57" s="222">
        <v>0.51764231624780876</v>
      </c>
      <c r="AI57" s="222">
        <v>0.7480614465801485</v>
      </c>
    </row>
    <row r="58" spans="2:35" x14ac:dyDescent="0.25">
      <c r="B58">
        <v>2048</v>
      </c>
      <c r="C58" s="219">
        <v>0</v>
      </c>
      <c r="D58" s="219">
        <v>0</v>
      </c>
      <c r="E58" s="219">
        <v>1</v>
      </c>
      <c r="G58" s="222">
        <v>0.25045820389522561</v>
      </c>
      <c r="H58" s="222">
        <v>0.40774808131099277</v>
      </c>
      <c r="I58" s="222">
        <v>0</v>
      </c>
      <c r="J58" s="222">
        <v>0.21129278970847756</v>
      </c>
      <c r="K58" s="222">
        <v>0</v>
      </c>
      <c r="L58" s="222">
        <v>0</v>
      </c>
      <c r="M58" s="222">
        <v>0.25045820389522561</v>
      </c>
      <c r="N58" s="222">
        <v>0.25045820389522561</v>
      </c>
      <c r="O58" s="222">
        <v>0</v>
      </c>
      <c r="P58" s="222"/>
      <c r="Q58" s="219">
        <v>0.28256677638505906</v>
      </c>
      <c r="R58" s="219">
        <v>9.4188925461686362E-2</v>
      </c>
      <c r="S58" s="219">
        <v>0.92469350541445905</v>
      </c>
      <c r="T58" s="219">
        <v>0.27700699378156274</v>
      </c>
      <c r="U58" s="219">
        <v>0</v>
      </c>
      <c r="V58" s="219">
        <v>0</v>
      </c>
      <c r="W58" s="219">
        <v>0.25045820389522561</v>
      </c>
      <c r="X58" s="219">
        <v>0.25045820389522561</v>
      </c>
      <c r="Y58" s="219">
        <v>0.26115032217787004</v>
      </c>
      <c r="AA58" s="222">
        <v>0.46697501971971528</v>
      </c>
      <c r="AB58" s="222">
        <v>0.49806299322732084</v>
      </c>
      <c r="AC58" s="222">
        <v>7.5306494585540951E-2</v>
      </c>
      <c r="AD58" s="222">
        <v>0.51170021650995978</v>
      </c>
      <c r="AE58" s="222">
        <v>1</v>
      </c>
      <c r="AF58" s="222">
        <v>1</v>
      </c>
      <c r="AG58" s="222">
        <v>0.49908359220954873</v>
      </c>
      <c r="AH58" s="222">
        <v>0.49908359220954873</v>
      </c>
      <c r="AI58" s="222">
        <v>0.73884967782212996</v>
      </c>
    </row>
    <row r="59" spans="2:35" x14ac:dyDescent="0.25">
      <c r="B59">
        <v>2049</v>
      </c>
      <c r="C59" s="219">
        <v>0</v>
      </c>
      <c r="D59" s="219">
        <v>0</v>
      </c>
      <c r="E59" s="219">
        <v>1</v>
      </c>
      <c r="G59" s="222">
        <v>0.25960439235260241</v>
      </c>
      <c r="H59" s="222">
        <v>0.429452900559951</v>
      </c>
      <c r="I59" s="222">
        <v>0</v>
      </c>
      <c r="J59" s="222">
        <v>0.22103533522216773</v>
      </c>
      <c r="K59" s="222">
        <v>0</v>
      </c>
      <c r="L59" s="222">
        <v>0</v>
      </c>
      <c r="M59" s="222">
        <v>0.25960439235260241</v>
      </c>
      <c r="N59" s="222">
        <v>0.25960439235260241</v>
      </c>
      <c r="O59" s="222">
        <v>0</v>
      </c>
      <c r="P59" s="222"/>
      <c r="Q59" s="219">
        <v>0.28789285534375736</v>
      </c>
      <c r="R59" s="219">
        <v>9.5964285114585782E-2</v>
      </c>
      <c r="S59" s="219">
        <v>0.9543030823737193</v>
      </c>
      <c r="T59" s="219">
        <v>0.28391268675189724</v>
      </c>
      <c r="U59" s="219">
        <v>0</v>
      </c>
      <c r="V59" s="219">
        <v>0</v>
      </c>
      <c r="W59" s="219">
        <v>0.25960439235260241</v>
      </c>
      <c r="X59" s="219">
        <v>0.25960439235260241</v>
      </c>
      <c r="Y59" s="219">
        <v>0.27023144112104613</v>
      </c>
      <c r="AA59" s="222">
        <v>0.45250275230364029</v>
      </c>
      <c r="AB59" s="222">
        <v>0.47458281432546323</v>
      </c>
      <c r="AC59" s="222">
        <v>4.5696917626280698E-2</v>
      </c>
      <c r="AD59" s="222">
        <v>0.49505197802593509</v>
      </c>
      <c r="AE59" s="222">
        <v>1</v>
      </c>
      <c r="AF59" s="222">
        <v>1</v>
      </c>
      <c r="AG59" s="222">
        <v>0.48079121529479524</v>
      </c>
      <c r="AH59" s="222">
        <v>0.48079121529479524</v>
      </c>
      <c r="AI59" s="222">
        <v>0.72976855887895387</v>
      </c>
    </row>
    <row r="60" spans="2:35" x14ac:dyDescent="0.25">
      <c r="B60">
        <v>2050</v>
      </c>
      <c r="C60" s="219">
        <v>0</v>
      </c>
      <c r="D60" s="219">
        <v>0</v>
      </c>
      <c r="E60" s="219">
        <v>1</v>
      </c>
      <c r="G60" s="222">
        <v>0.268624002910688</v>
      </c>
      <c r="H60" s="222">
        <v>0.45083401022496522</v>
      </c>
      <c r="I60" s="222">
        <v>0</v>
      </c>
      <c r="J60" s="222">
        <v>0.23079131851068085</v>
      </c>
      <c r="K60" s="222">
        <v>0</v>
      </c>
      <c r="L60" s="222">
        <v>0</v>
      </c>
      <c r="M60" s="222">
        <v>0.268624002910688</v>
      </c>
      <c r="N60" s="222">
        <v>0.268624002910688</v>
      </c>
      <c r="O60" s="222">
        <v>0</v>
      </c>
      <c r="P60" s="222"/>
      <c r="Q60" s="219">
        <v>0.28796418507905192</v>
      </c>
      <c r="R60" s="219">
        <v>9.5988061693017296E-2</v>
      </c>
      <c r="S60" s="219">
        <v>0.95457230762299217</v>
      </c>
      <c r="T60" s="219">
        <v>0.28389136626355221</v>
      </c>
      <c r="U60" s="219">
        <v>0</v>
      </c>
      <c r="V60" s="219">
        <v>0</v>
      </c>
      <c r="W60" s="219">
        <v>0.268624002910688</v>
      </c>
      <c r="X60" s="219">
        <v>0.268624002910688</v>
      </c>
      <c r="Y60" s="219">
        <v>0.27918844198897458</v>
      </c>
      <c r="AA60" s="222">
        <v>0.44341181201026009</v>
      </c>
      <c r="AB60" s="222">
        <v>0.4531779280820174</v>
      </c>
      <c r="AC60" s="222">
        <v>4.5427692377007833E-2</v>
      </c>
      <c r="AD60" s="222">
        <v>0.48531731522576688</v>
      </c>
      <c r="AE60" s="222">
        <v>1</v>
      </c>
      <c r="AF60" s="222">
        <v>1</v>
      </c>
      <c r="AG60" s="222">
        <v>0.462751994178624</v>
      </c>
      <c r="AH60" s="222">
        <v>0.462751994178624</v>
      </c>
      <c r="AI60" s="222">
        <v>0.72081155801102548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90AAD-3CEF-48FD-AEE6-9163FE66888A}">
  <sheetPr>
    <tabColor rgb="FF0070C0"/>
  </sheetPr>
  <dimension ref="A1:BB31"/>
  <sheetViews>
    <sheetView workbookViewId="0">
      <selection activeCell="AU34" sqref="AU34"/>
    </sheetView>
  </sheetViews>
  <sheetFormatPr defaultRowHeight="15" x14ac:dyDescent="0.25"/>
  <cols>
    <col min="1" max="1" width="8.28515625" customWidth="1"/>
    <col min="3" max="3" width="11.28515625" style="187" bestFit="1" customWidth="1"/>
    <col min="4" max="5" width="9.140625" style="187"/>
  </cols>
  <sheetData>
    <row r="1" spans="1:54" x14ac:dyDescent="0.25">
      <c r="A1" t="s">
        <v>79</v>
      </c>
      <c r="B1" t="s">
        <v>242</v>
      </c>
      <c r="C1" s="187" t="s">
        <v>534</v>
      </c>
      <c r="D1" s="187" t="s">
        <v>535</v>
      </c>
      <c r="E1" s="187" t="s">
        <v>536</v>
      </c>
      <c r="F1" s="187" t="s">
        <v>537</v>
      </c>
      <c r="G1" s="187" t="s">
        <v>538</v>
      </c>
      <c r="H1" t="s">
        <v>242</v>
      </c>
      <c r="I1" t="s">
        <v>94</v>
      </c>
      <c r="J1" t="s">
        <v>98</v>
      </c>
      <c r="K1" t="s">
        <v>99</v>
      </c>
      <c r="L1" t="s">
        <v>100</v>
      </c>
      <c r="M1" t="s">
        <v>101</v>
      </c>
      <c r="N1" t="s">
        <v>102</v>
      </c>
      <c r="O1" t="s">
        <v>103</v>
      </c>
      <c r="P1" t="s">
        <v>104</v>
      </c>
      <c r="Q1" t="s">
        <v>105</v>
      </c>
      <c r="R1" t="s">
        <v>106</v>
      </c>
      <c r="S1" t="s">
        <v>539</v>
      </c>
      <c r="T1" t="s">
        <v>242</v>
      </c>
      <c r="U1" t="s">
        <v>94</v>
      </c>
      <c r="V1" t="s">
        <v>98</v>
      </c>
      <c r="W1" t="s">
        <v>99</v>
      </c>
      <c r="X1" t="s">
        <v>100</v>
      </c>
      <c r="Y1" t="s">
        <v>101</v>
      </c>
      <c r="Z1" t="s">
        <v>102</v>
      </c>
      <c r="AA1" t="s">
        <v>103</v>
      </c>
      <c r="AB1" t="s">
        <v>104</v>
      </c>
      <c r="AC1" t="s">
        <v>105</v>
      </c>
      <c r="AD1" t="s">
        <v>106</v>
      </c>
      <c r="AE1" t="s">
        <v>540</v>
      </c>
      <c r="AF1" t="s">
        <v>242</v>
      </c>
      <c r="AG1" t="s">
        <v>94</v>
      </c>
      <c r="AH1" t="s">
        <v>98</v>
      </c>
      <c r="AI1" t="s">
        <v>99</v>
      </c>
      <c r="AJ1" t="s">
        <v>100</v>
      </c>
      <c r="AK1" t="s">
        <v>101</v>
      </c>
      <c r="AL1" t="s">
        <v>102</v>
      </c>
      <c r="AM1" t="s">
        <v>103</v>
      </c>
      <c r="AN1" t="s">
        <v>104</v>
      </c>
      <c r="AO1" t="s">
        <v>105</v>
      </c>
      <c r="AP1" t="s">
        <v>106</v>
      </c>
      <c r="AR1" t="s">
        <v>541</v>
      </c>
    </row>
    <row r="2" spans="1:54" x14ac:dyDescent="0.25">
      <c r="A2">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2">
        <v>2023</v>
      </c>
      <c r="C2" s="187">
        <f>VLOOKUP($B2,$H$1:$R$29,$A$2+2)</f>
        <v>675285.24944850127</v>
      </c>
      <c r="D2" s="187">
        <f t="shared" ref="D2:D29" si="0">VLOOKUP($B2,$T$1:$AD$29,$A$2+2)</f>
        <v>266510.45250805264</v>
      </c>
      <c r="E2" s="187">
        <f t="shared" ref="E2:E29" si="1">VLOOKUP($B2,$AF$1:$AP$29,$A$2+2)</f>
        <v>66912.368352393794</v>
      </c>
      <c r="F2" s="9">
        <f>[3]System!$TM2</f>
        <v>1008708.0703089478</v>
      </c>
      <c r="H2">
        <v>2023</v>
      </c>
      <c r="I2" s="9">
        <f>([3]ORRes!SI2+[3]WARes!SI2)/10</f>
        <v>670890.91180540808</v>
      </c>
      <c r="J2" s="9">
        <f>([3]ORRes!SJ2+[3]WARes!SJ2)/10</f>
        <v>669520.93663328909</v>
      </c>
      <c r="K2" s="9">
        <f>([3]ORRes!SK2+[3]WARes!SK2)/10</f>
        <v>668771.57596731128</v>
      </c>
      <c r="L2" s="9">
        <f>([3]ORRes!SL2+[3]WARes!SL2)/10</f>
        <v>669520.93663328909</v>
      </c>
      <c r="M2" s="9">
        <f>([3]ORRes!SM2+[3]WARes!SM2)/10</f>
        <v>669520.93663328909</v>
      </c>
      <c r="N2" s="9">
        <f>([3]ORRes!SN2+[3]WARes!SN2)/10</f>
        <v>675285.24944850127</v>
      </c>
      <c r="O2" s="9">
        <f>([3]ORRes!SO2+[3]WARes!SO2)/10</f>
        <v>650081.50461406028</v>
      </c>
      <c r="P2" s="9">
        <f>([3]ORRes!SP2+[3]WARes!SP2)/10</f>
        <v>669520.93663328909</v>
      </c>
      <c r="Q2" s="9">
        <f>([3]ORRes!SQ2+[3]WARes!SQ2)/10</f>
        <v>669520.93663328909</v>
      </c>
      <c r="R2" s="9">
        <f>([3]ORRes!SR2+[3]WARes!SR2)/10</f>
        <v>669520.93663328909</v>
      </c>
      <c r="S2" s="9"/>
      <c r="T2">
        <v>2023</v>
      </c>
      <c r="U2" s="9">
        <f>([3]ORCom!SI2+[3]WACom!SI2)/10</f>
        <v>266510.45250805264</v>
      </c>
      <c r="V2" s="9">
        <f>([3]ORCom!SJ2+[3]WACom!SJ2)/10</f>
        <v>259040.65497456267</v>
      </c>
      <c r="W2" s="9">
        <f>([3]ORCom!SK2+[3]WACom!SK2)/10</f>
        <v>258069.58129520895</v>
      </c>
      <c r="X2" s="9">
        <f>([3]ORCom!SL2+[3]WACom!SL2)/10</f>
        <v>259040.65497456267</v>
      </c>
      <c r="Y2" s="9">
        <f>([3]ORCom!SM2+[3]WACom!SM2)/10</f>
        <v>259040.65497456267</v>
      </c>
      <c r="Z2" s="9">
        <f>([3]ORCom!SN2+[3]WACom!SN2)/10</f>
        <v>266510.45250805264</v>
      </c>
      <c r="AA2" s="9">
        <f>([3]ORCom!SO2+[3]WACom!SO2)/10</f>
        <v>257111.09826863738</v>
      </c>
      <c r="AB2" s="9">
        <f>([3]ORCom!SP2+[3]WACom!SP2)/10</f>
        <v>259040.65497456267</v>
      </c>
      <c r="AC2" s="9">
        <f>([3]ORCom!SQ2+[3]WACom!SQ2)/10</f>
        <v>259040.65497456267</v>
      </c>
      <c r="AD2" s="9">
        <f>([3]ORCom!SR2+[3]WACom!SR2)/10</f>
        <v>259040.65497456267</v>
      </c>
      <c r="AE2" s="9"/>
      <c r="AF2">
        <v>2023</v>
      </c>
      <c r="AG2" s="9">
        <f>[3]System!TM2-I2-U2</f>
        <v>71306.705995487107</v>
      </c>
      <c r="AH2" s="9">
        <f>[3]System!TN2-J2-V2</f>
        <v>80146.478701095941</v>
      </c>
      <c r="AI2" s="9">
        <f>[3]System!TO2-K2-W2</f>
        <v>81866.913046427479</v>
      </c>
      <c r="AJ2" s="9">
        <f>[3]System!TP2-L2-X2</f>
        <v>80146.478701095941</v>
      </c>
      <c r="AK2" s="9">
        <f>[3]System!TQ2-M2-Y2</f>
        <v>80146.478701095941</v>
      </c>
      <c r="AL2" s="9">
        <f>[3]System!TR2-N2-Z2</f>
        <v>66912.368352393794</v>
      </c>
      <c r="AM2" s="9">
        <f>[3]System!TS2-O2-AA2</f>
        <v>101515.46742625016</v>
      </c>
      <c r="AN2" s="9">
        <f>[3]System!TT2-P2-AB2</f>
        <v>80146.478701095941</v>
      </c>
      <c r="AO2" s="9">
        <f>[3]System!TU2-Q2-AC2</f>
        <v>80146.478701095941</v>
      </c>
      <c r="AP2" s="9">
        <f>[3]System!TV2-R2-AD2</f>
        <v>80146.478701095941</v>
      </c>
      <c r="AQ2" s="9"/>
      <c r="AR2">
        <v>1010934.0785000001</v>
      </c>
      <c r="AS2" s="9"/>
      <c r="AT2" s="9"/>
      <c r="AU2" s="9"/>
      <c r="AV2" s="9"/>
      <c r="AW2" s="9"/>
      <c r="AX2" s="9"/>
      <c r="AY2" s="9"/>
      <c r="AZ2" s="9"/>
      <c r="BA2" s="9"/>
      <c r="BB2" s="9"/>
    </row>
    <row r="3" spans="1:54" x14ac:dyDescent="0.25">
      <c r="B3">
        <v>2024</v>
      </c>
      <c r="C3" s="187">
        <f t="shared" ref="C3:C29" si="2">VLOOKUP($B3,$H$1:$R$29,$A$2+2)</f>
        <v>683035.04424212803</v>
      </c>
      <c r="D3" s="187">
        <f t="shared" si="0"/>
        <v>269506.54524411878</v>
      </c>
      <c r="E3" s="187">
        <f t="shared" si="1"/>
        <v>65261.928245920222</v>
      </c>
      <c r="F3" s="9">
        <f>[3]System!$TM3</f>
        <v>1018190.9885531166</v>
      </c>
      <c r="H3">
        <v>2024</v>
      </c>
      <c r="I3" s="9">
        <f>([3]ORRes!SI3+[3]WARes!SI3)/10</f>
        <v>675557.65495852253</v>
      </c>
      <c r="J3" s="9">
        <f>([3]ORRes!SJ3+[3]WARes!SJ3)/10</f>
        <v>673257.95595270046</v>
      </c>
      <c r="K3" s="9">
        <f>([3]ORRes!SK3+[3]WARes!SK3)/10</f>
        <v>671986.93447507499</v>
      </c>
      <c r="L3" s="9">
        <f>([3]ORRes!SL3+[3]WARes!SL3)/10</f>
        <v>673257.95595270046</v>
      </c>
      <c r="M3" s="9">
        <f>([3]ORRes!SM3+[3]WARes!SM3)/10</f>
        <v>673257.95595270046</v>
      </c>
      <c r="N3" s="9">
        <f>([3]ORRes!SN3+[3]WARes!SN3)/10</f>
        <v>683035.04424212803</v>
      </c>
      <c r="O3" s="9">
        <f>([3]ORRes!SO3+[3]WARes!SO3)/10</f>
        <v>632758.68532393035</v>
      </c>
      <c r="P3" s="9">
        <f>([3]ORRes!SP3+[3]WARes!SP3)/10</f>
        <v>673257.95595270046</v>
      </c>
      <c r="Q3" s="9">
        <f>([3]ORRes!SQ3+[3]WARes!SQ3)/10</f>
        <v>673257.95595270046</v>
      </c>
      <c r="R3" s="9">
        <f>([3]ORRes!SR3+[3]WARes!SR3)/10</f>
        <v>673252.33415024588</v>
      </c>
      <c r="S3" s="9"/>
      <c r="T3">
        <v>2024</v>
      </c>
      <c r="U3" s="9">
        <f>([3]ORCom!SI3+[3]WACom!SI3)/10</f>
        <v>269506.54524411878</v>
      </c>
      <c r="V3" s="9">
        <f>([3]ORCom!SJ3+[3]WACom!SJ3)/10</f>
        <v>257574.37996882695</v>
      </c>
      <c r="W3" s="9">
        <f>([3]ORCom!SK3+[3]WACom!SK3)/10</f>
        <v>256023.19848303898</v>
      </c>
      <c r="X3" s="9">
        <f>([3]ORCom!SL3+[3]WACom!SL3)/10</f>
        <v>257574.37996882695</v>
      </c>
      <c r="Y3" s="9">
        <f>([3]ORCom!SM3+[3]WACom!SM3)/10</f>
        <v>257574.37996882695</v>
      </c>
      <c r="Z3" s="9">
        <f>([3]ORCom!SN3+[3]WACom!SN3)/10</f>
        <v>269506.54524411878</v>
      </c>
      <c r="AA3" s="9">
        <f>([3]ORCom!SO3+[3]WACom!SO3)/10</f>
        <v>250825.9365614751</v>
      </c>
      <c r="AB3" s="9">
        <f>([3]ORCom!SP3+[3]WACom!SP3)/10</f>
        <v>257574.37996882695</v>
      </c>
      <c r="AC3" s="9">
        <f>([3]ORCom!SQ3+[3]WACom!SQ3)/10</f>
        <v>257574.37996882695</v>
      </c>
      <c r="AD3" s="9">
        <f>([3]ORCom!SR3+[3]WACom!SR3)/10</f>
        <v>257574.37996882695</v>
      </c>
      <c r="AF3">
        <v>2024</v>
      </c>
      <c r="AG3" s="9">
        <f>[3]System!TM3-I3-U3</f>
        <v>73126.788350475254</v>
      </c>
      <c r="AH3" s="9">
        <f>[3]System!TN3-J3-V3</f>
        <v>79887.940861340321</v>
      </c>
      <c r="AI3" s="9">
        <f>[3]System!TO3-K3-W3</f>
        <v>80235.6618265211</v>
      </c>
      <c r="AJ3" s="9">
        <f>[3]System!TP3-L3-X3</f>
        <v>79887.940861340321</v>
      </c>
      <c r="AK3" s="9">
        <f>[3]System!TQ3-M3-Y3</f>
        <v>79887.940861340321</v>
      </c>
      <c r="AL3" s="9">
        <f>[3]System!TR3-N3-Z3</f>
        <v>65261.928245920222</v>
      </c>
      <c r="AM3" s="9">
        <f>[3]System!TS3-O3-AA3</f>
        <v>98120.868681104097</v>
      </c>
      <c r="AN3" s="9">
        <f>[3]System!TT3-P3-AB3</f>
        <v>79887.940861340321</v>
      </c>
      <c r="AO3" s="9">
        <f>[3]System!TU3-Q3-AC3</f>
        <v>79887.940861340321</v>
      </c>
      <c r="AP3" s="9">
        <f>[3]System!TV3-R3-AD3</f>
        <v>79887.857390575286</v>
      </c>
      <c r="AQ3" s="9"/>
      <c r="AR3">
        <v>990934.07850000006</v>
      </c>
      <c r="AS3" s="9"/>
      <c r="AT3" s="9"/>
      <c r="AU3" s="9"/>
      <c r="AV3" s="9"/>
      <c r="AW3" s="9"/>
      <c r="AX3" s="9"/>
      <c r="AY3" s="9"/>
      <c r="AZ3" s="9"/>
      <c r="BA3" s="9"/>
      <c r="BB3" s="9"/>
    </row>
    <row r="4" spans="1:54" x14ac:dyDescent="0.25">
      <c r="B4">
        <v>2025</v>
      </c>
      <c r="C4" s="187">
        <f t="shared" si="2"/>
        <v>668994.24872736156</v>
      </c>
      <c r="D4" s="187">
        <f t="shared" si="0"/>
        <v>264006.69033221982</v>
      </c>
      <c r="E4" s="187">
        <f t="shared" si="1"/>
        <v>63118.427936236607</v>
      </c>
      <c r="F4" s="9">
        <f>[3]System!$TM4</f>
        <v>1027863.9112472036</v>
      </c>
      <c r="H4">
        <v>2025</v>
      </c>
      <c r="I4" s="9">
        <f>([3]ORRes!SI4+[3]WARes!SI4)/10</f>
        <v>679816.80427505146</v>
      </c>
      <c r="J4" s="9">
        <f>([3]ORRes!SJ4+[3]WARes!SJ4)/10</f>
        <v>676020.48007043428</v>
      </c>
      <c r="K4" s="9">
        <f>([3]ORRes!SK4+[3]WARes!SK4)/10</f>
        <v>674504.73795870529</v>
      </c>
      <c r="L4" s="9">
        <f>([3]ORRes!SL4+[3]WARes!SL4)/10</f>
        <v>676503.63518324238</v>
      </c>
      <c r="M4" s="9">
        <f>([3]ORRes!SM4+[3]WARes!SM4)/10</f>
        <v>667209.37630492332</v>
      </c>
      <c r="N4" s="9">
        <f>([3]ORRes!SN4+[3]WARes!SN4)/10</f>
        <v>668994.24872736156</v>
      </c>
      <c r="O4" s="9">
        <f>([3]ORRes!SO4+[3]WARes!SO4)/10</f>
        <v>605683.21328678576</v>
      </c>
      <c r="P4" s="9">
        <f>([3]ORRes!SP4+[3]WARes!SP4)/10</f>
        <v>676020.48007043428</v>
      </c>
      <c r="Q4" s="9">
        <f>([3]ORRes!SQ4+[3]WARes!SQ4)/10</f>
        <v>676020.48007043428</v>
      </c>
      <c r="R4" s="9">
        <f>([3]ORRes!SR4+[3]WARes!SR4)/10</f>
        <v>676489.95991976385</v>
      </c>
      <c r="S4" s="9"/>
      <c r="T4">
        <v>2025</v>
      </c>
      <c r="U4" s="9">
        <f>([3]ORCom!SI4+[3]WACom!SI4)/10</f>
        <v>272994.99830102891</v>
      </c>
      <c r="V4" s="9">
        <f>([3]ORCom!SJ4+[3]WACom!SJ4)/10</f>
        <v>256385.35353205941</v>
      </c>
      <c r="W4" s="9">
        <f>([3]ORCom!SK4+[3]WACom!SK4)/10</f>
        <v>254362.40894898321</v>
      </c>
      <c r="X4" s="9">
        <f>([3]ORCom!SL4+[3]WACom!SL4)/10</f>
        <v>256571.46762105878</v>
      </c>
      <c r="Y4" s="9">
        <f>([3]ORCom!SM4+[3]WACom!SM4)/10</f>
        <v>251655.52964264937</v>
      </c>
      <c r="Z4" s="9">
        <f>([3]ORCom!SN4+[3]WACom!SN4)/10</f>
        <v>264006.69033221982</v>
      </c>
      <c r="AA4" s="9">
        <f>([3]ORCom!SO4+[3]WACom!SO4)/10</f>
        <v>240178.47343037403</v>
      </c>
      <c r="AB4" s="9">
        <f>([3]ORCom!SP4+[3]WACom!SP4)/10</f>
        <v>256385.35353205941</v>
      </c>
      <c r="AC4" s="9">
        <f>([3]ORCom!SQ4+[3]WACom!SQ4)/10</f>
        <v>256385.35353205941</v>
      </c>
      <c r="AD4" s="9">
        <f>([3]ORCom!SR4+[3]WACom!SR4)/10</f>
        <v>256571.46762105878</v>
      </c>
      <c r="AF4">
        <v>2025</v>
      </c>
      <c r="AG4" s="9">
        <f>[3]System!TM4-I4-U4</f>
        <v>75052.10867112322</v>
      </c>
      <c r="AH4" s="9">
        <f>[3]System!TN4-J4-V4</f>
        <v>79167.716833907703</v>
      </c>
      <c r="AI4" s="9">
        <f>[3]System!TO4-K4-W4</f>
        <v>78154.6027132085</v>
      </c>
      <c r="AJ4" s="9">
        <f>[3]System!TP4-L4-X4</f>
        <v>79177.653933747584</v>
      </c>
      <c r="AK4" s="9">
        <f>[3]System!TQ4-M4-Y4</f>
        <v>78966.665374089469</v>
      </c>
      <c r="AL4" s="9">
        <f>[3]System!TR4-N4-Z4</f>
        <v>63118.427936236607</v>
      </c>
      <c r="AM4" s="9">
        <f>[3]System!TS4-O4-AA4</f>
        <v>93771.821961537265</v>
      </c>
      <c r="AN4" s="9">
        <f>[3]System!TT4-P4-AB4</f>
        <v>79167.716833907703</v>
      </c>
      <c r="AO4" s="9">
        <f>[3]System!TU4-Q4-AC4</f>
        <v>79167.716833907703</v>
      </c>
      <c r="AP4" s="9">
        <f>[3]System!TV4-R4-AD4</f>
        <v>79177.450887711515</v>
      </c>
      <c r="AQ4" s="9"/>
      <c r="AR4">
        <v>990934.07850000006</v>
      </c>
      <c r="AS4" s="9"/>
      <c r="AT4" s="9"/>
      <c r="AU4" s="9"/>
      <c r="AV4" s="9"/>
      <c r="AW4" s="9"/>
      <c r="AX4" s="9"/>
      <c r="AY4" s="9"/>
      <c r="AZ4" s="9"/>
      <c r="BA4" s="9"/>
      <c r="BB4" s="9"/>
    </row>
    <row r="5" spans="1:54" x14ac:dyDescent="0.25">
      <c r="B5">
        <v>2026</v>
      </c>
      <c r="C5" s="187">
        <f t="shared" si="2"/>
        <v>655265.39557912352</v>
      </c>
      <c r="D5" s="187">
        <f t="shared" si="0"/>
        <v>258629.89100494282</v>
      </c>
      <c r="E5" s="187">
        <f t="shared" si="1"/>
        <v>61259.670117732487</v>
      </c>
      <c r="F5" s="9">
        <f>[3]System!$TM5</f>
        <v>1038545.3429191861</v>
      </c>
      <c r="H5">
        <v>2026</v>
      </c>
      <c r="I5" s="9">
        <f>([3]ORRes!SI5+[3]WARes!SI5)/10</f>
        <v>684539.33315740316</v>
      </c>
      <c r="J5" s="9">
        <f>([3]ORRes!SJ5+[3]WARes!SJ5)/10</f>
        <v>678644.31903742335</v>
      </c>
      <c r="K5" s="9">
        <f>([3]ORRes!SK5+[3]WARes!SK5)/10</f>
        <v>677143.71528887993</v>
      </c>
      <c r="L5" s="9">
        <f>([3]ORRes!SL5+[3]WARes!SL5)/10</f>
        <v>680090.33636582317</v>
      </c>
      <c r="M5" s="9">
        <f>([3]ORRes!SM5+[3]WARes!SM5)/10</f>
        <v>660959.82639008423</v>
      </c>
      <c r="N5" s="9">
        <f>([3]ORRes!SN5+[3]WARes!SN5)/10</f>
        <v>655265.39557912352</v>
      </c>
      <c r="O5" s="9">
        <f>([3]ORRes!SO5+[3]WARes!SO5)/10</f>
        <v>578926.88834056794</v>
      </c>
      <c r="P5" s="9">
        <f>([3]ORRes!SP5+[3]WARes!SP5)/10</f>
        <v>678644.31903742335</v>
      </c>
      <c r="Q5" s="9">
        <f>([3]ORRes!SQ5+[3]WARes!SQ5)/10</f>
        <v>678644.31903742335</v>
      </c>
      <c r="R5" s="9">
        <f>([3]ORRes!SR5+[3]WARes!SR5)/10</f>
        <v>680068.92527553532</v>
      </c>
      <c r="S5" s="9"/>
      <c r="T5">
        <v>2026</v>
      </c>
      <c r="U5" s="9">
        <f>([3]ORCom!SI5+[3]WACom!SI5)/10</f>
        <v>276956.21539548069</v>
      </c>
      <c r="V5" s="9">
        <f>([3]ORCom!SJ5+[3]WACom!SJ5)/10</f>
        <v>255595.02221231311</v>
      </c>
      <c r="W5" s="9">
        <f>([3]ORCom!SK5+[3]WACom!SK5)/10</f>
        <v>253227.90900400709</v>
      </c>
      <c r="X5" s="9">
        <f>([3]ORCom!SL5+[3]WACom!SL5)/10</f>
        <v>256154.12575022323</v>
      </c>
      <c r="Y5" s="9">
        <f>([3]ORCom!SM5+[3]WACom!SM5)/10</f>
        <v>245863.34394726128</v>
      </c>
      <c r="Z5" s="9">
        <f>([3]ORCom!SN5+[3]WACom!SN5)/10</f>
        <v>258629.89100494282</v>
      </c>
      <c r="AA5" s="9">
        <f>([3]ORCom!SO5+[3]WACom!SO5)/10</f>
        <v>229657.40314170244</v>
      </c>
      <c r="AB5" s="9">
        <f>([3]ORCom!SP5+[3]WACom!SP5)/10</f>
        <v>255595.02221231311</v>
      </c>
      <c r="AC5" s="9">
        <f>([3]ORCom!SQ5+[3]WACom!SQ5)/10</f>
        <v>255595.02221231311</v>
      </c>
      <c r="AD5" s="9">
        <f>([3]ORCom!SR5+[3]WACom!SR5)/10</f>
        <v>256154.12575022323</v>
      </c>
      <c r="AF5">
        <v>2026</v>
      </c>
      <c r="AG5" s="9">
        <f>[3]System!TM5-I5-U5</f>
        <v>77049.79436630226</v>
      </c>
      <c r="AH5" s="9">
        <f>[3]System!TN5-J5-V5</f>
        <v>78730.233497628738</v>
      </c>
      <c r="AI5" s="9">
        <f>[3]System!TO5-K5-W5</f>
        <v>76351.998630946182</v>
      </c>
      <c r="AJ5" s="9">
        <f>[3]System!TP5-L5-X5</f>
        <v>78760.004905286769</v>
      </c>
      <c r="AK5" s="9">
        <f>[3]System!TQ5-M5-Y5</f>
        <v>78323.166764460097</v>
      </c>
      <c r="AL5" s="9">
        <f>[3]System!TR5-N5-Z5</f>
        <v>61259.670117732487</v>
      </c>
      <c r="AM5" s="9">
        <f>[3]System!TS5-O5-AA5</f>
        <v>89738.190961318993</v>
      </c>
      <c r="AN5" s="9">
        <f>[3]System!TT5-P5-AB5</f>
        <v>78730.233497628738</v>
      </c>
      <c r="AO5" s="9">
        <f>[3]System!TU5-Q5-AC5</f>
        <v>78730.233497628738</v>
      </c>
      <c r="AP5" s="9">
        <f>[3]System!TV5-R5-AD5</f>
        <v>78759.687000113132</v>
      </c>
      <c r="AQ5" s="9"/>
      <c r="AR5">
        <v>990934.07850000006</v>
      </c>
      <c r="AS5" s="9"/>
      <c r="AT5" s="9"/>
      <c r="AU5" s="9"/>
      <c r="AV5" s="9"/>
      <c r="AW5" s="9"/>
      <c r="AX5" s="9"/>
      <c r="AY5" s="9"/>
      <c r="AZ5" s="9"/>
      <c r="BA5" s="9"/>
      <c r="BB5" s="9"/>
    </row>
    <row r="6" spans="1:54" x14ac:dyDescent="0.25">
      <c r="B6">
        <v>2027</v>
      </c>
      <c r="C6" s="187">
        <f t="shared" si="2"/>
        <v>643017.05406154983</v>
      </c>
      <c r="D6" s="187">
        <f t="shared" si="0"/>
        <v>253837.64421579699</v>
      </c>
      <c r="E6" s="187">
        <f t="shared" si="1"/>
        <v>59476.771479973075</v>
      </c>
      <c r="F6" s="9">
        <f>[3]System!$TM6</f>
        <v>1051100.7819269882</v>
      </c>
      <c r="H6">
        <v>2027</v>
      </c>
      <c r="I6" s="9">
        <f>([3]ORRes!SI6+[3]WARes!SI6)/10</f>
        <v>690563.85314821114</v>
      </c>
      <c r="J6" s="9">
        <f>([3]ORRes!SJ6+[3]WARes!SJ6)/10</f>
        <v>681942.03778368526</v>
      </c>
      <c r="K6" s="9">
        <f>([3]ORRes!SK6+[3]WARes!SK6)/10</f>
        <v>680602.21677544923</v>
      </c>
      <c r="L6" s="9">
        <f>([3]ORRes!SL6+[3]WARes!SL6)/10</f>
        <v>684817.67929011292</v>
      </c>
      <c r="M6" s="9">
        <f>([3]ORRes!SM6+[3]WARes!SM6)/10</f>
        <v>655688.77547022502</v>
      </c>
      <c r="N6" s="9">
        <f>([3]ORRes!SN6+[3]WARes!SN6)/10</f>
        <v>643017.05406154983</v>
      </c>
      <c r="O6" s="9">
        <f>([3]ORRes!SO6+[3]WARes!SO6)/10</f>
        <v>553475.94198317814</v>
      </c>
      <c r="P6" s="9">
        <f>([3]ORRes!SP6+[3]WARes!SP6)/10</f>
        <v>681942.03778368526</v>
      </c>
      <c r="Q6" s="9">
        <f>([3]ORRes!SQ6+[3]WARes!SQ6)/10</f>
        <v>681942.03778368526</v>
      </c>
      <c r="R6" s="9">
        <f>([3]ORRes!SR6+[3]WARes!SR6)/10</f>
        <v>684788.66169765056</v>
      </c>
      <c r="S6" s="9"/>
      <c r="T6">
        <v>2027</v>
      </c>
      <c r="U6" s="9">
        <f>([3]ORCom!SI6+[3]WACom!SI6)/10</f>
        <v>281287.93129843305</v>
      </c>
      <c r="V6" s="9">
        <f>([3]ORCom!SJ6+[3]WACom!SJ6)/10</f>
        <v>255099.65767439859</v>
      </c>
      <c r="W6" s="9">
        <f>([3]ORCom!SK6+[3]WACom!SK6)/10</f>
        <v>252464.04852201062</v>
      </c>
      <c r="X6" s="9">
        <f>([3]ORCom!SL6+[3]WACom!SL6)/10</f>
        <v>256196.49567282721</v>
      </c>
      <c r="Y6" s="9">
        <f>([3]ORCom!SM6+[3]WACom!SM6)/10</f>
        <v>240706.89195921383</v>
      </c>
      <c r="Z6" s="9">
        <f>([3]ORCom!SN6+[3]WACom!SN6)/10</f>
        <v>253837.64421579699</v>
      </c>
      <c r="AA6" s="9">
        <f>([3]ORCom!SO6+[3]WACom!SO6)/10</f>
        <v>219654.29583329186</v>
      </c>
      <c r="AB6" s="9">
        <f>([3]ORCom!SP6+[3]WACom!SP6)/10</f>
        <v>255099.65767439859</v>
      </c>
      <c r="AC6" s="9">
        <f>([3]ORCom!SQ6+[3]WACom!SQ6)/10</f>
        <v>255099.65767439859</v>
      </c>
      <c r="AD6" s="9">
        <f>([3]ORCom!SR6+[3]WACom!SR6)/10</f>
        <v>256196.49567282721</v>
      </c>
      <c r="AF6">
        <v>2027</v>
      </c>
      <c r="AG6" s="9">
        <f>[3]System!TM6-I6-U6</f>
        <v>79248.997480343969</v>
      </c>
      <c r="AH6" s="9">
        <f>[3]System!TN6-J6-V6</f>
        <v>78364.003630152001</v>
      </c>
      <c r="AI6" s="9">
        <f>[3]System!TO6-K6-W6</f>
        <v>74722.252122956852</v>
      </c>
      <c r="AJ6" s="9">
        <f>[3]System!TP6-L6-X6</f>
        <v>78422.985763717938</v>
      </c>
      <c r="AK6" s="9">
        <f>[3]System!TQ6-M6-Y6</f>
        <v>77760.504115257238</v>
      </c>
      <c r="AL6" s="9">
        <f>[3]System!TR6-N6-Z6</f>
        <v>59476.771479973075</v>
      </c>
      <c r="AM6" s="9">
        <f>[3]System!TS6-O6-AA6</f>
        <v>85855.858160872333</v>
      </c>
      <c r="AN6" s="9">
        <f>[3]System!TT6-P6-AB6</f>
        <v>78364.003630152001</v>
      </c>
      <c r="AO6" s="9">
        <f>[3]System!TU6-Q6-AC6</f>
        <v>78364.003630152001</v>
      </c>
      <c r="AP6" s="9">
        <f>[3]System!TV6-R6-AD6</f>
        <v>78422.554919578164</v>
      </c>
      <c r="AQ6" s="9"/>
      <c r="AR6">
        <v>990934.07850000006</v>
      </c>
      <c r="AS6" s="9"/>
      <c r="AT6" s="9"/>
      <c r="AU6" s="9"/>
      <c r="AV6" s="9"/>
      <c r="AW6" s="9"/>
      <c r="AX6" s="9"/>
      <c r="AY6" s="9"/>
      <c r="AZ6" s="9"/>
      <c r="BA6" s="9"/>
      <c r="BB6" s="9"/>
    </row>
    <row r="7" spans="1:54" x14ac:dyDescent="0.25">
      <c r="B7">
        <v>2028</v>
      </c>
      <c r="C7" s="187">
        <f t="shared" si="2"/>
        <v>629084.65612968011</v>
      </c>
      <c r="D7" s="187">
        <f t="shared" si="0"/>
        <v>248380.37948055775</v>
      </c>
      <c r="E7" s="187">
        <f t="shared" si="1"/>
        <v>57960.523526621633</v>
      </c>
      <c r="F7" s="9">
        <f>[3]System!$TM7</f>
        <v>1060814.7781622466</v>
      </c>
      <c r="H7">
        <v>2028</v>
      </c>
      <c r="I7" s="9">
        <f>([3]ORRes!SI7+[3]WARes!SI7)/10</f>
        <v>694547.71425166551</v>
      </c>
      <c r="J7" s="9">
        <f>([3]ORRes!SJ7+[3]WARes!SJ7)/10</f>
        <v>682582.40796643985</v>
      </c>
      <c r="K7" s="9">
        <f>([3]ORRes!SK7+[3]WARes!SK7)/10</f>
        <v>681541.41037144768</v>
      </c>
      <c r="L7" s="9">
        <f>([3]ORRes!SL7+[3]WARes!SL7)/10</f>
        <v>687330.7196856417</v>
      </c>
      <c r="M7" s="9">
        <f>([3]ORRes!SM7+[3]WARes!SM7)/10</f>
        <v>648132.94287059805</v>
      </c>
      <c r="N7" s="9">
        <f>([3]ORRes!SN7+[3]WARes!SN7)/10</f>
        <v>629084.65612968011</v>
      </c>
      <c r="O7" s="9">
        <f>([3]ORRes!SO7+[3]WARes!SO7)/10</f>
        <v>526580.3969838348</v>
      </c>
      <c r="P7" s="9">
        <f>([3]ORRes!SP7+[3]WARes!SP7)/10</f>
        <v>682582.40796643985</v>
      </c>
      <c r="Q7" s="9">
        <f>([3]ORRes!SQ7+[3]WARes!SQ7)/10</f>
        <v>682582.40796643985</v>
      </c>
      <c r="R7" s="9">
        <f>([3]ORRes!SR7+[3]WARes!SR7)/10</f>
        <v>687294.34097927669</v>
      </c>
      <c r="S7" s="9"/>
      <c r="T7">
        <v>2028</v>
      </c>
      <c r="U7" s="9">
        <f>([3]ORCom!SI7+[3]WACom!SI7)/10</f>
        <v>284639.4400098687</v>
      </c>
      <c r="V7" s="9">
        <f>([3]ORCom!SJ7+[3]WACom!SJ7)/10</f>
        <v>253685.11928584822</v>
      </c>
      <c r="W7" s="9">
        <f>([3]ORCom!SK7+[3]WACom!SK7)/10</f>
        <v>250864.04665792448</v>
      </c>
      <c r="X7" s="9">
        <f>([3]ORCom!SL7+[3]WACom!SL7)/10</f>
        <v>255465.17928591571</v>
      </c>
      <c r="Y7" s="9">
        <f>([3]ORCom!SM7+[3]WACom!SM7)/10</f>
        <v>235007.32370699724</v>
      </c>
      <c r="Z7" s="9">
        <f>([3]ORCom!SN7+[3]WACom!SN7)/10</f>
        <v>248380.37948055775</v>
      </c>
      <c r="AA7" s="9">
        <f>([3]ORCom!SO7+[3]WACom!SO7)/10</f>
        <v>209077.76341928419</v>
      </c>
      <c r="AB7" s="9">
        <f>([3]ORCom!SP7+[3]WACom!SP7)/10</f>
        <v>253685.11928584822</v>
      </c>
      <c r="AC7" s="9">
        <f>([3]ORCom!SQ7+[3]WACom!SQ7)/10</f>
        <v>253685.11928584822</v>
      </c>
      <c r="AD7" s="9">
        <f>([3]ORCom!SR7+[3]WACom!SR7)/10</f>
        <v>255465.17928591571</v>
      </c>
      <c r="AF7">
        <v>2028</v>
      </c>
      <c r="AG7" s="9">
        <f>[3]System!TM7-I7-U7</f>
        <v>81627.623900712351</v>
      </c>
      <c r="AH7" s="9">
        <f>[3]System!TN7-J7-V7</f>
        <v>78242.183979192632</v>
      </c>
      <c r="AI7" s="9">
        <f>[3]System!TO7-K7-W7</f>
        <v>73347.544023951341</v>
      </c>
      <c r="AJ7" s="9">
        <f>[3]System!TP7-L7-X7</f>
        <v>78339.11520117693</v>
      </c>
      <c r="AK7" s="9">
        <f>[3]System!TQ7-M7-Y7</f>
        <v>77453.367024623876</v>
      </c>
      <c r="AL7" s="9">
        <f>[3]System!TR7-N7-Z7</f>
        <v>57960.523526621633</v>
      </c>
      <c r="AM7" s="9">
        <f>[3]System!TS7-O7-AA7</f>
        <v>82166.82821259083</v>
      </c>
      <c r="AN7" s="9">
        <f>[3]System!TT7-P7-AB7</f>
        <v>78242.183979192632</v>
      </c>
      <c r="AO7" s="9">
        <f>[3]System!TU7-Q7-AC7</f>
        <v>78242.183979192632</v>
      </c>
      <c r="AP7" s="9">
        <f>[3]System!TV7-R7-AD7</f>
        <v>78338.575061519834</v>
      </c>
      <c r="AQ7" s="9"/>
      <c r="AR7">
        <v>799434.07850000006</v>
      </c>
      <c r="AS7" s="9"/>
      <c r="AT7" s="9"/>
      <c r="AU7" s="9"/>
      <c r="AV7" s="9"/>
      <c r="AW7" s="9"/>
      <c r="AX7" s="9"/>
      <c r="AY7" s="9"/>
      <c r="AZ7" s="9"/>
      <c r="BA7" s="9"/>
      <c r="BB7" s="9"/>
    </row>
    <row r="8" spans="1:54" x14ac:dyDescent="0.25">
      <c r="B8">
        <v>2029</v>
      </c>
      <c r="C8" s="187">
        <f t="shared" si="2"/>
        <v>616530.78223896504</v>
      </c>
      <c r="D8" s="187">
        <f t="shared" si="0"/>
        <v>243467.52822751441</v>
      </c>
      <c r="E8" s="187">
        <f t="shared" si="1"/>
        <v>56145.527010719699</v>
      </c>
      <c r="F8" s="9">
        <f>[3]System!$TM8</f>
        <v>1072523.6442844223</v>
      </c>
      <c r="H8">
        <v>2029</v>
      </c>
      <c r="I8" s="9">
        <f>([3]ORRes!SI8+[3]WARes!SI8)/10</f>
        <v>699942.20003278425</v>
      </c>
      <c r="J8" s="9">
        <f>([3]ORRes!SJ8+[3]WARes!SJ8)/10</f>
        <v>683910.23439102632</v>
      </c>
      <c r="K8" s="9">
        <f>([3]ORRes!SK8+[3]WARes!SK8)/10</f>
        <v>683210.63944192964</v>
      </c>
      <c r="L8" s="9">
        <f>([3]ORRes!SL8+[3]WARes!SL8)/10</f>
        <v>690977.15282146283</v>
      </c>
      <c r="M8" s="9">
        <f>([3]ORRes!SM8+[3]WARes!SM8)/10</f>
        <v>641568.31285377406</v>
      </c>
      <c r="N8" s="9">
        <f>([3]ORRes!SN8+[3]WARes!SN8)/10</f>
        <v>616530.78223896504</v>
      </c>
      <c r="O8" s="9">
        <f>([3]ORRes!SO8+[3]WARes!SO8)/10</f>
        <v>500848.20288269932</v>
      </c>
      <c r="P8" s="9">
        <f>([3]ORRes!SP8+[3]WARes!SP8)/10</f>
        <v>683910.23439102632</v>
      </c>
      <c r="Q8" s="9">
        <f>([3]ORRes!SQ8+[3]WARes!SQ8)/10</f>
        <v>683910.23439102632</v>
      </c>
      <c r="R8" s="9">
        <f>([3]ORRes!SR8+[3]WARes!SR8)/10</f>
        <v>690933.84330143454</v>
      </c>
      <c r="S8" s="9"/>
      <c r="T8">
        <v>2029</v>
      </c>
      <c r="U8" s="9">
        <f>([3]ORCom!SI8+[3]WACom!SI8)/10</f>
        <v>288395.30114356248</v>
      </c>
      <c r="V8" s="9">
        <f>([3]ORCom!SJ8+[3]WACom!SJ8)/10</f>
        <v>252585.65714048943</v>
      </c>
      <c r="W8" s="9">
        <f>([3]ORCom!SK8+[3]WACom!SK8)/10</f>
        <v>249608.76110719741</v>
      </c>
      <c r="X8" s="9">
        <f>([3]ORCom!SL8+[3]WACom!SL8)/10</f>
        <v>255189.9186543455</v>
      </c>
      <c r="Y8" s="9">
        <f>([3]ORCom!SM8+[3]WACom!SM8)/10</f>
        <v>229880.94538564738</v>
      </c>
      <c r="Z8" s="9">
        <f>([3]ORCom!SN8+[3]WACom!SN8)/10</f>
        <v>243467.52822751441</v>
      </c>
      <c r="AA8" s="9">
        <f>([3]ORCom!SO8+[3]WACom!SO8)/10</f>
        <v>198963.1244825086</v>
      </c>
      <c r="AB8" s="9">
        <f>([3]ORCom!SP8+[3]WACom!SP8)/10</f>
        <v>252585.65714048943</v>
      </c>
      <c r="AC8" s="9">
        <f>([3]ORCom!SQ8+[3]WACom!SQ8)/10</f>
        <v>252585.65714048943</v>
      </c>
      <c r="AD8" s="9">
        <f>([3]ORCom!SR8+[3]WACom!SR8)/10</f>
        <v>255189.9186543455</v>
      </c>
      <c r="AF8">
        <v>2029</v>
      </c>
      <c r="AG8" s="9">
        <f>[3]System!TM8-I8-U8</f>
        <v>84186.143108075543</v>
      </c>
      <c r="AH8" s="9">
        <f>[3]System!TN8-J8-V8</f>
        <v>77767.369312568684</v>
      </c>
      <c r="AI8" s="9">
        <f>[3]System!TO8-K8-W8</f>
        <v>71829.709004564182</v>
      </c>
      <c r="AJ8" s="9">
        <f>[3]System!TP8-L8-X8</f>
        <v>77910.963968379365</v>
      </c>
      <c r="AK8" s="9">
        <f>[3]System!TQ8-M8-Y8</f>
        <v>76801.577240348182</v>
      </c>
      <c r="AL8" s="9">
        <f>[3]System!TR8-N8-Z8</f>
        <v>56145.527010719699</v>
      </c>
      <c r="AM8" s="9">
        <f>[3]System!TS8-O8-AA8</f>
        <v>78257.085878307378</v>
      </c>
      <c r="AN8" s="9">
        <f>[3]System!TT8-P8-AB8</f>
        <v>77767.369312568684</v>
      </c>
      <c r="AO8" s="9">
        <f>[3]System!TU8-Q8-AC8</f>
        <v>77767.369312568684</v>
      </c>
      <c r="AP8" s="9">
        <f>[3]System!TV8-R8-AD8</f>
        <v>77910.32092216803</v>
      </c>
      <c r="AQ8" s="9"/>
      <c r="AR8">
        <v>799434.07850000006</v>
      </c>
      <c r="AS8" s="9"/>
      <c r="AT8" s="9"/>
      <c r="AU8" s="9"/>
      <c r="AV8" s="9"/>
      <c r="AW8" s="9"/>
      <c r="AX8" s="9"/>
      <c r="AY8" s="9"/>
      <c r="AZ8" s="9"/>
      <c r="BA8" s="9"/>
      <c r="BB8" s="9"/>
    </row>
    <row r="9" spans="1:54" x14ac:dyDescent="0.25">
      <c r="B9">
        <v>2030</v>
      </c>
      <c r="C9" s="187">
        <f t="shared" si="2"/>
        <v>602199.07037465367</v>
      </c>
      <c r="D9" s="187">
        <f t="shared" si="0"/>
        <v>237852.36563617853</v>
      </c>
      <c r="E9" s="187">
        <f t="shared" si="1"/>
        <v>54643.608187572798</v>
      </c>
      <c r="F9" s="9">
        <f>[3]System!$TM9</f>
        <v>1081316.4839979326</v>
      </c>
      <c r="H9">
        <v>2030</v>
      </c>
      <c r="I9" s="9">
        <f>([3]ORRes!SI9+[3]WARes!SI9)/10</f>
        <v>703173.96758816729</v>
      </c>
      <c r="J9" s="9">
        <f>([3]ORRes!SJ9+[3]WARes!SJ9)/10</f>
        <v>682290.16626861517</v>
      </c>
      <c r="K9" s="9">
        <f>([3]ORRes!SK9+[3]WARes!SK9)/10</f>
        <v>681950.98299739498</v>
      </c>
      <c r="L9" s="9">
        <f>([3]ORRes!SL9+[3]WARes!SL9)/10</f>
        <v>692065.68583943776</v>
      </c>
      <c r="M9" s="9">
        <f>([3]ORRes!SM9+[3]WARes!SM9)/10</f>
        <v>633039.54752412287</v>
      </c>
      <c r="N9" s="9">
        <f>([3]ORRes!SN9+[3]WARes!SN9)/10</f>
        <v>602199.07037465367</v>
      </c>
      <c r="O9" s="9">
        <f>([3]ORRes!SO9+[3]WARes!SO9)/10</f>
        <v>473696.07816644537</v>
      </c>
      <c r="P9" s="9">
        <f>([3]ORRes!SP9+[3]WARes!SP9)/10</f>
        <v>682290.16626861517</v>
      </c>
      <c r="Q9" s="9">
        <f>([3]ORRes!SQ9+[3]WARes!SQ9)/10</f>
        <v>682290.16626861517</v>
      </c>
      <c r="R9" s="9">
        <f>([3]ORRes!SR9+[3]WARes!SR9)/10</f>
        <v>692016.05841821933</v>
      </c>
      <c r="S9" s="9"/>
      <c r="T9">
        <v>2030</v>
      </c>
      <c r="U9" s="9">
        <f>([3]ORCom!SI9+[3]WACom!SI9)/10</f>
        <v>291317.27369979827</v>
      </c>
      <c r="V9" s="9">
        <f>([3]ORCom!SJ9+[3]WACom!SJ9)/10</f>
        <v>250767.41948514403</v>
      </c>
      <c r="W9" s="9">
        <f>([3]ORCom!SK9+[3]WACom!SK9)/10</f>
        <v>247688.43041847265</v>
      </c>
      <c r="X9" s="9">
        <f>([3]ORCom!SL9+[3]WACom!SL9)/10</f>
        <v>254328.64318043389</v>
      </c>
      <c r="Y9" s="9">
        <f>([3]ORCom!SM9+[3]WACom!SM9)/10</f>
        <v>224346.67282445595</v>
      </c>
      <c r="Z9" s="9">
        <f>([3]ORCom!SN9+[3]WACom!SN9)/10</f>
        <v>237852.36563617853</v>
      </c>
      <c r="AA9" s="9">
        <f>([3]ORCom!SO9+[3]WACom!SO9)/10</f>
        <v>188284.25951236271</v>
      </c>
      <c r="AB9" s="9">
        <f>([3]ORCom!SP9+[3]WACom!SP9)/10</f>
        <v>250767.41948514403</v>
      </c>
      <c r="AC9" s="9">
        <f>([3]ORCom!SQ9+[3]WACom!SQ9)/10</f>
        <v>250767.41948514403</v>
      </c>
      <c r="AD9" s="9">
        <f>([3]ORCom!SR9+[3]WACom!SR9)/10</f>
        <v>254328.64318043389</v>
      </c>
      <c r="AF9">
        <v>2030</v>
      </c>
      <c r="AG9" s="9">
        <f>[3]System!TM9-I9-U9</f>
        <v>86825.242709967075</v>
      </c>
      <c r="AH9" s="9">
        <f>[3]System!TN9-J9-V9</f>
        <v>77604.54048279085</v>
      </c>
      <c r="AI9" s="9">
        <f>[3]System!TO9-K9-W9</f>
        <v>70659.589412461472</v>
      </c>
      <c r="AJ9" s="9">
        <f>[3]System!TP9-L9-X9</f>
        <v>77802.560276648728</v>
      </c>
      <c r="AK9" s="9">
        <f>[3]System!TQ9-M9-Y9</f>
        <v>76480.995710316056</v>
      </c>
      <c r="AL9" s="9">
        <f>[3]System!TR9-N9-Z9</f>
        <v>54643.608187572798</v>
      </c>
      <c r="AM9" s="9">
        <f>[3]System!TS9-O9-AA9</f>
        <v>74579.450940644543</v>
      </c>
      <c r="AN9" s="9">
        <f>[3]System!TT9-P9-AB9</f>
        <v>77604.54048279085</v>
      </c>
      <c r="AO9" s="9">
        <f>[3]System!TU9-Q9-AC9</f>
        <v>77604.54048279085</v>
      </c>
      <c r="AP9" s="9">
        <f>[3]System!TV9-R9-AD9</f>
        <v>77801.823424216127</v>
      </c>
      <c r="AQ9" s="9"/>
      <c r="AR9">
        <v>799434.07850000006</v>
      </c>
      <c r="AS9" s="9"/>
      <c r="AT9" s="9"/>
      <c r="AU9" s="9"/>
      <c r="AV9" s="9"/>
      <c r="AW9" s="9"/>
      <c r="AX9" s="9"/>
      <c r="AY9" s="9"/>
      <c r="AZ9" s="9"/>
      <c r="BA9" s="9"/>
      <c r="BB9" s="9"/>
    </row>
    <row r="10" spans="1:54" x14ac:dyDescent="0.25">
      <c r="B10">
        <v>2031</v>
      </c>
      <c r="C10" s="187">
        <f t="shared" si="2"/>
        <v>588786.98148952774</v>
      </c>
      <c r="D10" s="187">
        <f t="shared" si="0"/>
        <v>232600.40396146345</v>
      </c>
      <c r="E10" s="187">
        <f t="shared" si="1"/>
        <v>53210.598420818715</v>
      </c>
      <c r="F10" s="9">
        <f>[3]System!$TM10</f>
        <v>1091507.0816769446</v>
      </c>
      <c r="H10">
        <v>2031</v>
      </c>
      <c r="I10" s="9">
        <f>([3]ORRes!SI10+[3]WARes!SI10)/10</f>
        <v>707373.17365443474</v>
      </c>
      <c r="J10" s="9">
        <f>([3]ORRes!SJ10+[3]WARes!SJ10)/10</f>
        <v>681425.90480552078</v>
      </c>
      <c r="K10" s="9">
        <f>([3]ORRes!SK10+[3]WARes!SK10)/10</f>
        <v>680950.5576997844</v>
      </c>
      <c r="L10" s="9">
        <f>([3]ORRes!SL10+[3]WARes!SL10)/10</f>
        <v>693860.55039137381</v>
      </c>
      <c r="M10" s="9">
        <f>([3]ORRes!SM10+[3]WARes!SM10)/10</f>
        <v>625550.58402541198</v>
      </c>
      <c r="N10" s="9">
        <f>([3]ORRes!SN10+[3]WARes!SN10)/10</f>
        <v>588786.98148952774</v>
      </c>
      <c r="O10" s="9">
        <f>([3]ORRes!SO10+[3]WARes!SO10)/10</f>
        <v>447312.39228995686</v>
      </c>
      <c r="P10" s="9">
        <f>([3]ORRes!SP10+[3]WARes!SP10)/10</f>
        <v>681425.90480552078</v>
      </c>
      <c r="Q10" s="9">
        <f>([3]ORRes!SQ10+[3]WARes!SQ10)/10</f>
        <v>681425.90480552078</v>
      </c>
      <c r="R10" s="9">
        <f>([3]ORRes!SR10+[3]WARes!SR10)/10</f>
        <v>693804.84717872681</v>
      </c>
      <c r="S10" s="9"/>
      <c r="T10">
        <v>2031</v>
      </c>
      <c r="U10" s="9">
        <f>([3]ORCom!SI10+[3]WACom!SI10)/10</f>
        <v>294626.91004829796</v>
      </c>
      <c r="V10" s="9">
        <f>([3]ORCom!SJ10+[3]WACom!SJ10)/10</f>
        <v>249487.28138491084</v>
      </c>
      <c r="W10" s="9">
        <f>([3]ORCom!SK10+[3]WACom!SK10)/10</f>
        <v>246152.66225654478</v>
      </c>
      <c r="X10" s="9">
        <f>([3]ORCom!SL10+[3]WACom!SL10)/10</f>
        <v>253976.4715846208</v>
      </c>
      <c r="Y10" s="9">
        <f>([3]ORCom!SM10+[3]WACom!SM10)/10</f>
        <v>219491.54426156296</v>
      </c>
      <c r="Z10" s="9">
        <f>([3]ORCom!SN10+[3]WACom!SN10)/10</f>
        <v>232600.40396146345</v>
      </c>
      <c r="AA10" s="9">
        <f>([3]ORCom!SO10+[3]WACom!SO10)/10</f>
        <v>177910.53707391323</v>
      </c>
      <c r="AB10" s="9">
        <f>([3]ORCom!SP10+[3]WACom!SP10)/10</f>
        <v>249487.28138491084</v>
      </c>
      <c r="AC10" s="9">
        <f>([3]ORCom!SQ10+[3]WACom!SQ10)/10</f>
        <v>249487.28138491084</v>
      </c>
      <c r="AD10" s="9">
        <f>([3]ORCom!SR10+[3]WACom!SR10)/10</f>
        <v>253976.4715846208</v>
      </c>
      <c r="AF10">
        <v>2031</v>
      </c>
      <c r="AG10" s="9">
        <f>[3]System!TM10-I10-U10</f>
        <v>89506.997974211932</v>
      </c>
      <c r="AH10" s="9">
        <f>[3]System!TN10-J10-V10</f>
        <v>77536.699783306656</v>
      </c>
      <c r="AI10" s="9">
        <f>[3]System!TO10-K10-W10</f>
        <v>69669.396980671125</v>
      </c>
      <c r="AJ10" s="9">
        <f>[3]System!TP10-L10-X10</f>
        <v>77787.979605274595</v>
      </c>
      <c r="AK10" s="9">
        <f>[3]System!TQ10-M10-Y10</f>
        <v>76261.713165875903</v>
      </c>
      <c r="AL10" s="9">
        <f>[3]System!TR10-N10-Z10</f>
        <v>53210.598420818715</v>
      </c>
      <c r="AM10" s="9">
        <f>[3]System!TS10-O10-AA10</f>
        <v>71006.626787706715</v>
      </c>
      <c r="AN10" s="9">
        <f>[3]System!TT10-P10-AB10</f>
        <v>77536.699783306656</v>
      </c>
      <c r="AO10" s="9">
        <f>[3]System!TU10-Q10-AC10</f>
        <v>77536.699783306656</v>
      </c>
      <c r="AP10" s="9">
        <f>[3]System!TV10-R10-AD10</f>
        <v>77787.152541390591</v>
      </c>
      <c r="AQ10" s="9"/>
      <c r="AR10">
        <v>799434.07850000006</v>
      </c>
      <c r="AS10" s="9"/>
      <c r="AT10" s="9"/>
      <c r="AU10" s="9"/>
      <c r="AV10" s="9"/>
      <c r="AW10" s="9"/>
      <c r="AX10" s="9"/>
      <c r="AY10" s="9"/>
      <c r="AZ10" s="9"/>
      <c r="BA10" s="9"/>
      <c r="BB10" s="9"/>
    </row>
    <row r="11" spans="1:54" x14ac:dyDescent="0.25">
      <c r="B11">
        <v>2032</v>
      </c>
      <c r="C11" s="187">
        <f t="shared" si="2"/>
        <v>575879.10665229254</v>
      </c>
      <c r="D11" s="187">
        <f t="shared" si="0"/>
        <v>227547.65201464458</v>
      </c>
      <c r="E11" s="187">
        <f t="shared" si="1"/>
        <v>52026.733226558543</v>
      </c>
      <c r="F11" s="9">
        <f>[3]System!$TM11</f>
        <v>1102272.6376432604</v>
      </c>
      <c r="H11">
        <v>2032</v>
      </c>
      <c r="I11" s="9">
        <f>([3]ORRes!SI11+[3]WARes!SI11)/10</f>
        <v>711952.58916784415</v>
      </c>
      <c r="J11" s="9">
        <f>([3]ORRes!SJ11+[3]WARes!SJ11)/10</f>
        <v>679840.65617051278</v>
      </c>
      <c r="K11" s="9">
        <f>([3]ORRes!SK11+[3]WARes!SK11)/10</f>
        <v>678617.09442783485</v>
      </c>
      <c r="L11" s="9">
        <f>([3]ORRes!SL11+[3]WARes!SL11)/10</f>
        <v>694837.03336690716</v>
      </c>
      <c r="M11" s="9">
        <f>([3]ORRes!SM11+[3]WARes!SM11)/10</f>
        <v>618449.66285768489</v>
      </c>
      <c r="N11" s="9">
        <f>([3]ORRes!SN11+[3]WARes!SN11)/10</f>
        <v>575879.10665229254</v>
      </c>
      <c r="O11" s="9">
        <f>([3]ORRes!SO11+[3]WARes!SO11)/10</f>
        <v>421320.63811839966</v>
      </c>
      <c r="P11" s="9">
        <f>([3]ORRes!SP11+[3]WARes!SP11)/10</f>
        <v>679840.65617051278</v>
      </c>
      <c r="Q11" s="9">
        <f>([3]ORRes!SQ11+[3]WARes!SQ11)/10</f>
        <v>679840.65617051278</v>
      </c>
      <c r="R11" s="9">
        <f>([3]ORRes!SR11+[3]WARes!SR11)/10</f>
        <v>694775.34998424607</v>
      </c>
      <c r="S11" s="9"/>
      <c r="T11">
        <v>2032</v>
      </c>
      <c r="U11" s="9">
        <f>([3]ORCom!SI11+[3]WACom!SI11)/10</f>
        <v>298054.14087435335</v>
      </c>
      <c r="V11" s="9">
        <f>([3]ORCom!SJ11+[3]WACom!SJ11)/10</f>
        <v>248603.16194514596</v>
      </c>
      <c r="W11" s="9">
        <f>([3]ORCom!SK11+[3]WACom!SK11)/10</f>
        <v>244885.89466425203</v>
      </c>
      <c r="X11" s="9">
        <f>([3]ORCom!SL11+[3]WACom!SL11)/10</f>
        <v>253989.01892634612</v>
      </c>
      <c r="Y11" s="9">
        <f>([3]ORCom!SM11+[3]WACom!SM11)/10</f>
        <v>215210.1626177892</v>
      </c>
      <c r="Z11" s="9">
        <f>([3]ORCom!SN11+[3]WACom!SN11)/10</f>
        <v>227547.65201464458</v>
      </c>
      <c r="AA11" s="9">
        <f>([3]ORCom!SO11+[3]WACom!SO11)/10</f>
        <v>167692.61854716591</v>
      </c>
      <c r="AB11" s="9">
        <f>([3]ORCom!SP11+[3]WACom!SP11)/10</f>
        <v>248603.16194514596</v>
      </c>
      <c r="AC11" s="9">
        <f>([3]ORCom!SQ11+[3]WACom!SQ11)/10</f>
        <v>248603.16194514596</v>
      </c>
      <c r="AD11" s="9">
        <f>([3]ORCom!SR11+[3]WACom!SR11)/10</f>
        <v>253989.01892634612</v>
      </c>
      <c r="AF11">
        <v>2032</v>
      </c>
      <c r="AG11" s="9">
        <f>[3]System!TM11-I11-U11</f>
        <v>92265.907601062907</v>
      </c>
      <c r="AH11" s="9">
        <f>[3]System!TN11-J11-V11</f>
        <v>77780.297063433303</v>
      </c>
      <c r="AI11" s="9">
        <f>[3]System!TO11-K11-W11</f>
        <v>68979.534808163327</v>
      </c>
      <c r="AJ11" s="9">
        <f>[3]System!TP11-L11-X11</f>
        <v>78082.926103348116</v>
      </c>
      <c r="AK11" s="9">
        <f>[3]System!TQ11-M11-Y11</f>
        <v>76372.973977944377</v>
      </c>
      <c r="AL11" s="9">
        <f>[3]System!TR11-N11-Z11</f>
        <v>52026.733226558543</v>
      </c>
      <c r="AM11" s="9">
        <f>[3]System!TS11-O11-AA11</f>
        <v>67677.551121007156</v>
      </c>
      <c r="AN11" s="9">
        <f>[3]System!TT11-P11-AB11</f>
        <v>77780.297063433303</v>
      </c>
      <c r="AO11" s="9">
        <f>[3]System!TU11-Q11-AC11</f>
        <v>77780.297063433303</v>
      </c>
      <c r="AP11" s="9">
        <f>[3]System!TV11-R11-AD11</f>
        <v>78082.010247769504</v>
      </c>
      <c r="AQ11" s="9"/>
      <c r="AR11">
        <v>799434.07850000006</v>
      </c>
      <c r="AS11" s="9"/>
      <c r="AT11" s="9"/>
      <c r="AU11" s="9"/>
      <c r="AV11" s="9"/>
      <c r="AW11" s="9"/>
      <c r="AX11" s="9"/>
      <c r="AY11" s="9"/>
      <c r="AZ11" s="9"/>
      <c r="BA11" s="9"/>
      <c r="BB11" s="9"/>
    </row>
    <row r="12" spans="1:54" x14ac:dyDescent="0.25">
      <c r="B12">
        <v>2033</v>
      </c>
      <c r="C12" s="187">
        <f t="shared" si="2"/>
        <v>563154.82563091174</v>
      </c>
      <c r="D12" s="187">
        <f t="shared" si="0"/>
        <v>222567.48177531915</v>
      </c>
      <c r="E12" s="187">
        <f t="shared" si="1"/>
        <v>50519.416311718931</v>
      </c>
      <c r="F12" s="9">
        <f>[3]System!$TM12</f>
        <v>1112746.0192551964</v>
      </c>
      <c r="H12">
        <v>2033</v>
      </c>
      <c r="I12" s="9">
        <f>([3]ORRes!SI12+[3]WARes!SI12)/10</f>
        <v>716181.80753502459</v>
      </c>
      <c r="J12" s="9">
        <f>([3]ORRes!SJ12+[3]WARes!SJ12)/10</f>
        <v>677386.0960595489</v>
      </c>
      <c r="K12" s="9">
        <f>([3]ORRes!SK12+[3]WARes!SK12)/10</f>
        <v>674816.85291178606</v>
      </c>
      <c r="L12" s="9">
        <f>([3]ORRes!SL12+[3]WARes!SL12)/10</f>
        <v>694832.95566766686</v>
      </c>
      <c r="M12" s="9">
        <f>([3]ORRes!SM12+[3]WARes!SM12)/10</f>
        <v>611618.11897725181</v>
      </c>
      <c r="N12" s="9">
        <f>([3]ORRes!SN12+[3]WARes!SN12)/10</f>
        <v>563154.82563091174</v>
      </c>
      <c r="O12" s="9">
        <f>([3]ORRes!SO12+[3]WARes!SO12)/10</f>
        <v>395453.11369033286</v>
      </c>
      <c r="P12" s="9">
        <f>([3]ORRes!SP12+[3]WARes!SP12)/10</f>
        <v>677386.0960595489</v>
      </c>
      <c r="Q12" s="9">
        <f>([3]ORRes!SQ12+[3]WARes!SQ12)/10</f>
        <v>677386.0960595489</v>
      </c>
      <c r="R12" s="9">
        <f>([3]ORRes!SR12+[3]WARes!SR12)/10</f>
        <v>694765.73866481078</v>
      </c>
      <c r="S12" s="9"/>
      <c r="T12">
        <v>2033</v>
      </c>
      <c r="U12" s="9">
        <f>([3]ORCom!SI12+[3]WACom!SI12)/10</f>
        <v>301443.45360582753</v>
      </c>
      <c r="V12" s="9">
        <f>([3]ORCom!SJ12+[3]WACom!SJ12)/10</f>
        <v>247997.97703874143</v>
      </c>
      <c r="W12" s="9">
        <f>([3]ORCom!SK12+[3]WACom!SK12)/10</f>
        <v>243756.36381996688</v>
      </c>
      <c r="X12" s="9">
        <f>([3]ORCom!SL12+[3]WACom!SL12)/10</f>
        <v>254250.57429960617</v>
      </c>
      <c r="Y12" s="9">
        <f>([3]ORCom!SM12+[3]WACom!SM12)/10</f>
        <v>211423.11577576594</v>
      </c>
      <c r="Z12" s="9">
        <f>([3]ORCom!SN12+[3]WACom!SN12)/10</f>
        <v>222567.48177531915</v>
      </c>
      <c r="AA12" s="9">
        <f>([3]ORCom!SO12+[3]WACom!SO12)/10</f>
        <v>157524.19985223073</v>
      </c>
      <c r="AB12" s="9">
        <f>([3]ORCom!SP12+[3]WACom!SP12)/10</f>
        <v>247997.97703874143</v>
      </c>
      <c r="AC12" s="9">
        <f>([3]ORCom!SQ12+[3]WACom!SQ12)/10</f>
        <v>247997.97703874143</v>
      </c>
      <c r="AD12" s="9">
        <f>([3]ORCom!SR12+[3]WACom!SR12)/10</f>
        <v>254250.57429960617</v>
      </c>
      <c r="AF12">
        <v>2033</v>
      </c>
      <c r="AG12" s="9">
        <f>[3]System!TM12-I12-U12</f>
        <v>95120.758114344324</v>
      </c>
      <c r="AH12" s="9">
        <f>[3]System!TN12-J12-V12</f>
        <v>77601.628128269018</v>
      </c>
      <c r="AI12" s="9">
        <f>[3]System!TO12-K12-W12</f>
        <v>68038.493038995453</v>
      </c>
      <c r="AJ12" s="9">
        <f>[3]System!TP12-L12-X12</f>
        <v>77953.510253470013</v>
      </c>
      <c r="AK12" s="9">
        <f>[3]System!TQ12-M12-Y12</f>
        <v>76082.073665264674</v>
      </c>
      <c r="AL12" s="9">
        <f>[3]System!TR12-N12-Z12</f>
        <v>50519.416311718931</v>
      </c>
      <c r="AM12" s="9">
        <f>[3]System!TS12-O12-AA12</f>
        <v>64063.094410142046</v>
      </c>
      <c r="AN12" s="9">
        <f>[3]System!TT12-P12-AB12</f>
        <v>77601.628128269018</v>
      </c>
      <c r="AO12" s="9">
        <f>[3]System!TU12-Q12-AC12</f>
        <v>77601.628128269018</v>
      </c>
      <c r="AP12" s="9">
        <f>[3]System!TV12-R12-AD12</f>
        <v>77952.512236429116</v>
      </c>
      <c r="AQ12" s="9"/>
      <c r="AR12">
        <v>799434.07850000006</v>
      </c>
      <c r="AS12" s="9"/>
      <c r="AT12" s="9"/>
      <c r="AU12" s="9"/>
      <c r="AV12" s="9"/>
      <c r="AW12" s="9"/>
      <c r="AX12" s="9"/>
      <c r="AY12" s="9"/>
      <c r="AZ12" s="9"/>
      <c r="BA12" s="9"/>
      <c r="BB12" s="9"/>
    </row>
    <row r="13" spans="1:54" x14ac:dyDescent="0.25">
      <c r="B13">
        <v>2034</v>
      </c>
      <c r="C13" s="187">
        <f t="shared" si="2"/>
        <v>549814.57132979191</v>
      </c>
      <c r="D13" s="187">
        <f t="shared" si="0"/>
        <v>217343.82218376439</v>
      </c>
      <c r="E13" s="187">
        <f t="shared" si="1"/>
        <v>49218.518274007278</v>
      </c>
      <c r="F13" s="9">
        <f>[3]System!$TM13</f>
        <v>1121628.8899807509</v>
      </c>
      <c r="H13">
        <v>2034</v>
      </c>
      <c r="I13" s="9">
        <f>([3]ORRes!SI13+[3]WARes!SI13)/10</f>
        <v>719198.68076300644</v>
      </c>
      <c r="J13" s="9">
        <f>([3]ORRes!SJ13+[3]WARes!SJ13)/10</f>
        <v>674563.93827557331</v>
      </c>
      <c r="K13" s="9">
        <f>([3]ORRes!SK13+[3]WARes!SK13)/10</f>
        <v>670275.05368126952</v>
      </c>
      <c r="L13" s="9">
        <f>([3]ORRes!SL13+[3]WARes!SL13)/10</f>
        <v>694399.28565319965</v>
      </c>
      <c r="M13" s="9">
        <f>([3]ORRes!SM13+[3]WARes!SM13)/10</f>
        <v>604485.01589889231</v>
      </c>
      <c r="N13" s="9">
        <f>([3]ORRes!SN13+[3]WARes!SN13)/10</f>
        <v>549814.57132979191</v>
      </c>
      <c r="O13" s="9">
        <f>([3]ORRes!SO13+[3]WARes!SO13)/10</f>
        <v>369157.21727366105</v>
      </c>
      <c r="P13" s="9">
        <f>([3]ORRes!SP13+[3]WARes!SP13)/10</f>
        <v>674563.93827557331</v>
      </c>
      <c r="Q13" s="9">
        <f>([3]ORRes!SQ13+[3]WARes!SQ13)/10</f>
        <v>674563.93827557331</v>
      </c>
      <c r="R13" s="9">
        <f>([3]ORRes!SR13+[3]WARes!SR13)/10</f>
        <v>694327.22539669729</v>
      </c>
      <c r="S13" s="9"/>
      <c r="T13">
        <v>2034</v>
      </c>
      <c r="U13" s="9">
        <f>([3]ORCom!SI13+[3]WACom!SI13)/10</f>
        <v>304405.09847766988</v>
      </c>
      <c r="V13" s="9">
        <f>([3]ORCom!SJ13+[3]WACom!SJ13)/10</f>
        <v>247598.97647832107</v>
      </c>
      <c r="W13" s="9">
        <f>([3]ORCom!SK13+[3]WACom!SK13)/10</f>
        <v>242743.60090977635</v>
      </c>
      <c r="X13" s="9">
        <f>([3]ORCom!SL13+[3]WACom!SL13)/10</f>
        <v>254697.62255664758</v>
      </c>
      <c r="Y13" s="9">
        <f>([3]ORCom!SM13+[3]WACom!SM13)/10</f>
        <v>207844.05262290622</v>
      </c>
      <c r="Z13" s="9">
        <f>([3]ORCom!SN13+[3]WACom!SN13)/10</f>
        <v>217343.82218376439</v>
      </c>
      <c r="AA13" s="9">
        <f>([3]ORCom!SO13+[3]WACom!SO13)/10</f>
        <v>147185.1773620293</v>
      </c>
      <c r="AB13" s="9">
        <f>([3]ORCom!SP13+[3]WACom!SP13)/10</f>
        <v>247598.97647832107</v>
      </c>
      <c r="AC13" s="9">
        <f>([3]ORCom!SQ13+[3]WACom!SQ13)/10</f>
        <v>247598.97647832107</v>
      </c>
      <c r="AD13" s="9">
        <f>([3]ORCom!SR13+[3]WACom!SR13)/10</f>
        <v>254697.62255664758</v>
      </c>
      <c r="AF13">
        <v>2034</v>
      </c>
      <c r="AG13" s="9">
        <f>[3]System!TM13-I13-U13</f>
        <v>98025.110740074539</v>
      </c>
      <c r="AH13" s="9">
        <f>[3]System!TN13-J13-V13</f>
        <v>77697.443552311801</v>
      </c>
      <c r="AI13" s="9">
        <f>[3]System!TO13-K13-W13</f>
        <v>67327.66028535465</v>
      </c>
      <c r="AJ13" s="9">
        <f>[3]System!TP13-L13-X13</f>
        <v>78097.351065375435</v>
      </c>
      <c r="AK13" s="9">
        <f>[3]System!TQ13-M13-Y13</f>
        <v>76066.664946505975</v>
      </c>
      <c r="AL13" s="9">
        <f>[3]System!TR13-N13-Z13</f>
        <v>49218.518274007278</v>
      </c>
      <c r="AM13" s="9">
        <f>[3]System!TS13-O13-AA13</f>
        <v>60608.020106854878</v>
      </c>
      <c r="AN13" s="9">
        <f>[3]System!TT13-P13-AB13</f>
        <v>77697.443552311801</v>
      </c>
      <c r="AO13" s="9">
        <f>[3]System!TU13-Q13-AC13</f>
        <v>77697.443552311801</v>
      </c>
      <c r="AP13" s="9">
        <f>[3]System!TV13-R13-AD13</f>
        <v>78096.281137218873</v>
      </c>
      <c r="AQ13" s="9"/>
      <c r="AR13">
        <v>799434.07850000006</v>
      </c>
      <c r="AS13" s="9"/>
      <c r="AT13" s="9"/>
      <c r="AU13" s="9"/>
      <c r="AV13" s="9"/>
      <c r="AW13" s="9"/>
      <c r="AX13" s="9"/>
      <c r="AY13" s="9"/>
      <c r="AZ13" s="9"/>
      <c r="BA13" s="9"/>
      <c r="BB13" s="9"/>
    </row>
    <row r="14" spans="1:54" x14ac:dyDescent="0.25">
      <c r="B14">
        <v>2035</v>
      </c>
      <c r="C14" s="187">
        <f t="shared" si="2"/>
        <v>536326.45820868271</v>
      </c>
      <c r="D14" s="187">
        <f t="shared" si="0"/>
        <v>212061.63723752685</v>
      </c>
      <c r="E14" s="187">
        <f t="shared" si="1"/>
        <v>47931.751042839926</v>
      </c>
      <c r="F14" s="9">
        <f>[3]System!$TM14</f>
        <v>1130124.402974413</v>
      </c>
      <c r="H14">
        <v>2035</v>
      </c>
      <c r="I14" s="9">
        <f>([3]ORRes!SI14+[3]WARes!SI14)/10</f>
        <v>721933.65557011473</v>
      </c>
      <c r="J14" s="9">
        <f>([3]ORRes!SJ14+[3]WARes!SJ14)/10</f>
        <v>671193.56904011616</v>
      </c>
      <c r="K14" s="9">
        <f>([3]ORRes!SK14+[3]WARes!SK14)/10</f>
        <v>664592.20448436087</v>
      </c>
      <c r="L14" s="9">
        <f>([3]ORRes!SL14+[3]WARes!SL14)/10</f>
        <v>693350.05689508072</v>
      </c>
      <c r="M14" s="9">
        <f>([3]ORRes!SM14+[3]WARes!SM14)/10</f>
        <v>597205.43649201677</v>
      </c>
      <c r="N14" s="9">
        <f>([3]ORRes!SN14+[3]WARes!SN14)/10</f>
        <v>536326.45820868271</v>
      </c>
      <c r="O14" s="9">
        <f>([3]ORRes!SO14+[3]WARes!SO14)/10</f>
        <v>342790.00955631753</v>
      </c>
      <c r="P14" s="9">
        <f>([3]ORRes!SP14+[3]WARes!SP14)/10</f>
        <v>671193.56904011616</v>
      </c>
      <c r="Q14" s="9">
        <f>([3]ORRes!SQ14+[3]WARes!SQ14)/10</f>
        <v>671193.56904011616</v>
      </c>
      <c r="R14" s="9">
        <f>([3]ORRes!SR14+[3]WARes!SR14)/10</f>
        <v>693273.9231401633</v>
      </c>
      <c r="S14" s="9"/>
      <c r="T14">
        <v>2035</v>
      </c>
      <c r="U14" s="9">
        <f>([3]ORCom!SI14+[3]WACom!SI14)/10</f>
        <v>307270.59790812165</v>
      </c>
      <c r="V14" s="9">
        <f>([3]ORCom!SJ14+[3]WACom!SJ14)/10</f>
        <v>247623.87539594847</v>
      </c>
      <c r="W14" s="9">
        <f>([3]ORCom!SK14+[3]WACom!SK14)/10</f>
        <v>242026.20684603555</v>
      </c>
      <c r="X14" s="9">
        <f>([3]ORCom!SL14+[3]WACom!SL14)/10</f>
        <v>255559.78108377563</v>
      </c>
      <c r="Y14" s="9">
        <f>([3]ORCom!SM14+[3]WACom!SM14)/10</f>
        <v>204727.05650200223</v>
      </c>
      <c r="Z14" s="9">
        <f>([3]ORCom!SN14+[3]WACom!SN14)/10</f>
        <v>212061.63723752685</v>
      </c>
      <c r="AA14" s="9">
        <f>([3]ORCom!SO14+[3]WACom!SO14)/10</f>
        <v>136817.53515696054</v>
      </c>
      <c r="AB14" s="9">
        <f>([3]ORCom!SP14+[3]WACom!SP14)/10</f>
        <v>247623.87539594847</v>
      </c>
      <c r="AC14" s="9">
        <f>([3]ORCom!SQ14+[3]WACom!SQ14)/10</f>
        <v>247623.87539594847</v>
      </c>
      <c r="AD14" s="9">
        <f>([3]ORCom!SR14+[3]WACom!SR14)/10</f>
        <v>255559.78108377563</v>
      </c>
      <c r="AF14">
        <v>2035</v>
      </c>
      <c r="AG14" s="9">
        <f>[3]System!TM14-I14-U14</f>
        <v>100920.14949617663</v>
      </c>
      <c r="AH14" s="9">
        <f>[3]System!TN14-J14-V14</f>
        <v>77820.623798168323</v>
      </c>
      <c r="AI14" s="9">
        <f>[3]System!TO14-K14-W14</f>
        <v>66650.152615542407</v>
      </c>
      <c r="AJ14" s="9">
        <f>[3]System!TP14-L14-X14</f>
        <v>78267.426248147094</v>
      </c>
      <c r="AK14" s="9">
        <f>[3]System!TQ14-M14-Y14</f>
        <v>76085.152586957614</v>
      </c>
      <c r="AL14" s="9">
        <f>[3]System!TR14-N14-Z14</f>
        <v>47931.751042839926</v>
      </c>
      <c r="AM14" s="9">
        <f>[3]System!TS14-O14-AA14</f>
        <v>57156.959702186403</v>
      </c>
      <c r="AN14" s="9">
        <f>[3]System!TT14-P14-AB14</f>
        <v>77820.623798168323</v>
      </c>
      <c r="AO14" s="9">
        <f>[3]System!TU14-Q14-AC14</f>
        <v>77820.623798168323</v>
      </c>
      <c r="AP14" s="9">
        <f>[3]System!TV14-R14-AD14</f>
        <v>78266.295837959682</v>
      </c>
      <c r="AQ14" s="9"/>
      <c r="AR14">
        <v>799434.07850000006</v>
      </c>
      <c r="AS14" s="9"/>
      <c r="AT14" s="9"/>
      <c r="AU14" s="9"/>
      <c r="AV14" s="9"/>
      <c r="AW14" s="9"/>
      <c r="AX14" s="9"/>
      <c r="AY14" s="9"/>
      <c r="AZ14" s="9"/>
      <c r="BA14" s="9"/>
      <c r="BB14" s="9"/>
    </row>
    <row r="15" spans="1:54" x14ac:dyDescent="0.25">
      <c r="B15">
        <v>2036</v>
      </c>
      <c r="C15" s="187">
        <f t="shared" si="2"/>
        <v>523665.73151343816</v>
      </c>
      <c r="D15" s="187">
        <f t="shared" si="0"/>
        <v>207106.61568236092</v>
      </c>
      <c r="E15" s="187">
        <f t="shared" si="1"/>
        <v>46832.479817478481</v>
      </c>
      <c r="F15" s="9">
        <f>[3]System!$TM15</f>
        <v>1140103.6255616422</v>
      </c>
      <c r="H15">
        <v>2036</v>
      </c>
      <c r="I15" s="9">
        <f>([3]ORRes!SI15+[3]WARes!SI15)/10</f>
        <v>725599.39629544574</v>
      </c>
      <c r="J15" s="9">
        <f>([3]ORRes!SJ15+[3]WARes!SJ15)/10</f>
        <v>667650.0788014509</v>
      </c>
      <c r="K15" s="9">
        <f>([3]ORRes!SK15+[3]WARes!SK15)/10</f>
        <v>658133.84527091088</v>
      </c>
      <c r="L15" s="9">
        <f>([3]ORRes!SL15+[3]WARes!SL15)/10</f>
        <v>692058.33970996353</v>
      </c>
      <c r="M15" s="9">
        <f>([3]ORRes!SM15+[3]WARes!SM15)/10</f>
        <v>590681.59380408807</v>
      </c>
      <c r="N15" s="9">
        <f>([3]ORRes!SN15+[3]WARes!SN15)/10</f>
        <v>523665.73151343816</v>
      </c>
      <c r="O15" s="9">
        <f>([3]ORRes!SO15+[3]WARes!SO15)/10</f>
        <v>316956.10352460353</v>
      </c>
      <c r="P15" s="9">
        <f>([3]ORRes!SP15+[3]WARes!SP15)/10</f>
        <v>667650.0788014509</v>
      </c>
      <c r="Q15" s="9">
        <f>([3]ORRes!SQ15+[3]WARes!SQ15)/10</f>
        <v>667650.0788014509</v>
      </c>
      <c r="R15" s="9">
        <f>([3]ORRes!SR15+[3]WARes!SR15)/10</f>
        <v>691978.70152521436</v>
      </c>
      <c r="S15" s="9"/>
      <c r="T15">
        <v>2036</v>
      </c>
      <c r="U15" s="9">
        <f>([3]ORCom!SI15+[3]WACom!SI15)/10</f>
        <v>310569.5014026842</v>
      </c>
      <c r="V15" s="9">
        <f>([3]ORCom!SJ15+[3]WACom!SJ15)/10</f>
        <v>247843.35046765947</v>
      </c>
      <c r="W15" s="9">
        <f>([3]ORCom!SK15+[3]WACom!SK15)/10</f>
        <v>241312.78060796726</v>
      </c>
      <c r="X15" s="9">
        <f>([3]ORCom!SL15+[3]WACom!SL15)/10</f>
        <v>256599.29688595631</v>
      </c>
      <c r="Y15" s="9">
        <f>([3]ORCom!SM15+[3]WACom!SM15)/10</f>
        <v>202106.98609767033</v>
      </c>
      <c r="Z15" s="9">
        <f>([3]ORCom!SN15+[3]WACom!SN15)/10</f>
        <v>207106.61568236092</v>
      </c>
      <c r="AA15" s="9">
        <f>([3]ORCom!SO15+[3]WACom!SO15)/10</f>
        <v>126662.57894399141</v>
      </c>
      <c r="AB15" s="9">
        <f>([3]ORCom!SP15+[3]WACom!SP15)/10</f>
        <v>247843.35046765947</v>
      </c>
      <c r="AC15" s="9">
        <f>([3]ORCom!SQ15+[3]WACom!SQ15)/10</f>
        <v>247843.35046765947</v>
      </c>
      <c r="AD15" s="9">
        <f>([3]ORCom!SR15+[3]WACom!SR15)/10</f>
        <v>256599.29688595631</v>
      </c>
      <c r="AF15">
        <v>2036</v>
      </c>
      <c r="AG15" s="9">
        <f>[3]System!TM15-I15-U15</f>
        <v>103934.72786351229</v>
      </c>
      <c r="AH15" s="9">
        <f>[3]System!TN15-J15-V15</f>
        <v>78220.881081925065</v>
      </c>
      <c r="AI15" s="9">
        <f>[3]System!TO15-K15-W15</f>
        <v>66183.659144234058</v>
      </c>
      <c r="AJ15" s="9">
        <f>[3]System!TP15-L15-X15</f>
        <v>78713.292862468632</v>
      </c>
      <c r="AK15" s="9">
        <f>[3]System!TQ15-M15-Y15</f>
        <v>76398.997846095765</v>
      </c>
      <c r="AL15" s="9">
        <f>[3]System!TR15-N15-Z15</f>
        <v>46832.479817478481</v>
      </c>
      <c r="AM15" s="9">
        <f>[3]System!TS15-O15-AA15</f>
        <v>53879.810622943551</v>
      </c>
      <c r="AN15" s="9">
        <f>[3]System!TT15-P15-AB15</f>
        <v>78220.881081925065</v>
      </c>
      <c r="AO15" s="9">
        <f>[3]System!TU15-Q15-AC15</f>
        <v>78220.881081925065</v>
      </c>
      <c r="AP15" s="9">
        <f>[3]System!TV15-R15-AD15</f>
        <v>78712.110419602832</v>
      </c>
      <c r="AQ15" s="9"/>
      <c r="AR15">
        <v>799434.07850000006</v>
      </c>
      <c r="AS15" s="9"/>
      <c r="AT15" s="9"/>
      <c r="AU15" s="9"/>
      <c r="AV15" s="9"/>
      <c r="AW15" s="9"/>
      <c r="AX15" s="9"/>
      <c r="AY15" s="9"/>
      <c r="AZ15" s="9"/>
      <c r="BA15" s="9"/>
      <c r="BB15" s="9"/>
    </row>
    <row r="16" spans="1:54" x14ac:dyDescent="0.25">
      <c r="B16">
        <v>2037</v>
      </c>
      <c r="C16" s="187">
        <f t="shared" si="2"/>
        <v>510689.63078732864</v>
      </c>
      <c r="D16" s="187">
        <f t="shared" si="0"/>
        <v>202026.88356408256</v>
      </c>
      <c r="E16" s="187">
        <f t="shared" si="1"/>
        <v>45402.665810353297</v>
      </c>
      <c r="F16" s="9">
        <f>[3]System!$TM16</f>
        <v>1149011.2680296244</v>
      </c>
      <c r="H16">
        <v>2037</v>
      </c>
      <c r="I16" s="9">
        <f>([3]ORRes!SI16+[3]WARes!SI16)/10</f>
        <v>728587.87856525916</v>
      </c>
      <c r="J16" s="9">
        <f>([3]ORRes!SJ16+[3]WARes!SJ16)/10</f>
        <v>663138.01447142451</v>
      </c>
      <c r="K16" s="9">
        <f>([3]ORRes!SK16+[3]WARes!SK16)/10</f>
        <v>650314.81838127063</v>
      </c>
      <c r="L16" s="9">
        <f>([3]ORRes!SL16+[3]WARes!SL16)/10</f>
        <v>689675.06470532971</v>
      </c>
      <c r="M16" s="9">
        <f>([3]ORRes!SM16+[3]WARes!SM16)/10</f>
        <v>583928.35368585587</v>
      </c>
      <c r="N16" s="9">
        <f>([3]ORRes!SN16+[3]WARes!SN16)/10</f>
        <v>510689.63078732864</v>
      </c>
      <c r="O16" s="9">
        <f>([3]ORRes!SO16+[3]WARes!SO16)/10</f>
        <v>290921.35810611851</v>
      </c>
      <c r="P16" s="9">
        <f>([3]ORRes!SP16+[3]WARes!SP16)/10</f>
        <v>663138.01447142451</v>
      </c>
      <c r="Q16" s="9">
        <f>([3]ORRes!SQ16+[3]WARes!SQ16)/10</f>
        <v>663138.01447142451</v>
      </c>
      <c r="R16" s="9">
        <f>([3]ORRes!SR16+[3]WARes!SR16)/10</f>
        <v>689592.69093923643</v>
      </c>
      <c r="S16" s="9"/>
      <c r="T16">
        <v>2037</v>
      </c>
      <c r="U16" s="9">
        <f>([3]ORCom!SI16+[3]WACom!SI16)/10</f>
        <v>313514.73929856025</v>
      </c>
      <c r="V16" s="9">
        <f>([3]ORCom!SJ16+[3]WACom!SJ16)/10</f>
        <v>247666.0753051193</v>
      </c>
      <c r="W16" s="9">
        <f>([3]ORCom!SK16+[3]WACom!SK16)/10</f>
        <v>240080.57174440948</v>
      </c>
      <c r="X16" s="9">
        <f>([3]ORCom!SL16+[3]WACom!SL16)/10</f>
        <v>257199.09261745159</v>
      </c>
      <c r="Y16" s="9">
        <f>([3]ORCom!SM16+[3]WACom!SM16)/10</f>
        <v>199505.27732229664</v>
      </c>
      <c r="Z16" s="9">
        <f>([3]ORCom!SN16+[3]WACom!SN16)/10</f>
        <v>202026.88356408256</v>
      </c>
      <c r="AA16" s="9">
        <f>([3]ORCom!SO16+[3]WACom!SO16)/10</f>
        <v>116427.50769342699</v>
      </c>
      <c r="AB16" s="9">
        <f>([3]ORCom!SP16+[3]WACom!SP16)/10</f>
        <v>247666.0753051193</v>
      </c>
      <c r="AC16" s="9">
        <f>([3]ORCom!SQ16+[3]WACom!SQ16)/10</f>
        <v>247666.0753051193</v>
      </c>
      <c r="AD16" s="9">
        <f>([3]ORCom!SR16+[3]WACom!SR16)/10</f>
        <v>257199.09261745159</v>
      </c>
      <c r="AF16">
        <v>2037</v>
      </c>
      <c r="AG16" s="9">
        <f>[3]System!TM16-I16-U16</f>
        <v>106908.65016580495</v>
      </c>
      <c r="AH16" s="9">
        <f>[3]System!TN16-J16-V16</f>
        <v>78138.261220764456</v>
      </c>
      <c r="AI16" s="9">
        <f>[3]System!TO16-K16-W16</f>
        <v>65377.596230530442</v>
      </c>
      <c r="AJ16" s="9">
        <f>[3]System!TP16-L16-X16</f>
        <v>78673.818305236025</v>
      </c>
      <c r="AK16" s="9">
        <f>[3]System!TQ16-M16-Y16</f>
        <v>76247.104475399712</v>
      </c>
      <c r="AL16" s="9">
        <f>[3]System!TR16-N16-Z16</f>
        <v>45402.665810353297</v>
      </c>
      <c r="AM16" s="9">
        <f>[3]System!TS16-O16-AA16</f>
        <v>50316.631839950787</v>
      </c>
      <c r="AN16" s="9">
        <f>[3]System!TT16-P16-AB16</f>
        <v>78138.261220764456</v>
      </c>
      <c r="AO16" s="9">
        <f>[3]System!TU16-Q16-AC16</f>
        <v>78138.261220764456</v>
      </c>
      <c r="AP16" s="9">
        <f>[3]System!TV16-R16-AD16</f>
        <v>78672.595245313802</v>
      </c>
      <c r="AQ16" s="9"/>
      <c r="AR16">
        <v>799434.07850000006</v>
      </c>
      <c r="AS16" s="9"/>
      <c r="AT16" s="9"/>
      <c r="AU16" s="9"/>
      <c r="AV16" s="9"/>
      <c r="AW16" s="9"/>
      <c r="AX16" s="9"/>
      <c r="AY16" s="9"/>
      <c r="AZ16" s="9"/>
      <c r="BA16" s="9"/>
      <c r="BB16" s="9"/>
    </row>
    <row r="17" spans="2:54" x14ac:dyDescent="0.25">
      <c r="B17">
        <v>2038</v>
      </c>
      <c r="C17" s="187">
        <f t="shared" si="2"/>
        <v>497213.56936227845</v>
      </c>
      <c r="D17" s="187">
        <f t="shared" si="0"/>
        <v>196749.31513041622</v>
      </c>
      <c r="E17" s="187">
        <f t="shared" si="1"/>
        <v>44125.978288228129</v>
      </c>
      <c r="F17" s="9">
        <f>[3]System!$TM17</f>
        <v>1156415.769170675</v>
      </c>
      <c r="H17">
        <v>2038</v>
      </c>
      <c r="I17" s="9">
        <f>([3]ORRes!SI17+[3]WARes!SI17)/10</f>
        <v>730573.48580988985</v>
      </c>
      <c r="J17" s="9">
        <f>([3]ORRes!SJ17+[3]WARes!SJ17)/10</f>
        <v>658385.17474164884</v>
      </c>
      <c r="K17" s="9">
        <f>([3]ORRes!SK17+[3]WARes!SK17)/10</f>
        <v>642086.16955686477</v>
      </c>
      <c r="L17" s="9">
        <f>([3]ORRes!SL17+[3]WARes!SL17)/10</f>
        <v>686970.5259010602</v>
      </c>
      <c r="M17" s="9">
        <f>([3]ORRes!SM17+[3]WARes!SM17)/10</f>
        <v>576828.46995426959</v>
      </c>
      <c r="N17" s="9">
        <f>([3]ORRes!SN17+[3]WARes!SN17)/10</f>
        <v>497213.56936227845</v>
      </c>
      <c r="O17" s="9">
        <f>([3]ORRes!SO17+[3]WARes!SO17)/10</f>
        <v>264622.14796965814</v>
      </c>
      <c r="P17" s="9">
        <f>([3]ORRes!SP17+[3]WARes!SP17)/10</f>
        <v>658385.17474164884</v>
      </c>
      <c r="Q17" s="9">
        <f>([3]ORRes!SQ17+[3]WARes!SQ17)/10</f>
        <v>658385.17474164884</v>
      </c>
      <c r="R17" s="9">
        <f>([3]ORRes!SR17+[3]WARes!SR17)/10</f>
        <v>686886.21779197571</v>
      </c>
      <c r="S17" s="9"/>
      <c r="T17">
        <v>2038</v>
      </c>
      <c r="U17" s="9">
        <f>([3]ORCom!SI17+[3]WACom!SI17)/10</f>
        <v>315982.75697974523</v>
      </c>
      <c r="V17" s="9">
        <f>([3]ORCom!SJ17+[3]WACom!SJ17)/10</f>
        <v>247080.49417100643</v>
      </c>
      <c r="W17" s="9">
        <f>([3]ORCom!SK17+[3]WACom!SK17)/10</f>
        <v>238369.86671225564</v>
      </c>
      <c r="X17" s="9">
        <f>([3]ORCom!SL17+[3]WACom!SL17)/10</f>
        <v>257349.36752575217</v>
      </c>
      <c r="Y17" s="9">
        <f>([3]ORCom!SM17+[3]WACom!SM17)/10</f>
        <v>196761.91967746828</v>
      </c>
      <c r="Z17" s="9">
        <f>([3]ORCom!SN17+[3]WACom!SN17)/10</f>
        <v>196749.31513041622</v>
      </c>
      <c r="AA17" s="9">
        <f>([3]ORCom!SO17+[3]WACom!SO17)/10</f>
        <v>106086.53158473007</v>
      </c>
      <c r="AB17" s="9">
        <f>([3]ORCom!SP17+[3]WACom!SP17)/10</f>
        <v>247080.49417100643</v>
      </c>
      <c r="AC17" s="9">
        <f>([3]ORCom!SQ17+[3]WACom!SQ17)/10</f>
        <v>247080.49417100643</v>
      </c>
      <c r="AD17" s="9">
        <f>([3]ORCom!SR17+[3]WACom!SR17)/10</f>
        <v>257349.36752575217</v>
      </c>
      <c r="AF17">
        <v>2038</v>
      </c>
      <c r="AG17" s="9">
        <f>[3]System!TM17-I17-U17</f>
        <v>109859.52638103988</v>
      </c>
      <c r="AH17" s="9">
        <f>[3]System!TN17-J17-V17</f>
        <v>78284.069430683332</v>
      </c>
      <c r="AI17" s="9">
        <f>[3]System!TO17-K17-W17</f>
        <v>64712.352866612258</v>
      </c>
      <c r="AJ17" s="9">
        <f>[3]System!TP17-L17-X17</f>
        <v>78860.964807259501</v>
      </c>
      <c r="AK17" s="9">
        <f>[3]System!TQ17-M17-Y17</f>
        <v>76326.026518924366</v>
      </c>
      <c r="AL17" s="9">
        <f>[3]System!TR17-N17-Z17</f>
        <v>44125.978288228129</v>
      </c>
      <c r="AM17" s="9">
        <f>[3]System!TS17-O17-AA17</f>
        <v>46858.146814345106</v>
      </c>
      <c r="AN17" s="9">
        <f>[3]System!TT17-P17-AB17</f>
        <v>78284.069430683332</v>
      </c>
      <c r="AO17" s="9">
        <f>[3]System!TU17-Q17-AC17</f>
        <v>78284.069430683332</v>
      </c>
      <c r="AP17" s="9">
        <f>[3]System!TV17-R17-AD17</f>
        <v>78859.713026817306</v>
      </c>
      <c r="AQ17" s="9"/>
      <c r="AR17">
        <v>799434.07850000006</v>
      </c>
      <c r="AS17" s="9"/>
      <c r="AT17" s="9"/>
      <c r="AU17" s="9"/>
      <c r="AV17" s="9"/>
      <c r="AW17" s="9"/>
      <c r="AX17" s="9"/>
      <c r="AY17" s="9"/>
      <c r="AZ17" s="9"/>
      <c r="BA17" s="9"/>
      <c r="BB17" s="9"/>
    </row>
    <row r="18" spans="2:54" x14ac:dyDescent="0.25">
      <c r="B18">
        <v>2039</v>
      </c>
      <c r="C18" s="187">
        <f t="shared" si="2"/>
        <v>484914.83561294491</v>
      </c>
      <c r="D18" s="187">
        <f t="shared" si="0"/>
        <v>191937.63712797588</v>
      </c>
      <c r="E18" s="187">
        <f t="shared" si="1"/>
        <v>42845.847750023298</v>
      </c>
      <c r="F18" s="9">
        <f>[3]System!$TM18</f>
        <v>1166190.1808318449</v>
      </c>
      <c r="H18">
        <v>2039</v>
      </c>
      <c r="I18" s="9">
        <f>([3]ORRes!SI18+[3]WARes!SI18)/10</f>
        <v>734085.29613760137</v>
      </c>
      <c r="J18" s="9">
        <f>([3]ORRes!SJ18+[3]WARes!SJ18)/10</f>
        <v>654871.38581224834</v>
      </c>
      <c r="K18" s="9">
        <f>([3]ORRes!SK18+[3]WARes!SK18)/10</f>
        <v>634844.54427349672</v>
      </c>
      <c r="L18" s="9">
        <f>([3]ORRes!SL18+[3]WARes!SL18)/10</f>
        <v>685490.95791757549</v>
      </c>
      <c r="M18" s="9">
        <f>([3]ORRes!SM18+[3]WARes!SM18)/10</f>
        <v>571066.1924649498</v>
      </c>
      <c r="N18" s="9">
        <f>([3]ORRes!SN18+[3]WARes!SN18)/10</f>
        <v>484914.83561294491</v>
      </c>
      <c r="O18" s="9">
        <f>([3]ORRes!SO18+[3]WARes!SO18)/10</f>
        <v>238938.64399167616</v>
      </c>
      <c r="P18" s="9">
        <f>([3]ORRes!SP18+[3]WARes!SP18)/10</f>
        <v>654871.38581224834</v>
      </c>
      <c r="Q18" s="9">
        <f>([3]ORRes!SQ18+[3]WARes!SQ18)/10</f>
        <v>654871.38581224834</v>
      </c>
      <c r="R18" s="9">
        <f>([3]ORRes!SR18+[3]WARes!SR18)/10</f>
        <v>685405.35920151556</v>
      </c>
      <c r="S18" s="9"/>
      <c r="T18">
        <v>2039</v>
      </c>
      <c r="U18" s="9">
        <f>([3]ORCom!SI18+[3]WACom!SI18)/10</f>
        <v>319053.72059971531</v>
      </c>
      <c r="V18" s="9">
        <f>([3]ORCom!SJ18+[3]WACom!SJ18)/10</f>
        <v>247538.67337944434</v>
      </c>
      <c r="W18" s="9">
        <f>([3]ORCom!SK18+[3]WACom!SK18)/10</f>
        <v>237705.24863168001</v>
      </c>
      <c r="X18" s="9">
        <f>([3]ORCom!SL18+[3]WACom!SL18)/10</f>
        <v>258575.82875007234</v>
      </c>
      <c r="Y18" s="9">
        <f>([3]ORCom!SM18+[3]WACom!SM18)/10</f>
        <v>194673.71553480491</v>
      </c>
      <c r="Z18" s="9">
        <f>([3]ORCom!SN18+[3]WACom!SN18)/10</f>
        <v>191937.63712797588</v>
      </c>
      <c r="AA18" s="9">
        <f>([3]ORCom!SO18+[3]WACom!SO18)/10</f>
        <v>95992.179535848365</v>
      </c>
      <c r="AB18" s="9">
        <f>([3]ORCom!SP18+[3]WACom!SP18)/10</f>
        <v>247538.67337944434</v>
      </c>
      <c r="AC18" s="9">
        <f>([3]ORCom!SQ18+[3]WACom!SQ18)/10</f>
        <v>247538.67337944434</v>
      </c>
      <c r="AD18" s="9">
        <f>([3]ORCom!SR18+[3]WACom!SR18)/10</f>
        <v>258575.82875007234</v>
      </c>
      <c r="AF18">
        <v>2039</v>
      </c>
      <c r="AG18" s="9">
        <f>[3]System!TM18-I18-U18</f>
        <v>113051.16409452824</v>
      </c>
      <c r="AH18" s="9">
        <f>[3]System!TN18-J18-V18</f>
        <v>78465.86840141326</v>
      </c>
      <c r="AI18" s="9">
        <f>[3]System!TO18-K18-W18</f>
        <v>64081.757542958163</v>
      </c>
      <c r="AJ18" s="9">
        <f>[3]System!TP18-L18-X18</f>
        <v>79084.374465674337</v>
      </c>
      <c r="AK18" s="9">
        <f>[3]System!TQ18-M18-Y18</f>
        <v>76436.632730788726</v>
      </c>
      <c r="AL18" s="9">
        <f>[3]System!TR18-N18-Z18</f>
        <v>42845.847750023298</v>
      </c>
      <c r="AM18" s="9">
        <f>[3]System!TS18-O18-AA18</f>
        <v>43419.782193140956</v>
      </c>
      <c r="AN18" s="9">
        <f>[3]System!TT18-P18-AB18</f>
        <v>78465.86840141326</v>
      </c>
      <c r="AO18" s="9">
        <f>[3]System!TU18-Q18-AC18</f>
        <v>78465.86840141326</v>
      </c>
      <c r="AP18" s="9">
        <f>[3]System!TV18-R18-AD18</f>
        <v>79083.103522703343</v>
      </c>
      <c r="AQ18" s="9"/>
      <c r="AR18">
        <v>799434.07850000006</v>
      </c>
      <c r="AS18" s="9"/>
      <c r="AT18" s="9"/>
      <c r="AU18" s="9"/>
      <c r="AV18" s="9"/>
      <c r="AW18" s="9"/>
      <c r="AX18" s="9"/>
      <c r="AY18" s="9"/>
      <c r="AZ18" s="9"/>
      <c r="BA18" s="9"/>
      <c r="BB18" s="9"/>
    </row>
    <row r="19" spans="2:54" x14ac:dyDescent="0.25">
      <c r="B19">
        <v>2040</v>
      </c>
      <c r="C19" s="187">
        <f t="shared" si="2"/>
        <v>471752.33149769017</v>
      </c>
      <c r="D19" s="187">
        <f t="shared" si="0"/>
        <v>186784.12519723474</v>
      </c>
      <c r="E19" s="187">
        <f t="shared" si="1"/>
        <v>41703.102914749936</v>
      </c>
      <c r="F19" s="9">
        <f>[3]System!$TM19</f>
        <v>1173967.2768141432</v>
      </c>
      <c r="H19">
        <v>2040</v>
      </c>
      <c r="I19" s="9">
        <f>([3]ORRes!SI19+[3]WARes!SI19)/10</f>
        <v>736139.38821454719</v>
      </c>
      <c r="J19" s="9">
        <f>([3]ORRes!SJ19+[3]WARes!SJ19)/10</f>
        <v>650005.41335379612</v>
      </c>
      <c r="K19" s="9">
        <f>([3]ORRes!SK19+[3]WARes!SK19)/10</f>
        <v>626164.3816481831</v>
      </c>
      <c r="L19" s="9">
        <f>([3]ORRes!SL19+[3]WARes!SL19)/10</f>
        <v>682528.89328904182</v>
      </c>
      <c r="M19" s="9">
        <f>([3]ORRes!SM19+[3]WARes!SM19)/10</f>
        <v>564276.26342363458</v>
      </c>
      <c r="N19" s="9">
        <f>([3]ORRes!SN19+[3]WARes!SN19)/10</f>
        <v>471752.33149769017</v>
      </c>
      <c r="O19" s="9">
        <f>([3]ORRes!SO19+[3]WARes!SO19)/10</f>
        <v>212813.09920323137</v>
      </c>
      <c r="P19" s="9">
        <f>([3]ORRes!SP19+[3]WARes!SP19)/10</f>
        <v>650005.41335379612</v>
      </c>
      <c r="Q19" s="9">
        <f>([3]ORRes!SQ19+[3]WARes!SQ19)/10</f>
        <v>650005.41335379612</v>
      </c>
      <c r="R19" s="9">
        <f>([3]ORRes!SR19+[3]WARes!SR19)/10</f>
        <v>682442.95598382631</v>
      </c>
      <c r="S19" s="9"/>
      <c r="T19">
        <v>2040</v>
      </c>
      <c r="U19" s="9">
        <f>([3]ORCom!SI19+[3]WACom!SI19)/10</f>
        <v>321581.39864330133</v>
      </c>
      <c r="V19" s="9">
        <f>([3]ORCom!SJ19+[3]WACom!SJ19)/10</f>
        <v>247654.37739503835</v>
      </c>
      <c r="W19" s="9">
        <f>([3]ORCom!SK19+[3]WACom!SK19)/10</f>
        <v>236685.81916650012</v>
      </c>
      <c r="X19" s="9">
        <f>([3]ORCom!SL19+[3]WACom!SL19)/10</f>
        <v>259431.63595248875</v>
      </c>
      <c r="Y19" s="9">
        <f>([3]ORCom!SM19+[3]WACom!SM19)/10</f>
        <v>192340.72290542666</v>
      </c>
      <c r="Z19" s="9">
        <f>([3]ORCom!SN19+[3]WACom!SN19)/10</f>
        <v>186784.12519723474</v>
      </c>
      <c r="AA19" s="9">
        <f>([3]ORCom!SO19+[3]WACom!SO19)/10</f>
        <v>85720.67633743622</v>
      </c>
      <c r="AB19" s="9">
        <f>([3]ORCom!SP19+[3]WACom!SP19)/10</f>
        <v>247654.37739503835</v>
      </c>
      <c r="AC19" s="9">
        <f>([3]ORCom!SQ19+[3]WACom!SQ19)/10</f>
        <v>247654.37739503835</v>
      </c>
      <c r="AD19" s="9">
        <f>([3]ORCom!SR19+[3]WACom!SR19)/10</f>
        <v>259431.63595248875</v>
      </c>
      <c r="AF19">
        <v>2040</v>
      </c>
      <c r="AG19" s="9">
        <f>[3]System!TM19-I19-U19</f>
        <v>116246.48995629465</v>
      </c>
      <c r="AH19" s="9">
        <f>[3]System!TN19-J19-V19</f>
        <v>78870.433692190709</v>
      </c>
      <c r="AI19" s="9">
        <f>[3]System!TO19-K19-W19</f>
        <v>63580.088017607341</v>
      </c>
      <c r="AJ19" s="9">
        <f>[3]System!TP19-L19-X19</f>
        <v>79528.197205294273</v>
      </c>
      <c r="AK19" s="9">
        <f>[3]System!TQ19-M19-Y19</f>
        <v>76776.274233688571</v>
      </c>
      <c r="AL19" s="9">
        <f>[3]System!TR19-N19-Z19</f>
        <v>41703.102914749936</v>
      </c>
      <c r="AM19" s="9">
        <f>[3]System!TS19-O19-AA19</f>
        <v>40049.085503116017</v>
      </c>
      <c r="AN19" s="9">
        <f>[3]System!TT19-P19-AB19</f>
        <v>78870.433692190709</v>
      </c>
      <c r="AO19" s="9">
        <f>[3]System!TU19-Q19-AC19</f>
        <v>78870.433692190709</v>
      </c>
      <c r="AP19" s="9">
        <f>[3]System!TV19-R19-AD19</f>
        <v>79526.921235057525</v>
      </c>
      <c r="AQ19" s="9"/>
      <c r="AR19">
        <v>799434.07850000006</v>
      </c>
      <c r="AS19" s="9"/>
      <c r="AT19" s="9"/>
      <c r="AU19" s="9"/>
      <c r="AV19" s="9"/>
      <c r="AW19" s="9"/>
      <c r="AX19" s="9"/>
      <c r="AY19" s="9"/>
      <c r="AZ19" s="9"/>
      <c r="BA19" s="9"/>
      <c r="BB19" s="9"/>
    </row>
    <row r="20" spans="2:54" x14ac:dyDescent="0.25">
      <c r="B20">
        <v>2041</v>
      </c>
      <c r="C20" s="187">
        <f t="shared" si="2"/>
        <v>458558.83810555283</v>
      </c>
      <c r="D20" s="187">
        <f t="shared" si="0"/>
        <v>181618.30110246208</v>
      </c>
      <c r="E20" s="187">
        <f t="shared" si="1"/>
        <v>40265.005972799641</v>
      </c>
      <c r="F20" s="9">
        <f>[3]System!$TM20</f>
        <v>1181591.1110625812</v>
      </c>
      <c r="H20">
        <v>2041</v>
      </c>
      <c r="I20" s="9">
        <f>([3]ORRes!SI20+[3]WARes!SI20)/10</f>
        <v>738074.49477415532</v>
      </c>
      <c r="J20" s="9">
        <f>([3]ORRes!SJ20+[3]WARes!SJ20)/10</f>
        <v>645321.46417469752</v>
      </c>
      <c r="K20" s="9">
        <f>([3]ORRes!SK20+[3]WARes!SK20)/10</f>
        <v>617672.58921975421</v>
      </c>
      <c r="L20" s="9">
        <f>([3]ORRes!SL20+[3]WARes!SL20)/10</f>
        <v>679675.59743104526</v>
      </c>
      <c r="M20" s="9">
        <f>([3]ORRes!SM20+[3]WARes!SM20)/10</f>
        <v>557587.22375649086</v>
      </c>
      <c r="N20" s="9">
        <f>([3]ORRes!SN20+[3]WARes!SN20)/10</f>
        <v>458558.83810555283</v>
      </c>
      <c r="O20" s="9">
        <f>([3]ORRes!SO20+[3]WARes!SO20)/10</f>
        <v>186691.21568056784</v>
      </c>
      <c r="P20" s="9">
        <f>([3]ORRes!SP20+[3]WARes!SP20)/10</f>
        <v>645321.46417469752</v>
      </c>
      <c r="Q20" s="9">
        <f>([3]ORRes!SQ20+[3]WARes!SQ20)/10</f>
        <v>645321.46417469752</v>
      </c>
      <c r="R20" s="9">
        <f>([3]ORRes!SR20+[3]WARes!SR20)/10</f>
        <v>679590.15755436826</v>
      </c>
      <c r="S20" s="9"/>
      <c r="T20">
        <v>2041</v>
      </c>
      <c r="U20" s="9">
        <f>([3]ORCom!SI20+[3]WACom!SI20)/10</f>
        <v>324079.68130526401</v>
      </c>
      <c r="V20" s="9">
        <f>([3]ORCom!SJ20+[3]WACom!SJ20)/10</f>
        <v>248107.79287930456</v>
      </c>
      <c r="W20" s="9">
        <f>([3]ORCom!SK20+[3]WACom!SK20)/10</f>
        <v>236034.93380575502</v>
      </c>
      <c r="X20" s="9">
        <f>([3]ORCom!SL20+[3]WACom!SL20)/10</f>
        <v>260630.59562208192</v>
      </c>
      <c r="Y20" s="9">
        <f>([3]ORCom!SM20+[3]WACom!SM20)/10</f>
        <v>190259.9936072274</v>
      </c>
      <c r="Z20" s="9">
        <f>([3]ORCom!SN20+[3]WACom!SN20)/10</f>
        <v>181618.30110246208</v>
      </c>
      <c r="AA20" s="9">
        <f>([3]ORCom!SO20+[3]WACom!SO20)/10</f>
        <v>75450.455905712326</v>
      </c>
      <c r="AB20" s="9">
        <f>([3]ORCom!SP20+[3]WACom!SP20)/10</f>
        <v>248107.79287930456</v>
      </c>
      <c r="AC20" s="9">
        <f>([3]ORCom!SQ20+[3]WACom!SQ20)/10</f>
        <v>248107.79287930456</v>
      </c>
      <c r="AD20" s="9">
        <f>([3]ORCom!SR20+[3]WACom!SR20)/10</f>
        <v>260630.59562208192</v>
      </c>
      <c r="AF20">
        <v>2041</v>
      </c>
      <c r="AG20" s="9">
        <f>[3]System!TM20-I20-U20</f>
        <v>119436.93498316186</v>
      </c>
      <c r="AH20" s="9">
        <f>[3]System!TN20-J20-V20</f>
        <v>78813.164052617911</v>
      </c>
      <c r="AI20" s="9">
        <f>[3]System!TO20-K20-W20</f>
        <v>62792.590428678872</v>
      </c>
      <c r="AJ20" s="9">
        <f>[3]System!TP20-L20-X20</f>
        <v>79509.178140766424</v>
      </c>
      <c r="AK20" s="9">
        <f>[3]System!TQ20-M20-Y20</f>
        <v>76651.607448155468</v>
      </c>
      <c r="AL20" s="9">
        <f>[3]System!TR20-N20-Z20</f>
        <v>40265.005972799641</v>
      </c>
      <c r="AM20" s="9">
        <f>[3]System!TS20-O20-AA20</f>
        <v>36460.090280077537</v>
      </c>
      <c r="AN20" s="9">
        <f>[3]System!TT20-P20-AB20</f>
        <v>78813.164052617911</v>
      </c>
      <c r="AO20" s="9">
        <f>[3]System!TU20-Q20-AC20</f>
        <v>78813.164052617911</v>
      </c>
      <c r="AP20" s="9">
        <f>[3]System!TV20-R20-AD20</f>
        <v>79507.909556193015</v>
      </c>
      <c r="AQ20" s="9"/>
      <c r="AR20">
        <v>799434.07850000006</v>
      </c>
      <c r="AS20" s="9"/>
      <c r="AT20" s="9"/>
      <c r="AU20" s="9"/>
      <c r="AV20" s="9"/>
      <c r="AW20" s="9"/>
      <c r="AX20" s="9"/>
      <c r="AY20" s="9"/>
      <c r="AZ20" s="9"/>
      <c r="BA20" s="9"/>
      <c r="BB20" s="9"/>
    </row>
    <row r="21" spans="2:54" x14ac:dyDescent="0.25">
      <c r="B21">
        <v>2042</v>
      </c>
      <c r="C21" s="187">
        <f t="shared" si="2"/>
        <v>445649.86129454989</v>
      </c>
      <c r="D21" s="187">
        <f t="shared" si="0"/>
        <v>176565.13260624433</v>
      </c>
      <c r="E21" s="187">
        <f t="shared" si="1"/>
        <v>38974.514692959463</v>
      </c>
      <c r="F21" s="9">
        <f>[3]System!$TM21</f>
        <v>1189892.8322329591</v>
      </c>
      <c r="H21">
        <v>2042</v>
      </c>
      <c r="I21" s="9">
        <f>([3]ORRes!SI21+[3]WARes!SI21)/10</f>
        <v>740452.35726328066</v>
      </c>
      <c r="J21" s="9">
        <f>([3]ORRes!SJ21+[3]WARes!SJ21)/10</f>
        <v>643248.89892274828</v>
      </c>
      <c r="K21" s="9">
        <f>([3]ORRes!SK21+[3]WARes!SK21)/10</f>
        <v>612091.75709638337</v>
      </c>
      <c r="L21" s="9">
        <f>([3]ORRes!SL21+[3]WARes!SL21)/10</f>
        <v>679535.65049038013</v>
      </c>
      <c r="M21" s="9">
        <f>([3]ORRes!SM21+[3]WARes!SM21)/10</f>
        <v>551743.5431124178</v>
      </c>
      <c r="N21" s="9">
        <f>([3]ORRes!SN21+[3]WARes!SN21)/10</f>
        <v>445649.86129454989</v>
      </c>
      <c r="O21" s="9">
        <f>([3]ORRes!SO21+[3]WARes!SO21)/10</f>
        <v>160690.99090620567</v>
      </c>
      <c r="P21" s="9">
        <f>([3]ORRes!SP21+[3]WARes!SP21)/10</f>
        <v>643248.89892274828</v>
      </c>
      <c r="Q21" s="9">
        <f>([3]ORRes!SQ21+[3]WARes!SQ21)/10</f>
        <v>643248.89892274828</v>
      </c>
      <c r="R21" s="9">
        <f>([3]ORRes!SR21+[3]WARes!SR21)/10</f>
        <v>679451.2966606596</v>
      </c>
      <c r="S21" s="9"/>
      <c r="T21">
        <v>2042</v>
      </c>
      <c r="U21" s="9">
        <f>([3]ORCom!SI21+[3]WACom!SI21)/10</f>
        <v>326807.20815555012</v>
      </c>
      <c r="V21" s="9">
        <f>([3]ORCom!SJ21+[3]WACom!SJ21)/10</f>
        <v>249086.34966290867</v>
      </c>
      <c r="W21" s="9">
        <f>([3]ORCom!SK21+[3]WACom!SK21)/10</f>
        <v>235947.02270423021</v>
      </c>
      <c r="X21" s="9">
        <f>([3]ORCom!SL21+[3]WACom!SL21)/10</f>
        <v>262375.21160003811</v>
      </c>
      <c r="Y21" s="9">
        <f>([3]ORCom!SM21+[3]WACom!SM21)/10</f>
        <v>188560.34539140735</v>
      </c>
      <c r="Z21" s="9">
        <f>([3]ORCom!SN21+[3]WACom!SN21)/10</f>
        <v>176565.13260624433</v>
      </c>
      <c r="AA21" s="9">
        <f>([3]ORCom!SO21+[3]WACom!SO21)/10</f>
        <v>65229.217458504325</v>
      </c>
      <c r="AB21" s="9">
        <f>([3]ORCom!SP21+[3]WACom!SP21)/10</f>
        <v>249086.34966290867</v>
      </c>
      <c r="AC21" s="9">
        <f>([3]ORCom!SQ21+[3]WACom!SQ21)/10</f>
        <v>249086.34966290867</v>
      </c>
      <c r="AD21" s="9">
        <f>([3]ORCom!SR21+[3]WACom!SR21)/10</f>
        <v>262375.21160003811</v>
      </c>
      <c r="AF21">
        <v>2042</v>
      </c>
      <c r="AG21" s="9">
        <f>[3]System!TM21-I21-U21</f>
        <v>122633.26681412832</v>
      </c>
      <c r="AH21" s="9">
        <f>[3]System!TN21-J21-V21</f>
        <v>79062.217599416646</v>
      </c>
      <c r="AI21" s="9">
        <f>[3]System!TO21-K21-W21</f>
        <v>62247.119140235649</v>
      </c>
      <c r="AJ21" s="9">
        <f>[3]System!TP21-L21-X21</f>
        <v>79798.3008073417</v>
      </c>
      <c r="AK21" s="9">
        <f>[3]System!TQ21-M21-Y21</f>
        <v>76804.90350236572</v>
      </c>
      <c r="AL21" s="9">
        <f>[3]System!TR21-N21-Z21</f>
        <v>38974.514692959463</v>
      </c>
      <c r="AM21" s="9">
        <f>[3]System!TS21-O21-AA21</f>
        <v>32972.46643632483</v>
      </c>
      <c r="AN21" s="9">
        <f>[3]System!TT21-P21-AB21</f>
        <v>79062.217599416646</v>
      </c>
      <c r="AO21" s="9">
        <f>[3]System!TU21-Q21-AC21</f>
        <v>79062.217599416646</v>
      </c>
      <c r="AP21" s="9">
        <f>[3]System!TV21-R21-AD21</f>
        <v>79797.048348054057</v>
      </c>
      <c r="AQ21" s="9"/>
      <c r="AR21">
        <v>799434.07850000006</v>
      </c>
      <c r="AS21" s="9"/>
      <c r="AT21" s="9"/>
      <c r="AU21" s="9"/>
      <c r="AV21" s="9"/>
      <c r="AW21" s="9"/>
      <c r="AX21" s="9"/>
      <c r="AY21" s="9"/>
      <c r="AZ21" s="9"/>
      <c r="BA21" s="9"/>
      <c r="BB21" s="9"/>
    </row>
    <row r="22" spans="2:54" x14ac:dyDescent="0.25">
      <c r="B22">
        <v>2043</v>
      </c>
      <c r="C22" s="187">
        <f t="shared" si="2"/>
        <v>433057.5562465993</v>
      </c>
      <c r="D22" s="187">
        <f t="shared" si="0"/>
        <v>171637.4620836488</v>
      </c>
      <c r="E22" s="187">
        <f t="shared" si="1"/>
        <v>37680.123359844059</v>
      </c>
      <c r="F22" s="9">
        <f>[3]System!$TM22</f>
        <v>1199026.5283889992</v>
      </c>
      <c r="H22">
        <v>2043</v>
      </c>
      <c r="I22" s="9">
        <f>([3]ORRes!SI22+[3]WARes!SI22)/10</f>
        <v>743337.61584488919</v>
      </c>
      <c r="J22" s="9">
        <f>([3]ORRes!SJ22+[3]WARes!SJ22)/10</f>
        <v>640713.392565744</v>
      </c>
      <c r="K22" s="9">
        <f>([3]ORRes!SK22+[3]WARes!SK22)/10</f>
        <v>606004.58968283376</v>
      </c>
      <c r="L22" s="9">
        <f>([3]ORRes!SL22+[3]WARes!SL22)/10</f>
        <v>678876.15801747644</v>
      </c>
      <c r="M22" s="9">
        <f>([3]ORRes!SM22+[3]WARes!SM22)/10</f>
        <v>546193.23965332319</v>
      </c>
      <c r="N22" s="9">
        <f>([3]ORRes!SN22+[3]WARes!SN22)/10</f>
        <v>433057.5562465993</v>
      </c>
      <c r="O22" s="9">
        <f>([3]ORRes!SO22+[3]WARes!SO22)/10</f>
        <v>134781.53565882071</v>
      </c>
      <c r="P22" s="9">
        <f>([3]ORRes!SP22+[3]WARes!SP22)/10</f>
        <v>640713.392565744</v>
      </c>
      <c r="Q22" s="9">
        <f>([3]ORRes!SQ22+[3]WARes!SQ22)/10</f>
        <v>640713.392565744</v>
      </c>
      <c r="R22" s="9">
        <f>([3]ORRes!SR22+[3]WARes!SR22)/10</f>
        <v>678793.54783685773</v>
      </c>
      <c r="S22" s="9"/>
      <c r="T22">
        <v>2043</v>
      </c>
      <c r="U22" s="9">
        <f>([3]ORCom!SI22+[3]WACom!SI22)/10</f>
        <v>329806.94942561089</v>
      </c>
      <c r="V22" s="9">
        <f>([3]ORCom!SJ22+[3]WACom!SJ22)/10</f>
        <v>250459.97731834691</v>
      </c>
      <c r="W22" s="9">
        <f>([3]ORCom!SK22+[3]WACom!SK22)/10</f>
        <v>236267.83288179315</v>
      </c>
      <c r="X22" s="9">
        <f>([3]ORCom!SL22+[3]WACom!SL22)/10</f>
        <v>264532.6312759631</v>
      </c>
      <c r="Y22" s="9">
        <f>([3]ORCom!SM22+[3]WACom!SM22)/10</f>
        <v>187096.47692682399</v>
      </c>
      <c r="Z22" s="9">
        <f>([3]ORCom!SN22+[3]WACom!SN22)/10</f>
        <v>171637.4620836488</v>
      </c>
      <c r="AA22" s="9">
        <f>([3]ORCom!SO22+[3]WACom!SO22)/10</f>
        <v>55045.029431831281</v>
      </c>
      <c r="AB22" s="9">
        <f>([3]ORCom!SP22+[3]WACom!SP22)/10</f>
        <v>250459.97731834691</v>
      </c>
      <c r="AC22" s="9">
        <f>([3]ORCom!SQ22+[3]WACom!SQ22)/10</f>
        <v>250459.97731834691</v>
      </c>
      <c r="AD22" s="9">
        <f>([3]ORCom!SR22+[3]WACom!SR22)/10</f>
        <v>264532.6312759631</v>
      </c>
      <c r="AF22">
        <v>2043</v>
      </c>
      <c r="AG22" s="9">
        <f>[3]System!TM22-I22-U22</f>
        <v>125881.96311849909</v>
      </c>
      <c r="AH22" s="9">
        <f>[3]System!TN22-J22-V22</f>
        <v>79321.397022908728</v>
      </c>
      <c r="AI22" s="9">
        <f>[3]System!TO22-K22-W22</f>
        <v>61710.367288921145</v>
      </c>
      <c r="AJ22" s="9">
        <f>[3]System!TP22-L22-X22</f>
        <v>80096.972197232128</v>
      </c>
      <c r="AK22" s="9">
        <f>[3]System!TQ22-M22-Y22</f>
        <v>76977.189906001877</v>
      </c>
      <c r="AL22" s="9">
        <f>[3]System!TR22-N22-Z22</f>
        <v>37680.123359844059</v>
      </c>
      <c r="AM22" s="9">
        <f>[3]System!TS22-O22-AA22</f>
        <v>29476.114402343766</v>
      </c>
      <c r="AN22" s="9">
        <f>[3]System!TT22-P22-AB22</f>
        <v>79321.397022908728</v>
      </c>
      <c r="AO22" s="9">
        <f>[3]System!TU22-Q22-AC22</f>
        <v>79321.397022908728</v>
      </c>
      <c r="AP22" s="9">
        <f>[3]System!TV22-R22-AD22</f>
        <v>80095.745627101103</v>
      </c>
      <c r="AQ22" s="9"/>
      <c r="AR22">
        <v>799434.07850000006</v>
      </c>
      <c r="AS22" s="9"/>
      <c r="AT22" s="9"/>
      <c r="AU22" s="9"/>
      <c r="AV22" s="9"/>
      <c r="AW22" s="9"/>
      <c r="AX22" s="9"/>
      <c r="AY22" s="9"/>
      <c r="AZ22" s="9"/>
      <c r="BA22" s="9"/>
      <c r="BB22" s="9"/>
    </row>
    <row r="23" spans="2:54" x14ac:dyDescent="0.25">
      <c r="B23">
        <v>2044</v>
      </c>
      <c r="C23" s="187">
        <f t="shared" si="2"/>
        <v>419956.87419573002</v>
      </c>
      <c r="D23" s="187">
        <f t="shared" si="0"/>
        <v>166508.37699736489</v>
      </c>
      <c r="E23" s="187">
        <f t="shared" si="1"/>
        <v>36500.439672392647</v>
      </c>
      <c r="F23" s="9">
        <f>[3]System!$TM23</f>
        <v>1206812.7853317969</v>
      </c>
      <c r="H23">
        <v>2044</v>
      </c>
      <c r="I23" s="9">
        <f>([3]ORRes!SI23+[3]WARes!SI23)/10</f>
        <v>745268.54069815215</v>
      </c>
      <c r="J23" s="9">
        <f>([3]ORRes!SJ23+[3]WARes!SJ23)/10</f>
        <v>637343.33535398613</v>
      </c>
      <c r="K23" s="9">
        <f>([3]ORRes!SK23+[3]WARes!SK23)/10</f>
        <v>599200.07056336745</v>
      </c>
      <c r="L23" s="9">
        <f>([3]ORRes!SL23+[3]WARes!SL23)/10</f>
        <v>677300.02098485315</v>
      </c>
      <c r="M23" s="9">
        <f>([3]ORRes!SM23+[3]WARes!SM23)/10</f>
        <v>540016.08948681387</v>
      </c>
      <c r="N23" s="9">
        <f>([3]ORRes!SN23+[3]WARes!SN23)/10</f>
        <v>419956.87419573002</v>
      </c>
      <c r="O23" s="9">
        <f>([3]ORRes!SO23+[3]WARes!SO23)/10</f>
        <v>108703.40311428261</v>
      </c>
      <c r="P23" s="9">
        <f>([3]ORRes!SP23+[3]WARes!SP23)/10</f>
        <v>637343.33535398613</v>
      </c>
      <c r="Q23" s="9">
        <f>([3]ORRes!SQ23+[3]WARes!SQ23)/10</f>
        <v>637343.33535398613</v>
      </c>
      <c r="R23" s="9">
        <f>([3]ORRes!SR23+[3]WARes!SR23)/10</f>
        <v>677219.9812844058</v>
      </c>
      <c r="S23" s="9"/>
      <c r="T23">
        <v>2044</v>
      </c>
      <c r="U23" s="9">
        <f>([3]ORCom!SI23+[3]WACom!SI23)/10</f>
        <v>332465.14878718165</v>
      </c>
      <c r="V23" s="9">
        <f>([3]ORCom!SJ23+[3]WACom!SJ23)/10</f>
        <v>251333.66574810311</v>
      </c>
      <c r="W23" s="9">
        <f>([3]ORCom!SK23+[3]WACom!SK23)/10</f>
        <v>236084.93724888936</v>
      </c>
      <c r="X23" s="9">
        <f>([3]ORCom!SL23+[3]WACom!SL23)/10</f>
        <v>266154.45038289222</v>
      </c>
      <c r="Y23" s="9">
        <f>([3]ORCom!SM23+[3]WACom!SM23)/10</f>
        <v>185370.16103705263</v>
      </c>
      <c r="Z23" s="9">
        <f>([3]ORCom!SN23+[3]WACom!SN23)/10</f>
        <v>166508.37699736489</v>
      </c>
      <c r="AA23" s="9">
        <f>([3]ORCom!SO23+[3]WACom!SO23)/10</f>
        <v>44792.377938408237</v>
      </c>
      <c r="AB23" s="9">
        <f>([3]ORCom!SP23+[3]WACom!SP23)/10</f>
        <v>251333.66574810311</v>
      </c>
      <c r="AC23" s="9">
        <f>([3]ORCom!SQ23+[3]WACom!SQ23)/10</f>
        <v>251333.66574810311</v>
      </c>
      <c r="AD23" s="9">
        <f>([3]ORCom!SR23+[3]WACom!SR23)/10</f>
        <v>266154.45038289222</v>
      </c>
      <c r="AF23">
        <v>2044</v>
      </c>
      <c r="AG23" s="9">
        <f>[3]System!TM23-I23-U23</f>
        <v>129079.09584646305</v>
      </c>
      <c r="AH23" s="9">
        <f>[3]System!TN23-J23-V23</f>
        <v>79806.722584725532</v>
      </c>
      <c r="AI23" s="9">
        <f>[3]System!TO23-K23-W23</f>
        <v>61295.619903846877</v>
      </c>
      <c r="AJ23" s="9">
        <f>[3]System!TP23-L23-X23</f>
        <v>80620.041335310147</v>
      </c>
      <c r="AK23" s="9">
        <f>[3]System!TQ23-M23-Y23</f>
        <v>77382.232578190975</v>
      </c>
      <c r="AL23" s="9">
        <f>[3]System!TR23-N23-Z23</f>
        <v>36500.439672392647</v>
      </c>
      <c r="AM23" s="9">
        <f>[3]System!TS23-O23-AA23</f>
        <v>26025.994685220467</v>
      </c>
      <c r="AN23" s="9">
        <f>[3]System!TT23-P23-AB23</f>
        <v>79806.722584725532</v>
      </c>
      <c r="AO23" s="9">
        <f>[3]System!TU23-Q23-AC23</f>
        <v>79806.722584725532</v>
      </c>
      <c r="AP23" s="9">
        <f>[3]System!TV23-R23-AD23</f>
        <v>80618.852930864959</v>
      </c>
      <c r="AQ23" s="9"/>
      <c r="AR23">
        <v>799434.07850000006</v>
      </c>
      <c r="AS23" s="9"/>
      <c r="AT23" s="9"/>
      <c r="AU23" s="9"/>
      <c r="AV23" s="9"/>
      <c r="AW23" s="9"/>
      <c r="AX23" s="9"/>
      <c r="AY23" s="9"/>
      <c r="AZ23" s="9"/>
      <c r="BA23" s="9"/>
      <c r="BB23" s="9"/>
    </row>
    <row r="24" spans="2:54" x14ac:dyDescent="0.25">
      <c r="B24">
        <v>2045</v>
      </c>
      <c r="C24" s="187">
        <f t="shared" si="2"/>
        <v>406901.57514616742</v>
      </c>
      <c r="D24" s="187">
        <f t="shared" si="0"/>
        <v>161397.2546042194</v>
      </c>
      <c r="E24" s="187">
        <f t="shared" si="1"/>
        <v>35055.644168408413</v>
      </c>
      <c r="F24" s="9">
        <f>[3]System!$TM24</f>
        <v>1214622.1978399795</v>
      </c>
      <c r="H24">
        <v>2045</v>
      </c>
      <c r="I24" s="9">
        <f>([3]ORRes!SI24+[3]WARes!SI24)/10</f>
        <v>747185.14927183138</v>
      </c>
      <c r="J24" s="9">
        <f>([3]ORRes!SJ24+[3]WARes!SJ24)/10</f>
        <v>633180.71706178482</v>
      </c>
      <c r="K24" s="9">
        <f>([3]ORRes!SK24+[3]WARes!SK24)/10</f>
        <v>591612.34691206086</v>
      </c>
      <c r="L24" s="9">
        <f>([3]ORRes!SL24+[3]WARes!SL24)/10</f>
        <v>674849.61318631307</v>
      </c>
      <c r="M24" s="9">
        <f>([3]ORRes!SM24+[3]WARes!SM24)/10</f>
        <v>533804.31352401245</v>
      </c>
      <c r="N24" s="9">
        <f>([3]ORRes!SN24+[3]WARes!SN24)/10</f>
        <v>406901.57514616742</v>
      </c>
      <c r="O24" s="9">
        <f>([3]ORRes!SO24+[3]WARes!SO24)/10</f>
        <v>82647.469266205051</v>
      </c>
      <c r="P24" s="9">
        <f>([3]ORRes!SP24+[3]WARes!SP24)/10</f>
        <v>633180.71706178482</v>
      </c>
      <c r="Q24" s="9">
        <f>([3]ORRes!SQ24+[3]WARes!SQ24)/10</f>
        <v>633180.71706178482</v>
      </c>
      <c r="R24" s="9">
        <f>([3]ORRes!SR24+[3]WARes!SR24)/10</f>
        <v>674772.95762490644</v>
      </c>
      <c r="S24" s="9"/>
      <c r="T24">
        <v>2045</v>
      </c>
      <c r="U24" s="9">
        <f>([3]ORCom!SI24+[3]WACom!SI24)/10</f>
        <v>335146.7310843243</v>
      </c>
      <c r="V24" s="9">
        <f>([3]ORCom!SJ24+[3]WACom!SJ24)/10</f>
        <v>252442.84991360517</v>
      </c>
      <c r="W24" s="9">
        <f>([3]ORCom!SK24+[3]WACom!SK24)/10</f>
        <v>236166.94093137543</v>
      </c>
      <c r="X24" s="9">
        <f>([3]ORCom!SL24+[3]WACom!SL24)/10</f>
        <v>268018.89766190929</v>
      </c>
      <c r="Y24" s="9">
        <f>([3]ORCom!SM24+[3]WACom!SM24)/10</f>
        <v>183859.59282328334</v>
      </c>
      <c r="Z24" s="9">
        <f>([3]ORCom!SN24+[3]WACom!SN24)/10</f>
        <v>161397.2546042194</v>
      </c>
      <c r="AA24" s="9">
        <f>([3]ORCom!SO24+[3]WACom!SO24)/10</f>
        <v>34548.632439846886</v>
      </c>
      <c r="AB24" s="9">
        <f>([3]ORCom!SP24+[3]WACom!SP24)/10</f>
        <v>252442.84991360517</v>
      </c>
      <c r="AC24" s="9">
        <f>([3]ORCom!SQ24+[3]WACom!SQ24)/10</f>
        <v>252442.84991360517</v>
      </c>
      <c r="AD24" s="9">
        <f>([3]ORCom!SR24+[3]WACom!SR24)/10</f>
        <v>268018.89766190929</v>
      </c>
      <c r="AF24">
        <v>2045</v>
      </c>
      <c r="AG24" s="9">
        <f>[3]System!TM24-I24-U24</f>
        <v>132290.31748382386</v>
      </c>
      <c r="AH24" s="9">
        <f>[3]System!TN24-J24-V24</f>
        <v>79798.575163782312</v>
      </c>
      <c r="AI24" s="9">
        <f>[3]System!TO24-K24-W24</f>
        <v>60572.377666984044</v>
      </c>
      <c r="AJ24" s="9">
        <f>[3]System!TP24-L24-X24</f>
        <v>80648.53019095218</v>
      </c>
      <c r="AK24" s="9">
        <f>[3]System!TQ24-M24-Y24</f>
        <v>77304.762640710862</v>
      </c>
      <c r="AL24" s="9">
        <f>[3]System!TR24-N24-Z24</f>
        <v>35055.644168408413</v>
      </c>
      <c r="AM24" s="9">
        <f>[3]System!TS24-O24-AA24</f>
        <v>22413.147792517673</v>
      </c>
      <c r="AN24" s="9">
        <f>[3]System!TT24-P24-AB24</f>
        <v>79798.575163782312</v>
      </c>
      <c r="AO24" s="9">
        <f>[3]System!TU24-Q24-AC24</f>
        <v>79798.575163782312</v>
      </c>
      <c r="AP24" s="9">
        <f>[3]System!TV24-R24-AD24</f>
        <v>80647.392033145239</v>
      </c>
      <c r="AQ24" s="9"/>
      <c r="AR24">
        <v>799434.07850000006</v>
      </c>
      <c r="AS24" s="9"/>
      <c r="AT24" s="9"/>
      <c r="AU24" s="9"/>
      <c r="AV24" s="9"/>
      <c r="AW24" s="9"/>
      <c r="AX24" s="9"/>
      <c r="AY24" s="9"/>
      <c r="AZ24" s="9"/>
      <c r="BA24" s="9"/>
      <c r="BB24" s="9"/>
    </row>
    <row r="25" spans="2:54" x14ac:dyDescent="0.25">
      <c r="B25">
        <v>2046</v>
      </c>
      <c r="C25" s="187">
        <f t="shared" si="2"/>
        <v>394108.89940205455</v>
      </c>
      <c r="D25" s="187">
        <f t="shared" si="0"/>
        <v>156390.28567700641</v>
      </c>
      <c r="E25" s="187">
        <f t="shared" si="1"/>
        <v>33728.378000834957</v>
      </c>
      <c r="F25" s="9">
        <f>[3]System!$TM25</f>
        <v>1223089.5932740062</v>
      </c>
      <c r="H25">
        <v>2046</v>
      </c>
      <c r="I25" s="9">
        <f>([3]ORRes!SI25+[3]WARes!SI25)/10</f>
        <v>749473.13732985617</v>
      </c>
      <c r="J25" s="9">
        <f>([3]ORRes!SJ25+[3]WARes!SJ25)/10</f>
        <v>629319.61664642149</v>
      </c>
      <c r="K25" s="9">
        <f>([3]ORRes!SK25+[3]WARes!SK25)/10</f>
        <v>584388.18695920659</v>
      </c>
      <c r="L25" s="9">
        <f>([3]ORRes!SL25+[3]WARes!SL25)/10</f>
        <v>672689.66972267907</v>
      </c>
      <c r="M25" s="9">
        <f>([3]ORRes!SM25+[3]WARes!SM25)/10</f>
        <v>527962.05485245516</v>
      </c>
      <c r="N25" s="9">
        <f>([3]ORRes!SN25+[3]WARes!SN25)/10</f>
        <v>394108.89940205455</v>
      </c>
      <c r="O25" s="9">
        <f>([3]ORRes!SO25+[3]WARes!SO25)/10</f>
        <v>63148.550146464469</v>
      </c>
      <c r="P25" s="9">
        <f>([3]ORRes!SP25+[3]WARes!SP25)/10</f>
        <v>629319.61664642149</v>
      </c>
      <c r="Q25" s="9">
        <f>([3]ORRes!SQ25+[3]WARes!SQ25)/10</f>
        <v>629319.61664642149</v>
      </c>
      <c r="R25" s="9">
        <f>([3]ORRes!SR25+[3]WARes!SR25)/10</f>
        <v>672617.01858402265</v>
      </c>
      <c r="S25" s="9"/>
      <c r="T25">
        <v>2046</v>
      </c>
      <c r="U25" s="9">
        <f>([3]ORCom!SI25+[3]WACom!SI25)/10</f>
        <v>338046.90970668354</v>
      </c>
      <c r="V25" s="9">
        <f>([3]ORCom!SJ25+[3]WACom!SJ25)/10</f>
        <v>253652.41577044473</v>
      </c>
      <c r="W25" s="9">
        <f>([3]ORCom!SK25+[3]WACom!SK25)/10</f>
        <v>236339.94421092531</v>
      </c>
      <c r="X25" s="9">
        <f>([3]ORCom!SL25+[3]WACom!SL25)/10</f>
        <v>269985.43401911086</v>
      </c>
      <c r="Y25" s="9">
        <f>([3]ORCom!SM25+[3]WACom!SM25)/10</f>
        <v>182410.58633650484</v>
      </c>
      <c r="Z25" s="9">
        <f>([3]ORCom!SN25+[3]WACom!SN25)/10</f>
        <v>156390.28567700641</v>
      </c>
      <c r="AA25" s="9">
        <f>([3]ORCom!SO25+[3]WACom!SO25)/10</f>
        <v>26883.844491100132</v>
      </c>
      <c r="AB25" s="9">
        <f>([3]ORCom!SP25+[3]WACom!SP25)/10</f>
        <v>253652.41577044473</v>
      </c>
      <c r="AC25" s="9">
        <f>([3]ORCom!SQ25+[3]WACom!SQ25)/10</f>
        <v>253652.41577044473</v>
      </c>
      <c r="AD25" s="9">
        <f>([3]ORCom!SR25+[3]WACom!SR25)/10</f>
        <v>269985.43401911086</v>
      </c>
      <c r="AF25">
        <v>2046</v>
      </c>
      <c r="AG25" s="9">
        <f>[3]System!TM25-I25-U25</f>
        <v>135569.54623746645</v>
      </c>
      <c r="AH25" s="9">
        <f>[3]System!TN25-J25-V25</f>
        <v>80042.313627116673</v>
      </c>
      <c r="AI25" s="9">
        <f>[3]System!TO25-K25-W25</f>
        <v>60000.930095688964</v>
      </c>
      <c r="AJ25" s="9">
        <f>[3]System!TP25-L25-X25</f>
        <v>80928.766162083601</v>
      </c>
      <c r="AK25" s="9">
        <f>[3]System!TQ25-M25-Y25</f>
        <v>77479.611834858602</v>
      </c>
      <c r="AL25" s="9">
        <f>[3]System!TR25-N25-Z25</f>
        <v>33728.378000834957</v>
      </c>
      <c r="AM25" s="9">
        <f>[3]System!TS25-O25-AA25</f>
        <v>19215.30014803632</v>
      </c>
      <c r="AN25" s="9">
        <f>[3]System!TT25-P25-AB25</f>
        <v>80042.313627116673</v>
      </c>
      <c r="AO25" s="9">
        <f>[3]System!TU25-Q25-AC25</f>
        <v>80042.313627116673</v>
      </c>
      <c r="AP25" s="9">
        <f>[3]System!TV25-R25-AD25</f>
        <v>80927.687460693531</v>
      </c>
      <c r="AQ25" s="9"/>
      <c r="AR25">
        <v>799434.07850000006</v>
      </c>
      <c r="AS25" s="9"/>
      <c r="AT25" s="9"/>
      <c r="AU25" s="9"/>
      <c r="AV25" s="9"/>
      <c r="AW25" s="9"/>
      <c r="AX25" s="9"/>
      <c r="AY25" s="9"/>
      <c r="AZ25" s="9"/>
      <c r="BA25" s="9"/>
      <c r="BB25" s="9"/>
    </row>
    <row r="26" spans="2:54" x14ac:dyDescent="0.25">
      <c r="B26">
        <v>2047</v>
      </c>
      <c r="C26" s="187">
        <f t="shared" si="2"/>
        <v>380630.92018181068</v>
      </c>
      <c r="D26" s="187">
        <f t="shared" si="0"/>
        <v>151111.42358236908</v>
      </c>
      <c r="E26" s="187">
        <f t="shared" si="1"/>
        <v>32387.323232522671</v>
      </c>
      <c r="F26" s="9">
        <f>[3]System!$TM26</f>
        <v>1229437.1878805831</v>
      </c>
      <c r="H26">
        <v>2047</v>
      </c>
      <c r="I26" s="9">
        <f>([3]ORRes!SI26+[3]WARes!SI26)/10</f>
        <v>750324.71519806248</v>
      </c>
      <c r="J26" s="9">
        <f>([3]ORRes!SJ26+[3]WARes!SJ26)/10</f>
        <v>624165.11296136305</v>
      </c>
      <c r="K26" s="9">
        <f>([3]ORRes!SK26+[3]WARes!SK26)/10</f>
        <v>576036.19566808338</v>
      </c>
      <c r="L26" s="9">
        <f>([3]ORRes!SL26+[3]WARes!SL26)/10</f>
        <v>669109.94949586829</v>
      </c>
      <c r="M26" s="9">
        <f>([3]ORRes!SM26+[3]WARes!SM26)/10</f>
        <v>521163.45289399789</v>
      </c>
      <c r="N26" s="9">
        <f>([3]ORRes!SN26+[3]WARes!SN26)/10</f>
        <v>380630.92018181068</v>
      </c>
      <c r="O26" s="9">
        <f>([3]ORRes!SO26+[3]WARes!SO26)/10</f>
        <v>63070.258160076526</v>
      </c>
      <c r="P26" s="9">
        <f>([3]ORRes!SP26+[3]WARes!SP26)/10</f>
        <v>624165.11296136305</v>
      </c>
      <c r="Q26" s="9">
        <f>([3]ORRes!SQ26+[3]WARes!SQ26)/10</f>
        <v>624165.11296136305</v>
      </c>
      <c r="R26" s="9">
        <f>([3]ORRes!SR26+[3]WARes!SR26)/10</f>
        <v>669042.09605966811</v>
      </c>
      <c r="S26" s="9"/>
      <c r="T26">
        <v>2047</v>
      </c>
      <c r="U26" s="9">
        <f>([3]ORCom!SI26+[3]WACom!SI26)/10</f>
        <v>340362.88257242838</v>
      </c>
      <c r="V26" s="9">
        <f>([3]ORCom!SJ26+[3]WACom!SJ26)/10</f>
        <v>254489.51334113171</v>
      </c>
      <c r="W26" s="9">
        <f>([3]ORCom!SK26+[3]WACom!SK26)/10</f>
        <v>236185.06503116805</v>
      </c>
      <c r="X26" s="9">
        <f>([3]ORCom!SL26+[3]WACom!SL26)/10</f>
        <v>271546.56021969166</v>
      </c>
      <c r="Y26" s="9">
        <f>([3]ORCom!SM26+[3]WACom!SM26)/10</f>
        <v>180788.75882072729</v>
      </c>
      <c r="Z26" s="9">
        <f>([3]ORCom!SN26+[3]WACom!SN26)/10</f>
        <v>151111.42358236908</v>
      </c>
      <c r="AA26" s="9">
        <f>([3]ORCom!SO26+[3]WACom!SO26)/10</f>
        <v>26850.710610163718</v>
      </c>
      <c r="AB26" s="9">
        <f>([3]ORCom!SP26+[3]WACom!SP26)/10</f>
        <v>254489.51334113171</v>
      </c>
      <c r="AC26" s="9">
        <f>([3]ORCom!SQ26+[3]WACom!SQ26)/10</f>
        <v>254489.51334113171</v>
      </c>
      <c r="AD26" s="9">
        <f>([3]ORCom!SR26+[3]WACom!SR26)/10</f>
        <v>271546.56021969166</v>
      </c>
      <c r="AF26">
        <v>2047</v>
      </c>
      <c r="AG26" s="9">
        <f>[3]System!TM26-I26-U26</f>
        <v>138749.59011009225</v>
      </c>
      <c r="AH26" s="9">
        <f>[3]System!TN26-J26-V26</f>
        <v>80263.460030517337</v>
      </c>
      <c r="AI26" s="9">
        <f>[3]System!TO26-K26-W26</f>
        <v>59399.278141485876</v>
      </c>
      <c r="AJ26" s="9">
        <f>[3]System!TP26-L26-X26</f>
        <v>81184.044608572207</v>
      </c>
      <c r="AK26" s="9">
        <f>[3]System!TQ26-M26-Y26</f>
        <v>77639.837830352888</v>
      </c>
      <c r="AL26" s="9">
        <f>[3]System!TR26-N26-Z26</f>
        <v>32387.323232522671</v>
      </c>
      <c r="AM26" s="9">
        <f>[3]System!TS26-O26-AA26</f>
        <v>17064.874139291729</v>
      </c>
      <c r="AN26" s="9">
        <f>[3]System!TT26-P26-AB26</f>
        <v>80263.460030517337</v>
      </c>
      <c r="AO26" s="9">
        <f>[3]System!TU26-Q26-AC26</f>
        <v>80263.460030517337</v>
      </c>
      <c r="AP26" s="9">
        <f>[3]System!TV26-R26-AD26</f>
        <v>81183.037141968089</v>
      </c>
      <c r="AQ26" s="9"/>
      <c r="AR26">
        <v>799434.07850000006</v>
      </c>
      <c r="AS26" s="9"/>
      <c r="AT26" s="9"/>
      <c r="AU26" s="9"/>
      <c r="AV26" s="9"/>
      <c r="AW26" s="9"/>
      <c r="AX26" s="9"/>
      <c r="AY26" s="9"/>
      <c r="AZ26" s="9"/>
      <c r="BA26" s="9"/>
      <c r="BB26" s="9"/>
    </row>
    <row r="27" spans="2:54" x14ac:dyDescent="0.25">
      <c r="B27">
        <v>2048</v>
      </c>
      <c r="C27" s="187">
        <f t="shared" si="2"/>
        <v>367665.05240265094</v>
      </c>
      <c r="D27" s="187">
        <f t="shared" si="0"/>
        <v>146035.70329341461</v>
      </c>
      <c r="E27" s="187">
        <f t="shared" si="1"/>
        <v>31145.742050310189</v>
      </c>
      <c r="F27" s="9">
        <f>[3]System!$TM27</f>
        <v>1237217.3813300719</v>
      </c>
      <c r="H27">
        <v>2048</v>
      </c>
      <c r="I27" s="9">
        <f>([3]ORRes!SI27+[3]WARes!SI27)/10</f>
        <v>752327.99551348644</v>
      </c>
      <c r="J27" s="9">
        <f>([3]ORRes!SJ27+[3]WARes!SJ27)/10</f>
        <v>619986.06049858418</v>
      </c>
      <c r="K27" s="9">
        <f>([3]ORRes!SK27+[3]WARes!SK27)/10</f>
        <v>568711.02899124252</v>
      </c>
      <c r="L27" s="9">
        <f>([3]ORRes!SL27+[3]WARes!SL27)/10</f>
        <v>666545.41530316451</v>
      </c>
      <c r="M27" s="9">
        <f>([3]ORRes!SM27+[3]WARes!SM27)/10</f>
        <v>515392.59897486679</v>
      </c>
      <c r="N27" s="9">
        <f>([3]ORRes!SN27+[3]WARes!SN27)/10</f>
        <v>367665.05240265094</v>
      </c>
      <c r="O27" s="9">
        <f>([3]ORRes!SO27+[3]WARes!SO27)/10</f>
        <v>58379.571013172215</v>
      </c>
      <c r="P27" s="9">
        <f>([3]ORRes!SP27+[3]WARes!SP27)/10</f>
        <v>619986.06049858418</v>
      </c>
      <c r="Q27" s="9">
        <f>([3]ORRes!SQ27+[3]WARes!SQ27)/10</f>
        <v>619986.06049858418</v>
      </c>
      <c r="R27" s="9">
        <f>([3]ORRes!SR27+[3]WARes!SR27)/10</f>
        <v>666482.85202954768</v>
      </c>
      <c r="S27" s="9"/>
      <c r="T27">
        <v>2048</v>
      </c>
      <c r="U27" s="9">
        <f>([3]ORCom!SI27+[3]WACom!SI27)/10</f>
        <v>343111.27871733054</v>
      </c>
      <c r="V27" s="9">
        <f>([3]ORCom!SJ27+[3]WACom!SJ27)/10</f>
        <v>255653.64014654537</v>
      </c>
      <c r="W27" s="9">
        <f>([3]ORCom!SK27+[3]WACom!SK27)/10</f>
        <v>236342.21439397632</v>
      </c>
      <c r="X27" s="9">
        <f>([3]ORCom!SL27+[3]WACom!SL27)/10</f>
        <v>273452.3698557461</v>
      </c>
      <c r="Y27" s="9">
        <f>([3]ORCom!SM27+[3]WACom!SM27)/10</f>
        <v>179346.38876750309</v>
      </c>
      <c r="Z27" s="9">
        <f>([3]ORCom!SN27+[3]WACom!SN27)/10</f>
        <v>146035.70329341461</v>
      </c>
      <c r="AA27" s="9">
        <f>([3]ORCom!SO27+[3]WACom!SO27)/10</f>
        <v>26850.710610163718</v>
      </c>
      <c r="AB27" s="9">
        <f>([3]ORCom!SP27+[3]WACom!SP27)/10</f>
        <v>255653.64014654537</v>
      </c>
      <c r="AC27" s="9">
        <f>([3]ORCom!SQ27+[3]WACom!SQ27)/10</f>
        <v>255653.64014654537</v>
      </c>
      <c r="AD27" s="9">
        <f>([3]ORCom!SR27+[3]WACom!SR27)/10</f>
        <v>273452.3698557461</v>
      </c>
      <c r="AF27">
        <v>2048</v>
      </c>
      <c r="AG27" s="9">
        <f>[3]System!TM27-I27-U27</f>
        <v>141778.10709925496</v>
      </c>
      <c r="AH27" s="9">
        <f>[3]System!TN27-J27-V27</f>
        <v>80754.094507933944</v>
      </c>
      <c r="AI27" s="9">
        <f>[3]System!TO27-K27-W27</f>
        <v>58959.73012021085</v>
      </c>
      <c r="AJ27" s="9">
        <f>[3]System!TP27-L27-X27</f>
        <v>81709.663223191106</v>
      </c>
      <c r="AK27" s="9">
        <f>[3]System!TQ27-M27-Y27</f>
        <v>78068.137287120102</v>
      </c>
      <c r="AL27" s="9">
        <f>[3]System!TR27-N27-Z27</f>
        <v>31145.742050310189</v>
      </c>
      <c r="AM27" s="9">
        <f>[3]System!TS27-O27-AA27</f>
        <v>7026.7644897771825</v>
      </c>
      <c r="AN27" s="9">
        <f>[3]System!TT27-P27-AB27</f>
        <v>80754.094507933944</v>
      </c>
      <c r="AO27" s="9">
        <f>[3]System!TU27-Q27-AC27</f>
        <v>80754.094507933944</v>
      </c>
      <c r="AP27" s="9">
        <f>[3]System!TV27-R27-AD27</f>
        <v>81708.7343032668</v>
      </c>
      <c r="AQ27" s="9"/>
      <c r="AR27">
        <v>799434.07850000006</v>
      </c>
      <c r="AS27" s="9"/>
      <c r="AT27" s="9"/>
      <c r="AU27" s="9"/>
      <c r="AV27" s="9"/>
      <c r="AW27" s="9"/>
      <c r="AX27" s="9"/>
      <c r="AY27" s="9"/>
      <c r="AZ27" s="9"/>
      <c r="BA27" s="9"/>
      <c r="BB27" s="9"/>
    </row>
    <row r="28" spans="2:54" x14ac:dyDescent="0.25">
      <c r="B28">
        <v>2049</v>
      </c>
      <c r="C28" s="187">
        <f t="shared" si="2"/>
        <v>354819.72264545679</v>
      </c>
      <c r="D28" s="187">
        <f t="shared" si="0"/>
        <v>141007.85915240884</v>
      </c>
      <c r="E28" s="187">
        <f t="shared" si="1"/>
        <v>29676.163877782819</v>
      </c>
      <c r="F28" s="9">
        <f>[3]System!$TM28</f>
        <v>1245281.7186654748</v>
      </c>
      <c r="H28">
        <v>2049</v>
      </c>
      <c r="I28" s="9">
        <f>([3]ORRes!SI28+[3]WARes!SI28)/10</f>
        <v>754499.12012596393</v>
      </c>
      <c r="J28" s="9">
        <f>([3]ORRes!SJ28+[3]WARes!SJ28)/10</f>
        <v>614939.47453666001</v>
      </c>
      <c r="K28" s="9">
        <f>([3]ORRes!SK28+[3]WARes!SK28)/10</f>
        <v>560481.35791983525</v>
      </c>
      <c r="L28" s="9">
        <f>([3]ORRes!SL28+[3]WARes!SL28)/10</f>
        <v>663030.88227649895</v>
      </c>
      <c r="M28" s="9">
        <f>([3]ORRes!SM28+[3]WARes!SM28)/10</f>
        <v>509689.48143340601</v>
      </c>
      <c r="N28" s="9">
        <f>([3]ORRes!SN28+[3]WARes!SN28)/10</f>
        <v>354819.72264545679</v>
      </c>
      <c r="O28" s="9">
        <f>([3]ORRes!SO28+[3]WARes!SO28)/10</f>
        <v>56051.441685964062</v>
      </c>
      <c r="P28" s="9">
        <f>([3]ORRes!SP28+[3]WARes!SP28)/10</f>
        <v>614939.47453666001</v>
      </c>
      <c r="Q28" s="9">
        <f>([3]ORRes!SQ28+[3]WARes!SQ28)/10</f>
        <v>614939.47453666001</v>
      </c>
      <c r="R28" s="9">
        <f>([3]ORRes!SR28+[3]WARes!SR28)/10</f>
        <v>662974.34913570236</v>
      </c>
      <c r="S28" s="9"/>
      <c r="T28">
        <v>2049</v>
      </c>
      <c r="U28" s="9">
        <f>([3]ORCom!SI28+[3]WACom!SI28)/10</f>
        <v>345968.31428943772</v>
      </c>
      <c r="V28" s="9">
        <f>([3]ORCom!SJ28+[3]WACom!SJ28)/10</f>
        <v>256984.05261146068</v>
      </c>
      <c r="W28" s="9">
        <f>([3]ORCom!SK28+[3]WACom!SK28)/10</f>
        <v>236672.97447401038</v>
      </c>
      <c r="X28" s="9">
        <f>([3]ORCom!SL28+[3]WACom!SL28)/10</f>
        <v>275531.81980947359</v>
      </c>
      <c r="Y28" s="9">
        <f>([3]ORCom!SM28+[3]WACom!SM28)/10</f>
        <v>178046.84384043707</v>
      </c>
      <c r="Z28" s="9">
        <f>([3]ORCom!SN28+[3]WACom!SN28)/10</f>
        <v>141007.85915240884</v>
      </c>
      <c r="AA28" s="9">
        <f>([3]ORCom!SO28+[3]WACom!SO28)/10</f>
        <v>26859.373062696115</v>
      </c>
      <c r="AB28" s="9">
        <f>([3]ORCom!SP28+[3]WACom!SP28)/10</f>
        <v>256984.05261146068</v>
      </c>
      <c r="AC28" s="9">
        <f>([3]ORCom!SQ28+[3]WACom!SQ28)/10</f>
        <v>256984.05261146068</v>
      </c>
      <c r="AD28" s="9">
        <f>([3]ORCom!SR28+[3]WACom!SR28)/10</f>
        <v>275531.81980947359</v>
      </c>
      <c r="AF28">
        <v>2049</v>
      </c>
      <c r="AG28" s="9">
        <f>[3]System!TM28-I28-U28</f>
        <v>144814.28425007313</v>
      </c>
      <c r="AH28" s="9">
        <f>[3]System!TN28-J28-V28</f>
        <v>80740.133823956479</v>
      </c>
      <c r="AI28" s="9">
        <f>[3]System!TO28-K28-W28</f>
        <v>58217.623606343084</v>
      </c>
      <c r="AJ28" s="9">
        <f>[3]System!TP28-L28-X28</f>
        <v>81729.571456574369</v>
      </c>
      <c r="AK28" s="9">
        <f>[3]System!TQ28-M28-Y28</f>
        <v>78005.379842518771</v>
      </c>
      <c r="AL28" s="9">
        <f>[3]System!TR28-N28-Z28</f>
        <v>29676.163877782819</v>
      </c>
      <c r="AM28" s="9">
        <f>[3]System!TS28-O28-AA28</f>
        <v>7274.0338537479001</v>
      </c>
      <c r="AN28" s="9">
        <f>[3]System!TT28-P28-AB28</f>
        <v>80740.133823956479</v>
      </c>
      <c r="AO28" s="9">
        <f>[3]System!TU28-Q28-AC28</f>
        <v>80740.133823956479</v>
      </c>
      <c r="AP28" s="9">
        <f>[3]System!TV28-R28-AD28</f>
        <v>81728.732070176746</v>
      </c>
      <c r="AQ28" s="9"/>
      <c r="AR28">
        <v>799434.07850000006</v>
      </c>
      <c r="AS28" s="9"/>
      <c r="AT28" s="9"/>
      <c r="AU28" s="9"/>
      <c r="AV28" s="9"/>
      <c r="AW28" s="9"/>
      <c r="AX28" s="9"/>
      <c r="AY28" s="9"/>
      <c r="AZ28" s="9"/>
      <c r="BA28" s="9"/>
      <c r="BB28" s="9"/>
    </row>
    <row r="29" spans="2:54" x14ac:dyDescent="0.25">
      <c r="B29">
        <v>2050</v>
      </c>
      <c r="C29" s="187">
        <f t="shared" si="2"/>
        <v>341802.9701930891</v>
      </c>
      <c r="D29" s="187">
        <f t="shared" si="0"/>
        <v>135911.94184010342</v>
      </c>
      <c r="E29" s="187">
        <f t="shared" si="1"/>
        <v>28302.952217812708</v>
      </c>
      <c r="F29" s="9">
        <f>[3]System!$TM29</f>
        <v>1252729.3689475965</v>
      </c>
      <c r="H29">
        <v>2050</v>
      </c>
      <c r="I29" s="9">
        <f>([3]ORRes!SI29+[3]WARes!SI29)/10</f>
        <v>756156.69236507325</v>
      </c>
      <c r="J29" s="9">
        <f>([3]ORRes!SJ29+[3]WARes!SJ29)/10</f>
        <v>609453.97451972554</v>
      </c>
      <c r="K29" s="9">
        <f>([3]ORRes!SK29+[3]WARes!SK29)/10</f>
        <v>551921.3687869017</v>
      </c>
      <c r="L29" s="9">
        <f>([3]ORRes!SL29+[3]WARes!SL29)/10</f>
        <v>658975.13440754171</v>
      </c>
      <c r="M29" s="9">
        <f>([3]ORRes!SM29+[3]WARes!SM29)/10</f>
        <v>503736.63604765665</v>
      </c>
      <c r="N29" s="9">
        <f>([3]ORRes!SN29+[3]WARes!SN29)/10</f>
        <v>341802.9701930891</v>
      </c>
      <c r="O29" s="9">
        <f>([3]ORRes!SO29+[3]WARes!SO29)/10</f>
        <v>54871.884200740387</v>
      </c>
      <c r="P29" s="9">
        <f>([3]ORRes!SP29+[3]WARes!SP29)/10</f>
        <v>609453.97451972554</v>
      </c>
      <c r="Q29" s="9">
        <f>([3]ORRes!SQ29+[3]WARes!SQ29)/10</f>
        <v>609453.97451972554</v>
      </c>
      <c r="R29" s="9">
        <f>([3]ORRes!SR29+[3]WARes!SR29)/10</f>
        <v>658925.29161680653</v>
      </c>
      <c r="S29" s="9"/>
      <c r="T29">
        <v>2050</v>
      </c>
      <c r="U29" s="9">
        <f>([3]ORCom!SI29+[3]WACom!SI29)/10</f>
        <v>348669.30013257207</v>
      </c>
      <c r="V29" s="9">
        <f>([3]ORCom!SJ29+[3]WACom!SJ29)/10</f>
        <v>258249.93609738955</v>
      </c>
      <c r="W29" s="9">
        <f>([3]ORCom!SK29+[3]WACom!SK29)/10</f>
        <v>236892.37100946694</v>
      </c>
      <c r="X29" s="9">
        <f>([3]ORCom!SL29+[3]WACom!SL29)/10</f>
        <v>277432.12356423831</v>
      </c>
      <c r="Y29" s="9">
        <f>([3]ORCom!SM29+[3]WACom!SM29)/10</f>
        <v>176718.19834169597</v>
      </c>
      <c r="Z29" s="9">
        <f>([3]ORCom!SN29+[3]WACom!SN29)/10</f>
        <v>135911.94184010342</v>
      </c>
      <c r="AA29" s="9">
        <f>([3]ORCom!SO29+[3]WACom!SO29)/10</f>
        <v>26855.908081683163</v>
      </c>
      <c r="AB29" s="9">
        <f>([3]ORCom!SP29+[3]WACom!SP29)/10</f>
        <v>258249.93609738955</v>
      </c>
      <c r="AC29" s="9">
        <f>([3]ORCom!SQ29+[3]WACom!SQ29)/10</f>
        <v>258249.93609738955</v>
      </c>
      <c r="AD29" s="9">
        <f>([3]ORCom!SR29+[3]WACom!SR29)/10</f>
        <v>277432.12356423831</v>
      </c>
      <c r="AF29">
        <v>2050</v>
      </c>
      <c r="AG29" s="9">
        <f>[3]System!TM29-I29-U29</f>
        <v>147903.3764499512</v>
      </c>
      <c r="AH29" s="9">
        <f>[3]System!TN29-J29-V29</f>
        <v>80968.66507123597</v>
      </c>
      <c r="AI29" s="9">
        <f>[3]System!TO29-K29-W29</f>
        <v>57605.320700946148</v>
      </c>
      <c r="AJ29" s="9">
        <f>[3]System!TP29-L29-X29</f>
        <v>81988.750890469411</v>
      </c>
      <c r="AK29" s="9">
        <f>[3]System!TQ29-M29-Y29</f>
        <v>78188.449336790334</v>
      </c>
      <c r="AL29" s="9">
        <f>[3]System!TR29-N29-Z29</f>
        <v>28302.952217812708</v>
      </c>
      <c r="AM29" s="9">
        <f>[3]System!TS29-O29-AA29</f>
        <v>6369.3709014025007</v>
      </c>
      <c r="AN29" s="9">
        <f>[3]System!TT29-P29-AB29</f>
        <v>80968.66507123597</v>
      </c>
      <c r="AO29" s="9">
        <f>[3]System!TU29-Q29-AC29</f>
        <v>80968.66507123597</v>
      </c>
      <c r="AP29" s="9">
        <f>[3]System!TV29-R29-AD29</f>
        <v>81988.01084029756</v>
      </c>
      <c r="AQ29" s="9"/>
      <c r="AR29">
        <v>799434.07850000006</v>
      </c>
      <c r="AS29" s="9"/>
      <c r="AT29" s="9"/>
      <c r="AU29" s="9"/>
      <c r="AV29" s="9"/>
      <c r="AW29" s="9"/>
      <c r="AX29" s="9"/>
      <c r="AY29" s="9"/>
      <c r="AZ29" s="9"/>
      <c r="BA29" s="9"/>
      <c r="BB29" s="9"/>
    </row>
    <row r="30" spans="2:54" x14ac:dyDescent="0.25">
      <c r="F30" s="9"/>
      <c r="I30" s="9"/>
      <c r="J30" s="9"/>
      <c r="K30" s="9"/>
      <c r="L30" s="9"/>
      <c r="M30" s="9"/>
      <c r="N30" s="9"/>
      <c r="O30" s="9"/>
      <c r="P30" s="9"/>
      <c r="Q30" s="9"/>
      <c r="R30" s="9"/>
      <c r="S30" s="9"/>
      <c r="U30" s="9"/>
      <c r="V30" s="9"/>
      <c r="W30" s="9"/>
      <c r="X30" s="9"/>
      <c r="Y30" s="9"/>
      <c r="Z30" s="9"/>
      <c r="AA30" s="9"/>
      <c r="AB30" s="9"/>
      <c r="AC30" s="9"/>
      <c r="AD30" s="9"/>
      <c r="AG30" s="9"/>
      <c r="AH30" s="9"/>
      <c r="AI30" s="9"/>
      <c r="AJ30" s="9"/>
      <c r="AK30" s="9"/>
      <c r="AL30" s="9"/>
      <c r="AM30" s="9"/>
      <c r="AN30" s="9"/>
      <c r="AO30" s="9"/>
      <c r="AP30" s="9"/>
      <c r="AQ30" s="9"/>
      <c r="AS30" s="9"/>
      <c r="AT30" s="9"/>
      <c r="AU30" s="9"/>
      <c r="AV30" s="9"/>
      <c r="AW30" s="9"/>
      <c r="AX30" s="9"/>
      <c r="AY30" s="9"/>
      <c r="AZ30" s="9"/>
      <c r="BA30" s="9"/>
      <c r="BB30" s="9"/>
    </row>
    <row r="31" spans="2:54" x14ac:dyDescent="0.25">
      <c r="J31" s="9"/>
      <c r="AH31" s="9"/>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7D032-7305-48A9-B9A9-D0773D2274A8}">
  <sheetPr>
    <tabColor rgb="FF0070C0"/>
  </sheetPr>
  <dimension ref="A1:BH61"/>
  <sheetViews>
    <sheetView topLeftCell="AS1" workbookViewId="0">
      <selection activeCell="AU34" sqref="AU34"/>
    </sheetView>
  </sheetViews>
  <sheetFormatPr defaultRowHeight="15" x14ac:dyDescent="0.25"/>
  <cols>
    <col min="1" max="1" width="8.28515625" customWidth="1"/>
    <col min="3" max="3" width="11.28515625" style="187" bestFit="1" customWidth="1"/>
    <col min="4" max="4" width="11.7109375" style="187" customWidth="1"/>
    <col min="5" max="6" width="13.28515625" style="187" customWidth="1"/>
    <col min="7" max="7" width="11.7109375" style="187" customWidth="1"/>
    <col min="8" max="8" width="11.42578125" style="187" customWidth="1"/>
    <col min="9" max="10" width="12" style="187" customWidth="1"/>
    <col min="11" max="12" width="11.42578125" customWidth="1"/>
    <col min="15" max="24" width="11.5703125" customWidth="1"/>
    <col min="27" max="36" width="11.5703125" customWidth="1"/>
    <col min="39" max="48" width="11.7109375" customWidth="1"/>
    <col min="51" max="60" width="11.7109375" customWidth="1"/>
  </cols>
  <sheetData>
    <row r="1" spans="1:60" x14ac:dyDescent="0.25">
      <c r="A1" t="s">
        <v>79</v>
      </c>
      <c r="B1" t="s">
        <v>242</v>
      </c>
      <c r="C1" s="187" t="s">
        <v>538</v>
      </c>
      <c r="D1" s="187" t="s">
        <v>542</v>
      </c>
      <c r="E1" s="187" t="s">
        <v>543</v>
      </c>
      <c r="F1" s="187" t="s">
        <v>544</v>
      </c>
      <c r="G1" s="187" t="s">
        <v>316</v>
      </c>
      <c r="H1" s="187" t="s">
        <v>317</v>
      </c>
      <c r="I1" s="187" t="s">
        <v>545</v>
      </c>
      <c r="J1" s="187" t="s">
        <v>319</v>
      </c>
      <c r="K1" s="187" t="s">
        <v>94</v>
      </c>
      <c r="L1" s="187" t="s">
        <v>546</v>
      </c>
      <c r="M1" s="187" t="s">
        <v>547</v>
      </c>
      <c r="N1" t="s">
        <v>242</v>
      </c>
      <c r="O1" t="s">
        <v>94</v>
      </c>
      <c r="P1" t="s">
        <v>98</v>
      </c>
      <c r="Q1" t="s">
        <v>99</v>
      </c>
      <c r="R1" t="s">
        <v>100</v>
      </c>
      <c r="S1" t="s">
        <v>101</v>
      </c>
      <c r="T1" t="s">
        <v>102</v>
      </c>
      <c r="U1" t="s">
        <v>103</v>
      </c>
      <c r="V1" t="s">
        <v>104</v>
      </c>
      <c r="W1" t="s">
        <v>105</v>
      </c>
      <c r="X1" t="s">
        <v>106</v>
      </c>
      <c r="Y1" t="s">
        <v>548</v>
      </c>
      <c r="Z1" t="s">
        <v>242</v>
      </c>
      <c r="AA1" t="s">
        <v>94</v>
      </c>
      <c r="AB1" t="s">
        <v>98</v>
      </c>
      <c r="AC1" t="s">
        <v>99</v>
      </c>
      <c r="AD1" t="s">
        <v>100</v>
      </c>
      <c r="AE1" t="s">
        <v>101</v>
      </c>
      <c r="AF1" t="s">
        <v>102</v>
      </c>
      <c r="AG1" t="s">
        <v>103</v>
      </c>
      <c r="AH1" t="s">
        <v>104</v>
      </c>
      <c r="AI1" t="s">
        <v>105</v>
      </c>
      <c r="AJ1" t="s">
        <v>106</v>
      </c>
      <c r="AK1" t="s">
        <v>549</v>
      </c>
      <c r="AL1" t="s">
        <v>242</v>
      </c>
      <c r="AM1" t="s">
        <v>94</v>
      </c>
      <c r="AN1" t="s">
        <v>98</v>
      </c>
      <c r="AO1" t="s">
        <v>99</v>
      </c>
      <c r="AP1" t="s">
        <v>100</v>
      </c>
      <c r="AQ1" t="s">
        <v>101</v>
      </c>
      <c r="AR1" t="s">
        <v>102</v>
      </c>
      <c r="AS1" t="s">
        <v>103</v>
      </c>
      <c r="AT1" t="s">
        <v>104</v>
      </c>
      <c r="AU1" t="s">
        <v>105</v>
      </c>
      <c r="AV1" t="s">
        <v>106</v>
      </c>
      <c r="AW1" t="s">
        <v>550</v>
      </c>
      <c r="AX1" t="s">
        <v>242</v>
      </c>
      <c r="AY1" t="s">
        <v>94</v>
      </c>
      <c r="AZ1" t="s">
        <v>98</v>
      </c>
      <c r="BA1" t="s">
        <v>99</v>
      </c>
      <c r="BB1" t="s">
        <v>100</v>
      </c>
      <c r="BC1" t="s">
        <v>101</v>
      </c>
      <c r="BD1" t="s">
        <v>102</v>
      </c>
      <c r="BE1" t="s">
        <v>103</v>
      </c>
      <c r="BF1" t="s">
        <v>104</v>
      </c>
      <c r="BG1" t="s">
        <v>105</v>
      </c>
      <c r="BH1" t="s">
        <v>106</v>
      </c>
    </row>
    <row r="2" spans="1:60" x14ac:dyDescent="0.25">
      <c r="A2">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2">
        <v>2022</v>
      </c>
      <c r="C2" s="187">
        <f>VLOOKUP($B2,$N$1:$X$30,$A$2+2)</f>
        <v>39259732.435937501</v>
      </c>
      <c r="D2" s="187">
        <f>VLOOKUP($B2,$Z$1:$AJ$30,$A$2+2)</f>
        <v>16907226.653906249</v>
      </c>
      <c r="E2" s="187">
        <f>VLOOKUP($B2,$AL$1:$AV$30,$A$2+2)</f>
        <v>16040843.699999999</v>
      </c>
      <c r="F2" s="187">
        <f>VLOOKUP($B2,$AX$1:$BH$30,$A$2+2)</f>
        <v>35984083.143749997</v>
      </c>
      <c r="G2" s="187">
        <f t="shared" ref="G2:G30" si="0">O2-C2</f>
        <v>-58214.66250000149</v>
      </c>
      <c r="H2" s="187">
        <f t="shared" ref="H2:H30" si="1">AA2-D2</f>
        <v>0</v>
      </c>
      <c r="I2" s="187">
        <f t="shared" ref="I2:I30" si="2">AM2-E2</f>
        <v>0</v>
      </c>
      <c r="J2" s="187">
        <f>AY2-F2</f>
        <v>0</v>
      </c>
      <c r="K2" s="9">
        <f>[4]Annual!$HO2</f>
        <v>108133671.3875</v>
      </c>
      <c r="L2" s="9">
        <f>'[5]Oregon Emissions'!$B3/0.05311</f>
        <v>111686254.94257203</v>
      </c>
      <c r="N2">
        <v>2022</v>
      </c>
      <c r="O2" s="9">
        <f>([4]Annual!V2)/10</f>
        <v>39201517.7734375</v>
      </c>
      <c r="P2" s="9">
        <f>([4]Annual!W2)/10</f>
        <v>39192275.542187497</v>
      </c>
      <c r="Q2" s="9">
        <f>([4]Annual!X2)/10</f>
        <v>39183506.015625</v>
      </c>
      <c r="R2" s="9">
        <f>([4]Annual!Y2)/10</f>
        <v>39192275.542187497</v>
      </c>
      <c r="S2" s="9">
        <f>([4]Annual!Z2)/10</f>
        <v>39192275.542187497</v>
      </c>
      <c r="T2" s="9">
        <f>([4]Annual!AA2)/10</f>
        <v>39259732.435937501</v>
      </c>
      <c r="U2" s="9">
        <f>([4]Annual!AB2)/10</f>
        <v>39259732.435937501</v>
      </c>
      <c r="V2" s="9">
        <f>([4]Annual!AC2)/10</f>
        <v>39192275.542187497</v>
      </c>
      <c r="W2" s="9">
        <f>([4]Annual!AD2)/10</f>
        <v>39192275.542187497</v>
      </c>
      <c r="X2" s="9">
        <f>([4]Annual!AE2)/10</f>
        <v>39192275.542187497</v>
      </c>
      <c r="Y2" s="9"/>
      <c r="Z2">
        <v>2022</v>
      </c>
      <c r="AA2" s="9">
        <f>([4]Annual!AZ2)/10</f>
        <v>16907226.653906249</v>
      </c>
      <c r="AB2" s="9">
        <f>([4]Annual!BA2)/10</f>
        <v>16809213.111718751</v>
      </c>
      <c r="AC2" s="9">
        <f>([4]Annual!BB2)/10</f>
        <v>16796471.349218749</v>
      </c>
      <c r="AD2" s="9">
        <f>([4]Annual!BC2)/10</f>
        <v>16809213.111718751</v>
      </c>
      <c r="AE2" s="9">
        <f>([4]Annual!BD2)/10</f>
        <v>16809213.111718751</v>
      </c>
      <c r="AF2" s="9">
        <f>([4]Annual!BE2)/10</f>
        <v>16907226.653906249</v>
      </c>
      <c r="AG2" s="9">
        <f>([4]Annual!BF2)/10</f>
        <v>16907226.653906249</v>
      </c>
      <c r="AH2" s="9">
        <f>([4]Annual!BG2)/10</f>
        <v>16809213.111718751</v>
      </c>
      <c r="AI2" s="9">
        <f>([4]Annual!BH2)/10</f>
        <v>16809213.111718751</v>
      </c>
      <c r="AJ2" s="9">
        <f>([4]Annual!BI2)/10</f>
        <v>16809213.111718751</v>
      </c>
      <c r="AK2" s="9"/>
      <c r="AL2">
        <v>2022</v>
      </c>
      <c r="AM2" s="9">
        <f>[4]Annual!EL2/10</f>
        <v>16040843.699999999</v>
      </c>
      <c r="AN2" s="9">
        <f>[4]Annual!EM2/10</f>
        <v>16040843.699999999</v>
      </c>
      <c r="AO2" s="9">
        <f>[4]Annual!EN2/10</f>
        <v>16040843.699999999</v>
      </c>
      <c r="AP2" s="9">
        <f>[4]Annual!EO2/10</f>
        <v>16040843.699999999</v>
      </c>
      <c r="AQ2" s="9">
        <f>[4]Annual!EP2/10</f>
        <v>16040843.699999999</v>
      </c>
      <c r="AR2" s="9">
        <f>[4]Annual!EQ2/10</f>
        <v>16040843.699999999</v>
      </c>
      <c r="AS2" s="9">
        <f>[4]Annual!ER2/10</f>
        <v>16040843.699999999</v>
      </c>
      <c r="AT2" s="9">
        <f>[4]Annual!ES2/10</f>
        <v>16040843.699999999</v>
      </c>
      <c r="AU2" s="9">
        <f>[4]Annual!ET2/10</f>
        <v>16040843.699999999</v>
      </c>
      <c r="AV2" s="9">
        <f>[4]Annual!EU2/10</f>
        <v>16040843.699999999</v>
      </c>
      <c r="AW2" s="9"/>
      <c r="AX2">
        <v>2022</v>
      </c>
      <c r="AY2" s="9">
        <f>[4]Annual!EV2/10</f>
        <v>35984083.143749997</v>
      </c>
      <c r="AZ2" s="9">
        <f>[4]Annual!EW2/10</f>
        <v>35984083.143749997</v>
      </c>
      <c r="BA2" s="9">
        <f>[4]Annual!EX2/10</f>
        <v>35984083.143749997</v>
      </c>
      <c r="BB2" s="9">
        <f>[4]Annual!EY2/10</f>
        <v>35984083.143749997</v>
      </c>
      <c r="BC2" s="9">
        <f>[4]Annual!EZ2/10</f>
        <v>35984083.143749997</v>
      </c>
      <c r="BD2" s="9">
        <f>[4]Annual!FA2/10</f>
        <v>35984083.143749997</v>
      </c>
      <c r="BE2" s="9">
        <f>[4]Annual!FB2/10</f>
        <v>35984083.143749997</v>
      </c>
      <c r="BF2" s="9">
        <f>[4]Annual!FC2/10</f>
        <v>35984083.143749997</v>
      </c>
      <c r="BG2" s="9">
        <f>[4]Annual!FD2/10</f>
        <v>35984083.143749997</v>
      </c>
      <c r="BH2" s="9">
        <f>[4]Annual!FE2/10</f>
        <v>35984083.143749997</v>
      </c>
    </row>
    <row r="3" spans="1:60" x14ac:dyDescent="0.25">
      <c r="B3">
        <v>2023</v>
      </c>
      <c r="C3" s="187">
        <f t="shared" ref="C3:C30" si="3">VLOOKUP($B3,$N$1:$X$30,$A$2+2)</f>
        <v>39521790.262500003</v>
      </c>
      <c r="D3" s="187">
        <f t="shared" ref="D3:D30" si="4">VLOOKUP($B3,$Z$1:$AJ$30,$A$2+2)</f>
        <v>16869467.220312499</v>
      </c>
      <c r="E3" s="187">
        <f t="shared" ref="E3:E30" si="5">VLOOKUP($B3,$AL$1:$AV$30,$A$2+2)</f>
        <v>15700684.793749999</v>
      </c>
      <c r="F3" s="187">
        <f t="shared" ref="F3:F30" si="6">VLOOKUP($B3,$AX$1:$BH$30,$A$2+2)</f>
        <v>35257075.924999997</v>
      </c>
      <c r="G3" s="187">
        <f t="shared" si="0"/>
        <v>-203786.78593750298</v>
      </c>
      <c r="H3" s="187">
        <f t="shared" si="1"/>
        <v>0</v>
      </c>
      <c r="I3" s="187">
        <f t="shared" si="2"/>
        <v>343810.80937500112</v>
      </c>
      <c r="J3" s="187">
        <f t="shared" ref="J3:J30" si="7">AY3-F3</f>
        <v>772052.13750000298</v>
      </c>
      <c r="K3" s="9">
        <f>[4]Annual!$HO3</f>
        <v>108261093.71875</v>
      </c>
      <c r="L3" s="9">
        <f>'[5]Oregon Emissions'!$B4/0.05311</f>
        <v>107390629.7524731</v>
      </c>
      <c r="N3">
        <v>2023</v>
      </c>
      <c r="O3" s="9">
        <f>([4]Annual!V3)/10</f>
        <v>39318003.4765625</v>
      </c>
      <c r="P3" s="9">
        <f>([4]Annual!W3)/10</f>
        <v>39281753.560937501</v>
      </c>
      <c r="Q3" s="9">
        <f>([4]Annual!X3)/10</f>
        <v>39250548.751562499</v>
      </c>
      <c r="R3" s="9">
        <f>([4]Annual!Y3)/10</f>
        <v>39219890.2421875</v>
      </c>
      <c r="S3" s="9">
        <f>([4]Annual!Z3)/10</f>
        <v>39281753.560937501</v>
      </c>
      <c r="T3" s="9">
        <f>([4]Annual!AA3)/10</f>
        <v>39521790.262500003</v>
      </c>
      <c r="U3" s="9">
        <f>([4]Annual!AB3)/10</f>
        <v>38823684.426562503</v>
      </c>
      <c r="V3" s="9">
        <f>([4]Annual!AC3)/10</f>
        <v>39281753.560937501</v>
      </c>
      <c r="W3" s="9">
        <f>([4]Annual!AD3)/10</f>
        <v>39281753.560937501</v>
      </c>
      <c r="X3" s="9">
        <f>([4]Annual!AE3)/10</f>
        <v>39281753.560937501</v>
      </c>
      <c r="Y3" s="9"/>
      <c r="Z3">
        <v>2023</v>
      </c>
      <c r="AA3" s="9">
        <f>([4]Annual!AZ3)/10</f>
        <v>16869467.220312499</v>
      </c>
      <c r="AB3" s="9">
        <f>([4]Annual!BA3)/10</f>
        <v>16537250.20078125</v>
      </c>
      <c r="AC3" s="9">
        <f>([4]Annual!BB3)/10</f>
        <v>16494062.06484375</v>
      </c>
      <c r="AD3" s="9">
        <f>([4]Annual!BC3)/10</f>
        <v>16510452.77734375</v>
      </c>
      <c r="AE3" s="9">
        <f>([4]Annual!BD3)/10</f>
        <v>16537250.20078125</v>
      </c>
      <c r="AF3" s="9">
        <f>([4]Annual!BE3)/10</f>
        <v>16869467.220312499</v>
      </c>
      <c r="AG3" s="9">
        <f>([4]Annual!BF3)/10</f>
        <v>16588802.61484375</v>
      </c>
      <c r="AH3" s="9">
        <f>([4]Annual!BG3)/10</f>
        <v>16537250.20078125</v>
      </c>
      <c r="AI3" s="9">
        <f>([4]Annual!BH3)/10</f>
        <v>16537250.20078125</v>
      </c>
      <c r="AJ3" s="9">
        <f>([4]Annual!BI3)/10</f>
        <v>16537250.20078125</v>
      </c>
      <c r="AL3">
        <v>2023</v>
      </c>
      <c r="AM3" s="9">
        <f>[4]Annual!EL3/10</f>
        <v>16044495.603125</v>
      </c>
      <c r="AN3" s="9">
        <f>[4]Annual!EM3/10</f>
        <v>16044495.603125</v>
      </c>
      <c r="AO3" s="9">
        <f>[4]Annual!EN3/10</f>
        <v>15722484.8375</v>
      </c>
      <c r="AP3" s="9">
        <f>[4]Annual!EO3/10</f>
        <v>16044495.603125</v>
      </c>
      <c r="AQ3" s="9">
        <f>[4]Annual!EP3/10</f>
        <v>16044495.603125</v>
      </c>
      <c r="AR3" s="9">
        <f>[4]Annual!EQ3/10</f>
        <v>15700684.793749999</v>
      </c>
      <c r="AS3" s="9">
        <f>[4]Annual!ER3/10</f>
        <v>15528779.525</v>
      </c>
      <c r="AT3" s="9">
        <f>[4]Annual!ES3/10</f>
        <v>16044495.603125</v>
      </c>
      <c r="AU3" s="9">
        <f>[4]Annual!ET3/10</f>
        <v>16044495.603125</v>
      </c>
      <c r="AV3" s="9">
        <f>[4]Annual!EU3/10</f>
        <v>16044495.603125</v>
      </c>
      <c r="AX3">
        <v>2023</v>
      </c>
      <c r="AY3" s="9">
        <f>[4]Annual!EV3/10</f>
        <v>36029128.0625</v>
      </c>
      <c r="AZ3" s="9">
        <f>[4]Annual!EW3/10</f>
        <v>36029128.0625</v>
      </c>
      <c r="BA3" s="9">
        <f>[4]Annual!EX3/10</f>
        <v>36029128.0625</v>
      </c>
      <c r="BB3" s="9">
        <f>[4]Annual!EY3/10</f>
        <v>36029128.0625</v>
      </c>
      <c r="BC3" s="9">
        <f>[4]Annual!EZ3/10</f>
        <v>36029128.0625</v>
      </c>
      <c r="BD3" s="9">
        <f>[4]Annual!FA3/10</f>
        <v>35257075.924999997</v>
      </c>
      <c r="BE3" s="9">
        <f>[4]Annual!FB3/10</f>
        <v>34871049.75</v>
      </c>
      <c r="BF3" s="9">
        <f>[4]Annual!FC3/10</f>
        <v>36029128.0625</v>
      </c>
      <c r="BG3" s="9">
        <f>[4]Annual!FD3/10</f>
        <v>36029128.0625</v>
      </c>
      <c r="BH3" s="9">
        <f>[4]Annual!FE3/10</f>
        <v>36029128.0625</v>
      </c>
    </row>
    <row r="4" spans="1:60" x14ac:dyDescent="0.25">
      <c r="B4">
        <v>2024</v>
      </c>
      <c r="C4" s="187">
        <f t="shared" si="3"/>
        <v>40049305.065624997</v>
      </c>
      <c r="D4" s="187">
        <f t="shared" si="4"/>
        <v>17217660.239062499</v>
      </c>
      <c r="E4" s="187">
        <f t="shared" si="5"/>
        <v>15345901.010937501</v>
      </c>
      <c r="F4" s="187">
        <f t="shared" si="6"/>
        <v>34438066.268749997</v>
      </c>
      <c r="G4" s="187">
        <f t="shared" si="0"/>
        <v>-392753.73749999702</v>
      </c>
      <c r="H4" s="187">
        <f t="shared" si="1"/>
        <v>0</v>
      </c>
      <c r="I4" s="187">
        <f t="shared" si="2"/>
        <v>687129.79843749851</v>
      </c>
      <c r="J4" s="187">
        <f t="shared" si="7"/>
        <v>1542003.356250003</v>
      </c>
      <c r="K4" s="9">
        <f>[4]Annual!$HO4</f>
        <v>108887311.94374999</v>
      </c>
      <c r="L4" s="9">
        <f>'[5]Oregon Emissions'!$B5/0.05311</f>
        <v>103095004.56237417</v>
      </c>
      <c r="N4">
        <v>2024</v>
      </c>
      <c r="O4" s="9">
        <f>([4]Annual!V4)/10</f>
        <v>39656551.328125</v>
      </c>
      <c r="P4" s="9">
        <f>([4]Annual!W4)/10</f>
        <v>39590585.596874997</v>
      </c>
      <c r="Q4" s="9">
        <f>([4]Annual!X4)/10</f>
        <v>39530952.140625</v>
      </c>
      <c r="R4" s="9">
        <f>([4]Annual!Y4)/10</f>
        <v>39310386.1875</v>
      </c>
      <c r="S4" s="9">
        <f>([4]Annual!Z4)/10</f>
        <v>39590585.596874997</v>
      </c>
      <c r="T4" s="9">
        <f>([4]Annual!AA4)/10</f>
        <v>40049305.065624997</v>
      </c>
      <c r="U4" s="9">
        <f>([4]Annual!AB4)/10</f>
        <v>37862734.290624999</v>
      </c>
      <c r="V4" s="9">
        <f>([4]Annual!AC4)/10</f>
        <v>39590585.596874997</v>
      </c>
      <c r="W4" s="9">
        <f>([4]Annual!AD4)/10</f>
        <v>39590585.596874997</v>
      </c>
      <c r="X4" s="9">
        <f>([4]Annual!AE4)/10</f>
        <v>39590585.596874997</v>
      </c>
      <c r="Y4" s="9"/>
      <c r="Z4">
        <v>2024</v>
      </c>
      <c r="AA4" s="9">
        <f>([4]Annual!AZ4)/10</f>
        <v>17217660.239062499</v>
      </c>
      <c r="AB4" s="9">
        <f>([4]Annual!BA4)/10</f>
        <v>16607021.4390625</v>
      </c>
      <c r="AC4" s="9">
        <f>([4]Annual!BB4)/10</f>
        <v>16527638.3578125</v>
      </c>
      <c r="AD4" s="9">
        <f>([4]Annual!BC4)/10</f>
        <v>16484160.440625001</v>
      </c>
      <c r="AE4" s="9">
        <f>([4]Annual!BD4)/10</f>
        <v>16607021.4390625</v>
      </c>
      <c r="AF4" s="9">
        <f>([4]Annual!BE4)/10</f>
        <v>17217660.239062499</v>
      </c>
      <c r="AG4" s="9">
        <f>([4]Annual!BF4)/10</f>
        <v>16347348.18984375</v>
      </c>
      <c r="AH4" s="9">
        <f>([4]Annual!BG4)/10</f>
        <v>16607021.4390625</v>
      </c>
      <c r="AI4" s="9">
        <f>([4]Annual!BH4)/10</f>
        <v>16607021.4390625</v>
      </c>
      <c r="AJ4" s="9">
        <f>([4]Annual!BI4)/10</f>
        <v>16607021.4390625</v>
      </c>
      <c r="AL4">
        <v>2024</v>
      </c>
      <c r="AM4" s="9">
        <f>[4]Annual!EL4/10</f>
        <v>16033030.809374999</v>
      </c>
      <c r="AN4" s="9">
        <f>[4]Annual!EM4/10</f>
        <v>16033030.809374999</v>
      </c>
      <c r="AO4" s="9">
        <f>[4]Annual!EN4/10</f>
        <v>15372425.871874999</v>
      </c>
      <c r="AP4" s="9">
        <f>[4]Annual!EO4/10</f>
        <v>16033030.809374999</v>
      </c>
      <c r="AQ4" s="9">
        <f>[4]Annual!EP4/10</f>
        <v>16033030.809374999</v>
      </c>
      <c r="AR4" s="9">
        <f>[4]Annual!EQ4/10</f>
        <v>15345901.010937501</v>
      </c>
      <c r="AS4" s="9">
        <f>[4]Annual!ER4/10</f>
        <v>15002335.995312501</v>
      </c>
      <c r="AT4" s="9">
        <f>[4]Annual!ES4/10</f>
        <v>16033030.809374999</v>
      </c>
      <c r="AU4" s="9">
        <f>[4]Annual!ET4/10</f>
        <v>16033030.809374999</v>
      </c>
      <c r="AV4" s="9">
        <f>[4]Annual!EU4/10</f>
        <v>16033030.809374999</v>
      </c>
      <c r="AX4">
        <v>2024</v>
      </c>
      <c r="AY4" s="9">
        <f>[4]Annual!EV4/10</f>
        <v>35980069.625</v>
      </c>
      <c r="AZ4" s="9">
        <f>[4]Annual!EW4/10</f>
        <v>35980069.625</v>
      </c>
      <c r="BA4" s="9">
        <f>[4]Annual!EX4/10</f>
        <v>35980069.625</v>
      </c>
      <c r="BB4" s="9">
        <f>[4]Annual!EY4/10</f>
        <v>35980069.625</v>
      </c>
      <c r="BC4" s="9">
        <f>[4]Annual!EZ4/10</f>
        <v>35980069.625</v>
      </c>
      <c r="BD4" s="9">
        <f>[4]Annual!FA4/10</f>
        <v>34438066.268749997</v>
      </c>
      <c r="BE4" s="9">
        <f>[4]Annual!FB4/10</f>
        <v>33667065.168750003</v>
      </c>
      <c r="BF4" s="9">
        <f>[4]Annual!FC4/10</f>
        <v>35980069.625</v>
      </c>
      <c r="BG4" s="9">
        <f>[4]Annual!FD4/10</f>
        <v>35980069.625</v>
      </c>
      <c r="BH4" s="9">
        <f>[4]Annual!FE4/10</f>
        <v>35980069.625</v>
      </c>
    </row>
    <row r="5" spans="1:60" x14ac:dyDescent="0.25">
      <c r="B5">
        <v>2025</v>
      </c>
      <c r="C5" s="187">
        <f t="shared" si="3"/>
        <v>39545706.128124997</v>
      </c>
      <c r="D5" s="187">
        <f t="shared" si="4"/>
        <v>17074080.082812499</v>
      </c>
      <c r="E5" s="187">
        <f t="shared" si="5"/>
        <v>14771130.3828125</v>
      </c>
      <c r="F5" s="187">
        <f t="shared" si="6"/>
        <v>33105266.518750001</v>
      </c>
      <c r="G5" s="187">
        <f t="shared" si="0"/>
        <v>-36218.171875</v>
      </c>
      <c r="H5" s="187">
        <f t="shared" si="1"/>
        <v>320309.63437500224</v>
      </c>
      <c r="I5" s="187">
        <f t="shared" si="2"/>
        <v>1014810.5828124993</v>
      </c>
      <c r="J5" s="187">
        <f t="shared" si="7"/>
        <v>2427503.8874999993</v>
      </c>
      <c r="K5" s="9">
        <f>[4]Annual!$HO5</f>
        <v>108069493.33125</v>
      </c>
      <c r="L5" s="9">
        <f>'[5]Oregon Emissions'!$B6/0.05311</f>
        <v>98799379.372275248</v>
      </c>
      <c r="N5">
        <v>2025</v>
      </c>
      <c r="O5" s="9">
        <f>([4]Annual!V5)/10</f>
        <v>39509487.956249997</v>
      </c>
      <c r="P5" s="9">
        <f>([4]Annual!W5)/10</f>
        <v>39269607.362499997</v>
      </c>
      <c r="Q5" s="9">
        <f>([4]Annual!X5)/10</f>
        <v>39270222.451562501</v>
      </c>
      <c r="R5" s="9">
        <f>([4]Annual!Y5)/10</f>
        <v>38737541.467187501</v>
      </c>
      <c r="S5" s="9">
        <f>([4]Annual!Z5)/10</f>
        <v>39084795.076562501</v>
      </c>
      <c r="T5" s="9">
        <f>([4]Annual!AA5)/10</f>
        <v>39545706.128124997</v>
      </c>
      <c r="U5" s="9">
        <f>([4]Annual!AB5)/10</f>
        <v>36234242.046875</v>
      </c>
      <c r="V5" s="9">
        <f>([4]Annual!AC5)/10</f>
        <v>39373172.353124999</v>
      </c>
      <c r="W5" s="9">
        <f>([4]Annual!AD5)/10</f>
        <v>39373172.353124999</v>
      </c>
      <c r="X5" s="9">
        <f>([4]Annual!AE5)/10</f>
        <v>39366300.5234375</v>
      </c>
      <c r="Y5" s="9"/>
      <c r="Z5">
        <v>2025</v>
      </c>
      <c r="AA5" s="9">
        <f>([4]Annual!AZ5)/10</f>
        <v>17394389.717187501</v>
      </c>
      <c r="AB5" s="9">
        <f>([4]Annual!BA5)/10</f>
        <v>16444560.9703125</v>
      </c>
      <c r="AC5" s="9">
        <f>([4]Annual!BB5)/10</f>
        <v>16369307.692187499</v>
      </c>
      <c r="AD5" s="9">
        <f>([4]Annual!BC5)/10</f>
        <v>16207114.6546875</v>
      </c>
      <c r="AE5" s="9">
        <f>([4]Annual!BD5)/10</f>
        <v>16277767.614062499</v>
      </c>
      <c r="AF5" s="9">
        <f>([4]Annual!BE5)/10</f>
        <v>17074080.082812499</v>
      </c>
      <c r="AG5" s="9">
        <f>([4]Annual!BF5)/10</f>
        <v>15751330.69375</v>
      </c>
      <c r="AH5" s="9">
        <f>([4]Annual!BG5)/10</f>
        <v>16491967.6875</v>
      </c>
      <c r="AI5" s="9">
        <f>([4]Annual!BH5)/10</f>
        <v>16491967.6875</v>
      </c>
      <c r="AJ5" s="9">
        <f>([4]Annual!BI5)/10</f>
        <v>16486331.6859375</v>
      </c>
      <c r="AL5">
        <v>2025</v>
      </c>
      <c r="AM5" s="9">
        <f>[4]Annual!EL5/10</f>
        <v>15785940.965624999</v>
      </c>
      <c r="AN5" s="9">
        <f>[4]Annual!EM5/10</f>
        <v>15785940.965624999</v>
      </c>
      <c r="AO5" s="9">
        <f>[4]Annual!EN5/10</f>
        <v>14793724.387499999</v>
      </c>
      <c r="AP5" s="9">
        <f>[4]Annual!EO5/10</f>
        <v>15785940.965624999</v>
      </c>
      <c r="AQ5" s="9">
        <f>[4]Annual!EP5/10</f>
        <v>15785940.965624999</v>
      </c>
      <c r="AR5" s="9">
        <f>[4]Annual!EQ5/10</f>
        <v>14771130.3828125</v>
      </c>
      <c r="AS5" s="9">
        <f>[4]Annual!ER5/10</f>
        <v>14263725.1859375</v>
      </c>
      <c r="AT5" s="9">
        <f>[4]Annual!ES5/10</f>
        <v>15785940.965624999</v>
      </c>
      <c r="AU5" s="9">
        <f>[4]Annual!ET5/10</f>
        <v>15785940.965624999</v>
      </c>
      <c r="AV5" s="9">
        <f>[4]Annual!EU5/10</f>
        <v>15785940.965624999</v>
      </c>
      <c r="AX5">
        <v>2025</v>
      </c>
      <c r="AY5" s="9">
        <f>[4]Annual!EV5/10</f>
        <v>35532770.40625</v>
      </c>
      <c r="AZ5" s="9">
        <f>[4]Annual!EW5/10</f>
        <v>35379674.59375</v>
      </c>
      <c r="BA5" s="9">
        <f>[4]Annual!EX5/10</f>
        <v>35226578.4375</v>
      </c>
      <c r="BB5" s="9">
        <f>[4]Annual!EY5/10</f>
        <v>35379674.59375</v>
      </c>
      <c r="BC5" s="9">
        <f>[4]Annual!EZ5/10</f>
        <v>35379674.59375</v>
      </c>
      <c r="BD5" s="9">
        <f>[4]Annual!FA5/10</f>
        <v>33105266.518750001</v>
      </c>
      <c r="BE5" s="9">
        <f>[4]Annual!FB5/10</f>
        <v>31968063.024999999</v>
      </c>
      <c r="BF5" s="9">
        <f>[4]Annual!FC5/10</f>
        <v>35379674.59375</v>
      </c>
      <c r="BG5" s="9">
        <f>[4]Annual!FD5/10</f>
        <v>35379674.59375</v>
      </c>
      <c r="BH5" s="9">
        <f>[4]Annual!FE5/10</f>
        <v>35456222.668750003</v>
      </c>
    </row>
    <row r="6" spans="1:60" x14ac:dyDescent="0.25">
      <c r="B6">
        <v>2026</v>
      </c>
      <c r="C6" s="187">
        <f t="shared" si="3"/>
        <v>38658845.887500003</v>
      </c>
      <c r="D6" s="187">
        <f t="shared" si="4"/>
        <v>16706250.9609375</v>
      </c>
      <c r="E6" s="187">
        <f t="shared" si="5"/>
        <v>14326496.4296875</v>
      </c>
      <c r="F6" s="187">
        <f t="shared" si="6"/>
        <v>32050466.5625</v>
      </c>
      <c r="G6" s="187">
        <f t="shared" si="0"/>
        <v>950056.55312499404</v>
      </c>
      <c r="H6" s="187">
        <f t="shared" si="1"/>
        <v>1007997.828125</v>
      </c>
      <c r="I6" s="187">
        <f t="shared" si="2"/>
        <v>1343109.2828125004</v>
      </c>
      <c r="J6" s="187">
        <f t="shared" si="7"/>
        <v>3293001.15625</v>
      </c>
      <c r="K6" s="9">
        <f>[4]Annual!$HO6</f>
        <v>108047955.02500001</v>
      </c>
      <c r="L6" s="9">
        <f>'[5]Oregon Emissions'!$B7/0.05311</f>
        <v>94503754.182176322</v>
      </c>
      <c r="N6">
        <v>2026</v>
      </c>
      <c r="O6" s="9">
        <f>([4]Annual!V6)/10</f>
        <v>39608902.440624997</v>
      </c>
      <c r="P6" s="9">
        <f>([4]Annual!W6)/10</f>
        <v>38979470.003124997</v>
      </c>
      <c r="Q6" s="9">
        <f>([4]Annual!X6)/10</f>
        <v>39176558.3984375</v>
      </c>
      <c r="R6" s="9">
        <f>([4]Annual!Y6)/10</f>
        <v>38188690.657812499</v>
      </c>
      <c r="S6" s="9">
        <f>([4]Annual!Z6)/10</f>
        <v>38415542.878124997</v>
      </c>
      <c r="T6" s="9">
        <f>([4]Annual!AA6)/10</f>
        <v>38658845.887500003</v>
      </c>
      <c r="U6" s="9">
        <f>([4]Annual!AB6)/10</f>
        <v>34587041.646875001</v>
      </c>
      <c r="V6" s="9">
        <f>([4]Annual!AC6)/10</f>
        <v>39315601.231250003</v>
      </c>
      <c r="W6" s="9">
        <f>([4]Annual!AD6)/10</f>
        <v>39315601.231250003</v>
      </c>
      <c r="X6" s="9">
        <f>([4]Annual!AE6)/10</f>
        <v>39301312.5546875</v>
      </c>
      <c r="Y6" s="9"/>
      <c r="Z6">
        <v>2026</v>
      </c>
      <c r="AA6" s="9">
        <f>([4]Annual!AZ6)/10</f>
        <v>17714248.7890625</v>
      </c>
      <c r="AB6" s="9">
        <f>([4]Annual!BA6)/10</f>
        <v>16331180.407031249</v>
      </c>
      <c r="AC6" s="9">
        <f>([4]Annual!BB6)/10</f>
        <v>16322435.446875</v>
      </c>
      <c r="AD6" s="9">
        <f>([4]Annual!BC6)/10</f>
        <v>15965054.475781251</v>
      </c>
      <c r="AE6" s="9">
        <f>([4]Annual!BD6)/10</f>
        <v>15815130.57421875</v>
      </c>
      <c r="AF6" s="9">
        <f>([4]Annual!BE6)/10</f>
        <v>16706250.9609375</v>
      </c>
      <c r="AG6" s="9">
        <f>([4]Annual!BF6)/10</f>
        <v>15062947.785937499</v>
      </c>
      <c r="AH6" s="9">
        <f>([4]Annual!BG6)/10</f>
        <v>16487401.56796875</v>
      </c>
      <c r="AI6" s="9">
        <f>([4]Annual!BH6)/10</f>
        <v>16487401.56796875</v>
      </c>
      <c r="AJ6" s="9">
        <f>([4]Annual!BI6)/10</f>
        <v>16470609.82578125</v>
      </c>
      <c r="AL6">
        <v>2026</v>
      </c>
      <c r="AM6" s="9">
        <f>[4]Annual!EL6/10</f>
        <v>15669605.7125</v>
      </c>
      <c r="AN6" s="9">
        <f>[4]Annual!EM6/10</f>
        <v>15669605.7125</v>
      </c>
      <c r="AO6" s="9">
        <f>[4]Annual!EN6/10</f>
        <v>14339939.4140625</v>
      </c>
      <c r="AP6" s="9">
        <f>[4]Annual!EO6/10</f>
        <v>15669605.7125</v>
      </c>
      <c r="AQ6" s="9">
        <f>[4]Annual!EP6/10</f>
        <v>15669605.7125</v>
      </c>
      <c r="AR6" s="9">
        <f>[4]Annual!EQ6/10</f>
        <v>14326496.4296875</v>
      </c>
      <c r="AS6" s="9">
        <f>[4]Annual!ER6/10</f>
        <v>13654942.114062499</v>
      </c>
      <c r="AT6" s="9">
        <f>[4]Annual!ES6/10</f>
        <v>15669605.7125</v>
      </c>
      <c r="AU6" s="9">
        <f>[4]Annual!ET6/10</f>
        <v>15669605.7125</v>
      </c>
      <c r="AV6" s="9">
        <f>[4]Annual!EU6/10</f>
        <v>15669605.7125</v>
      </c>
      <c r="AX6">
        <v>2026</v>
      </c>
      <c r="AY6" s="9">
        <f>[4]Annual!EV6/10</f>
        <v>35343467.71875</v>
      </c>
      <c r="AZ6" s="9">
        <f>[4]Annual!EW6/10</f>
        <v>35055197.818750001</v>
      </c>
      <c r="BA6" s="9">
        <f>[4]Annual!EX6/10</f>
        <v>34766928.081249997</v>
      </c>
      <c r="BB6" s="9">
        <f>[4]Annual!EY6/10</f>
        <v>35055197.818750001</v>
      </c>
      <c r="BC6" s="9">
        <f>[4]Annual!EZ6/10</f>
        <v>35055197.818750001</v>
      </c>
      <c r="BD6" s="9">
        <f>[4]Annual!FA6/10</f>
        <v>32050466.5625</v>
      </c>
      <c r="BE6" s="9">
        <f>[4]Annual!FB6/10</f>
        <v>30548100.943750001</v>
      </c>
      <c r="BF6" s="9">
        <f>[4]Annual!FC6/10</f>
        <v>35055197.818750001</v>
      </c>
      <c r="BG6" s="9">
        <f>[4]Annual!FD6/10</f>
        <v>35055197.818750001</v>
      </c>
      <c r="BH6" s="9">
        <f>[4]Annual!FE6/10</f>
        <v>35199332.862499997</v>
      </c>
    </row>
    <row r="7" spans="1:60" x14ac:dyDescent="0.25">
      <c r="B7">
        <v>2027</v>
      </c>
      <c r="C7" s="187">
        <f t="shared" si="3"/>
        <v>37775335.198437497</v>
      </c>
      <c r="D7" s="187">
        <f t="shared" si="4"/>
        <v>16339822.4125</v>
      </c>
      <c r="E7" s="187">
        <f t="shared" si="5"/>
        <v>13900053.112500001</v>
      </c>
      <c r="F7" s="187">
        <f t="shared" si="6"/>
        <v>31000917.893750001</v>
      </c>
      <c r="G7" s="187">
        <f t="shared" si="0"/>
        <v>1928807.1078125015</v>
      </c>
      <c r="H7" s="187">
        <f t="shared" si="1"/>
        <v>1698741.5859375019</v>
      </c>
      <c r="I7" s="187">
        <f t="shared" si="2"/>
        <v>1668006.3562499993</v>
      </c>
      <c r="J7" s="187">
        <f t="shared" si="7"/>
        <v>4135591.3749999963</v>
      </c>
      <c r="K7" s="9">
        <f>[4]Annual!$HO7</f>
        <v>108031793.21875</v>
      </c>
      <c r="L7" s="9">
        <f>'[5]Oregon Emissions'!$B8/0.05311</f>
        <v>90208128.992077395</v>
      </c>
      <c r="N7">
        <v>2027</v>
      </c>
      <c r="O7" s="9">
        <f>([4]Annual!V7)/10</f>
        <v>39704142.306249999</v>
      </c>
      <c r="P7" s="9">
        <f>([4]Annual!W7)/10</f>
        <v>38650328.149999999</v>
      </c>
      <c r="Q7" s="9">
        <f>([4]Annual!X7)/10</f>
        <v>39055496.995312497</v>
      </c>
      <c r="R7" s="9">
        <f>([4]Annual!Y7)/10</f>
        <v>37412023.943750001</v>
      </c>
      <c r="S7" s="9">
        <f>([4]Annual!Z7)/10</f>
        <v>37717084.3359375</v>
      </c>
      <c r="T7" s="9">
        <f>([4]Annual!AA7)/10</f>
        <v>37775335.198437497</v>
      </c>
      <c r="U7" s="9">
        <f>([4]Annual!AB7)/10</f>
        <v>32948142.868749999</v>
      </c>
      <c r="V7" s="9">
        <f>([4]Annual!AC7)/10</f>
        <v>39167211.009374999</v>
      </c>
      <c r="W7" s="9">
        <f>([4]Annual!AD7)/10</f>
        <v>39167211.009374999</v>
      </c>
      <c r="X7" s="9">
        <f>([4]Annual!AE7)/10</f>
        <v>39173957.784374997</v>
      </c>
      <c r="Y7" s="9"/>
      <c r="Z7">
        <v>2027</v>
      </c>
      <c r="AA7" s="9">
        <f>([4]Annual!AZ7)/10</f>
        <v>18038563.998437501</v>
      </c>
      <c r="AB7" s="9">
        <f>([4]Annual!BA7)/10</f>
        <v>16224484.95859375</v>
      </c>
      <c r="AC7" s="9">
        <f>([4]Annual!BB7)/10</f>
        <v>16286808.6796875</v>
      </c>
      <c r="AD7" s="9">
        <f>([4]Annual!BC7)/10</f>
        <v>15636637.06640625</v>
      </c>
      <c r="AE7" s="9">
        <f>([4]Annual!BD7)/10</f>
        <v>15361652.257031251</v>
      </c>
      <c r="AF7" s="9">
        <f>([4]Annual!BE7)/10</f>
        <v>16339822.4125</v>
      </c>
      <c r="AG7" s="9">
        <f>([4]Annual!BF7)/10</f>
        <v>14377898.8609375</v>
      </c>
      <c r="AH7" s="9">
        <f>([4]Annual!BG7)/10</f>
        <v>16464980.97421875</v>
      </c>
      <c r="AI7" s="9">
        <f>([4]Annual!BH7)/10</f>
        <v>16464980.97421875</v>
      </c>
      <c r="AJ7" s="9">
        <f>([4]Annual!BI7)/10</f>
        <v>16445271.90234375</v>
      </c>
      <c r="AL7">
        <v>2027</v>
      </c>
      <c r="AM7" s="9">
        <f>[4]Annual!EL7/10</f>
        <v>15568059.46875</v>
      </c>
      <c r="AN7" s="9">
        <f>[4]Annual!EM7/10</f>
        <v>15568059.46875</v>
      </c>
      <c r="AO7" s="9">
        <f>[4]Annual!EN7/10</f>
        <v>13925107.59375</v>
      </c>
      <c r="AP7" s="9">
        <f>[4]Annual!EO7/10</f>
        <v>15568059.46875</v>
      </c>
      <c r="AQ7" s="9">
        <f>[4]Annual!EP7/10</f>
        <v>15568059.46875</v>
      </c>
      <c r="AR7" s="9">
        <f>[4]Annual!EQ7/10</f>
        <v>13900053.112500001</v>
      </c>
      <c r="AS7" s="9">
        <f>[4]Annual!ER7/10</f>
        <v>13066049.990625</v>
      </c>
      <c r="AT7" s="9">
        <f>[4]Annual!ES7/10</f>
        <v>15568059.46875</v>
      </c>
      <c r="AU7" s="9">
        <f>[4]Annual!ET7/10</f>
        <v>15568059.46875</v>
      </c>
      <c r="AV7" s="9">
        <f>[4]Annual!EU7/10</f>
        <v>15568059.46875</v>
      </c>
      <c r="AX7">
        <v>2027</v>
      </c>
      <c r="AY7" s="9">
        <f>[4]Annual!EV7/10</f>
        <v>35136509.268749997</v>
      </c>
      <c r="AZ7" s="9">
        <f>[4]Annual!EW7/10</f>
        <v>34721027.537500001</v>
      </c>
      <c r="BA7" s="9">
        <f>[4]Annual!EX7/10</f>
        <v>34305547.318750001</v>
      </c>
      <c r="BB7" s="9">
        <f>[4]Annual!EY7/10</f>
        <v>34721027.537500001</v>
      </c>
      <c r="BC7" s="9">
        <f>[4]Annual!EZ7/10</f>
        <v>34721027.537500001</v>
      </c>
      <c r="BD7" s="9">
        <f>[4]Annual!FA7/10</f>
        <v>31000917.893750001</v>
      </c>
      <c r="BE7" s="9">
        <f>[4]Annual!FB7/10</f>
        <v>29140862.987500001</v>
      </c>
      <c r="BF7" s="9">
        <f>[4]Annual!FC7/10</f>
        <v>34721027.537500001</v>
      </c>
      <c r="BG7" s="9">
        <f>[4]Annual!FD7/10</f>
        <v>34721027.537500001</v>
      </c>
      <c r="BH7" s="9">
        <f>[4]Annual!FE7/10</f>
        <v>34928768.875</v>
      </c>
    </row>
    <row r="8" spans="1:60" x14ac:dyDescent="0.25">
      <c r="B8">
        <v>2028</v>
      </c>
      <c r="C8" s="187">
        <f t="shared" si="3"/>
        <v>37118177.262500003</v>
      </c>
      <c r="D8" s="187">
        <f t="shared" si="4"/>
        <v>16065153.4296875</v>
      </c>
      <c r="E8" s="187">
        <f t="shared" si="5"/>
        <v>13594934.321875</v>
      </c>
      <c r="F8" s="187">
        <f t="shared" si="6"/>
        <v>30158936.918749999</v>
      </c>
      <c r="G8" s="187">
        <f t="shared" si="0"/>
        <v>2902376.3640624955</v>
      </c>
      <c r="H8" s="187">
        <f t="shared" si="1"/>
        <v>2374847.2671874985</v>
      </c>
      <c r="I8" s="187">
        <f t="shared" si="2"/>
        <v>2005810.2093749996</v>
      </c>
      <c r="J8" s="187">
        <f t="shared" si="7"/>
        <v>4993641.9562500007</v>
      </c>
      <c r="K8" s="9">
        <f>[4]Annual!$HO8</f>
        <v>108669914.53125</v>
      </c>
      <c r="L8" s="9">
        <f>'[5]Oregon Emissions'!$B9/0.05311</f>
        <v>85912503.801978469</v>
      </c>
      <c r="N8">
        <v>2028</v>
      </c>
      <c r="O8" s="9">
        <f>([4]Annual!V8)/10</f>
        <v>40020553.626562499</v>
      </c>
      <c r="P8" s="9">
        <f>([4]Annual!W8)/10</f>
        <v>38507954.621875003</v>
      </c>
      <c r="Q8" s="9">
        <f>([4]Annual!X8)/10</f>
        <v>39125753.515625</v>
      </c>
      <c r="R8" s="9">
        <f>([4]Annual!Y8)/10</f>
        <v>36724244.998437501</v>
      </c>
      <c r="S8" s="9">
        <f>([4]Annual!Z8)/10</f>
        <v>37216595.167187497</v>
      </c>
      <c r="T8" s="9">
        <f>([4]Annual!AA8)/10</f>
        <v>37118177.262500003</v>
      </c>
      <c r="U8" s="9">
        <f>([4]Annual!AB8)/10</f>
        <v>31507983.703906249</v>
      </c>
      <c r="V8" s="9">
        <f>([4]Annual!AC8)/10</f>
        <v>39152138</v>
      </c>
      <c r="W8" s="9">
        <f>([4]Annual!AD8)/10</f>
        <v>39152138</v>
      </c>
      <c r="X8" s="9">
        <f>([4]Annual!AE8)/10</f>
        <v>39208467.542187497</v>
      </c>
      <c r="Y8" s="9"/>
      <c r="Z8">
        <v>2028</v>
      </c>
      <c r="AA8" s="9">
        <f>([4]Annual!AZ8)/10</f>
        <v>18440000.696874999</v>
      </c>
      <c r="AB8" s="9">
        <f>([4]Annual!BA8)/10</f>
        <v>16195973.327343751</v>
      </c>
      <c r="AC8" s="9">
        <f>([4]Annual!BB8)/10</f>
        <v>16327367.69921875</v>
      </c>
      <c r="AD8" s="9">
        <f>([4]Annual!BC8)/10</f>
        <v>15344328.21328125</v>
      </c>
      <c r="AE8" s="9">
        <f>([4]Annual!BD8)/10</f>
        <v>15006037.05859375</v>
      </c>
      <c r="AF8" s="9">
        <f>([4]Annual!BE8)/10</f>
        <v>16065153.4296875</v>
      </c>
      <c r="AG8" s="9">
        <f>([4]Annual!BF8)/10</f>
        <v>13774013.905468751</v>
      </c>
      <c r="AH8" s="9">
        <f>([4]Annual!BG8)/10</f>
        <v>16493341.05703125</v>
      </c>
      <c r="AI8" s="9">
        <f>([4]Annual!BH8)/10</f>
        <v>16493341.05703125</v>
      </c>
      <c r="AJ8" s="9">
        <f>([4]Annual!BI8)/10</f>
        <v>16479017.25390625</v>
      </c>
      <c r="AL8">
        <v>2028</v>
      </c>
      <c r="AM8" s="9">
        <f>[4]Annual!EL8/10</f>
        <v>15600744.53125</v>
      </c>
      <c r="AN8" s="9">
        <f>[4]Annual!EM8/10</f>
        <v>15600744.53125</v>
      </c>
      <c r="AO8" s="9">
        <f>[4]Annual!EN8/10</f>
        <v>13641347.768750001</v>
      </c>
      <c r="AP8" s="9">
        <f>[4]Annual!EO8/10</f>
        <v>15600744.53125</v>
      </c>
      <c r="AQ8" s="9">
        <f>[4]Annual!EP8/10</f>
        <v>15600744.53125</v>
      </c>
      <c r="AR8" s="9">
        <f>[4]Annual!EQ8/10</f>
        <v>13594934.321875</v>
      </c>
      <c r="AS8" s="9">
        <f>[4]Annual!ER8/10</f>
        <v>12592029.3125</v>
      </c>
      <c r="AT8" s="9">
        <f>[4]Annual!ES8/10</f>
        <v>15600744.53125</v>
      </c>
      <c r="AU8" s="9">
        <f>[4]Annual!ET8/10</f>
        <v>15600744.53125</v>
      </c>
      <c r="AV8" s="9">
        <f>[4]Annual!EU8/10</f>
        <v>15600744.53125</v>
      </c>
      <c r="AX8">
        <v>2028</v>
      </c>
      <c r="AY8" s="9">
        <f>[4]Annual!EV8/10</f>
        <v>35152578.875</v>
      </c>
      <c r="AZ8" s="9">
        <f>[4]Annual!EW8/10</f>
        <v>34608616.125</v>
      </c>
      <c r="BA8" s="9">
        <f>[4]Annual!EX8/10</f>
        <v>34064652.831249997</v>
      </c>
      <c r="BB8" s="9">
        <f>[4]Annual!EY8/10</f>
        <v>34608616.125</v>
      </c>
      <c r="BC8" s="9">
        <f>[4]Annual!EZ8/10</f>
        <v>34608616.125</v>
      </c>
      <c r="BD8" s="9">
        <f>[4]Annual!FA8/10</f>
        <v>30158936.918749999</v>
      </c>
      <c r="BE8" s="9">
        <f>[4]Annual!FB8/10</f>
        <v>27934097.118749999</v>
      </c>
      <c r="BF8" s="9">
        <f>[4]Annual!FC8/10</f>
        <v>34608616.125</v>
      </c>
      <c r="BG8" s="9">
        <f>[4]Annual!FD8/10</f>
        <v>34608616.125</v>
      </c>
      <c r="BH8" s="9">
        <f>[4]Annual!FE8/10</f>
        <v>34880597.112499997</v>
      </c>
    </row>
    <row r="9" spans="1:60" x14ac:dyDescent="0.25">
      <c r="B9">
        <v>2029</v>
      </c>
      <c r="C9" s="187">
        <f t="shared" si="3"/>
        <v>36013656.315624997</v>
      </c>
      <c r="D9" s="187">
        <f t="shared" si="4"/>
        <v>15608593.07421875</v>
      </c>
      <c r="E9" s="187">
        <f t="shared" si="5"/>
        <v>13109825.653124999</v>
      </c>
      <c r="F9" s="187">
        <f t="shared" si="6"/>
        <v>28946124.993749999</v>
      </c>
      <c r="G9" s="187">
        <f t="shared" si="0"/>
        <v>3826399.8500000015</v>
      </c>
      <c r="H9" s="187">
        <f t="shared" si="1"/>
        <v>3001903.01953125</v>
      </c>
      <c r="I9" s="187">
        <f t="shared" si="2"/>
        <v>2313498.6656250004</v>
      </c>
      <c r="J9" s="187">
        <f t="shared" si="7"/>
        <v>5780229.21875</v>
      </c>
      <c r="K9" s="9">
        <f>[4]Annual!$HO9</f>
        <v>107928142.05625001</v>
      </c>
      <c r="L9" s="9">
        <f>'[5]Oregon Emissions'!$B10/0.05311</f>
        <v>81616878.611879542</v>
      </c>
      <c r="N9">
        <v>2029</v>
      </c>
      <c r="O9" s="9">
        <f>([4]Annual!V9)/10</f>
        <v>39840056.165624999</v>
      </c>
      <c r="P9" s="9">
        <f>([4]Annual!W9)/10</f>
        <v>37851009.314062499</v>
      </c>
      <c r="Q9" s="9">
        <f>([4]Annual!X9)/10</f>
        <v>38676326.4609375</v>
      </c>
      <c r="R9" s="9">
        <f>([4]Annual!Y9)/10</f>
        <v>35514935.017187499</v>
      </c>
      <c r="S9" s="9">
        <f>([4]Annual!Z9)/10</f>
        <v>36236791.626562499</v>
      </c>
      <c r="T9" s="9">
        <f>([4]Annual!AA9)/10</f>
        <v>36013656.315624997</v>
      </c>
      <c r="U9" s="9">
        <f>([4]Annual!AB9)/10</f>
        <v>29691698.171875</v>
      </c>
      <c r="V9" s="9">
        <f>([4]Annual!AC9)/10</f>
        <v>38563745.885937497</v>
      </c>
      <c r="W9" s="9">
        <f>([4]Annual!AD9)/10</f>
        <v>38563745.885937497</v>
      </c>
      <c r="X9" s="9">
        <f>([4]Annual!AE9)/10</f>
        <v>38695048.198437497</v>
      </c>
      <c r="Y9" s="9"/>
      <c r="Z9">
        <v>2029</v>
      </c>
      <c r="AA9" s="9">
        <f>([4]Annual!AZ9)/10</f>
        <v>18610496.09375</v>
      </c>
      <c r="AB9" s="9">
        <f>([4]Annual!BA9)/10</f>
        <v>15970878.671093751</v>
      </c>
      <c r="AC9" s="9">
        <f>([4]Annual!BB9)/10</f>
        <v>16168240.675000001</v>
      </c>
      <c r="AD9" s="9">
        <f>([4]Annual!BC9)/10</f>
        <v>14856263.19140625</v>
      </c>
      <c r="AE9" s="9">
        <f>([4]Annual!BD9)/10</f>
        <v>14490189.31484375</v>
      </c>
      <c r="AF9" s="9">
        <f>([4]Annual!BE9)/10</f>
        <v>15608593.07421875</v>
      </c>
      <c r="AG9" s="9">
        <f>([4]Annual!BF9)/10</f>
        <v>13015796.9984375</v>
      </c>
      <c r="AH9" s="9">
        <f>([4]Annual!BG9)/10</f>
        <v>16297416.34921875</v>
      </c>
      <c r="AI9" s="9">
        <f>([4]Annual!BH9)/10</f>
        <v>16297416.34921875</v>
      </c>
      <c r="AJ9" s="9">
        <f>([4]Annual!BI9)/10</f>
        <v>16295327.19296875</v>
      </c>
      <c r="AL9">
        <v>2029</v>
      </c>
      <c r="AM9" s="9">
        <f>[4]Annual!EL9/10</f>
        <v>15423324.31875</v>
      </c>
      <c r="AN9" s="9">
        <f>[4]Annual!EM9/10</f>
        <v>15423324.31875</v>
      </c>
      <c r="AO9" s="9">
        <f>[4]Annual!EN9/10</f>
        <v>13215009.9609375</v>
      </c>
      <c r="AP9" s="9">
        <f>[4]Annual!EO9/10</f>
        <v>15423324.31875</v>
      </c>
      <c r="AQ9" s="9">
        <f>[4]Annual!EP9/10</f>
        <v>15423324.31875</v>
      </c>
      <c r="AR9" s="9">
        <f>[4]Annual!EQ9/10</f>
        <v>13109825.653124999</v>
      </c>
      <c r="AS9" s="9">
        <f>[4]Annual!ER9/10</f>
        <v>11953076.409375001</v>
      </c>
      <c r="AT9" s="9">
        <f>[4]Annual!ES9/10</f>
        <v>15423324.31875</v>
      </c>
      <c r="AU9" s="9">
        <f>[4]Annual!ET9/10</f>
        <v>15423324.31875</v>
      </c>
      <c r="AV9" s="9">
        <f>[4]Annual!EU9/10</f>
        <v>15423324.31875</v>
      </c>
      <c r="AX9">
        <v>2029</v>
      </c>
      <c r="AY9" s="9">
        <f>[4]Annual!EV9/10</f>
        <v>34726354.212499999</v>
      </c>
      <c r="AZ9" s="9">
        <f>[4]Annual!EW9/10</f>
        <v>34054265.287500001</v>
      </c>
      <c r="BA9" s="9">
        <f>[4]Annual!EX9/10</f>
        <v>33382175.756250001</v>
      </c>
      <c r="BB9" s="9">
        <f>[4]Annual!EY9/10</f>
        <v>34054265.287500001</v>
      </c>
      <c r="BC9" s="9">
        <f>[4]Annual!EZ9/10</f>
        <v>34054265.287500001</v>
      </c>
      <c r="BD9" s="9">
        <f>[4]Annual!FA9/10</f>
        <v>28946124.993749999</v>
      </c>
      <c r="BE9" s="9">
        <f>[4]Annual!FB9/10</f>
        <v>26392055.418749999</v>
      </c>
      <c r="BF9" s="9">
        <f>[4]Annual!FC9/10</f>
        <v>34054265.287500001</v>
      </c>
      <c r="BG9" s="9">
        <f>[4]Annual!FD9/10</f>
        <v>34054265.287500001</v>
      </c>
      <c r="BH9" s="9">
        <f>[4]Annual!FE9/10</f>
        <v>34390310.118749999</v>
      </c>
    </row>
    <row r="10" spans="1:60" x14ac:dyDescent="0.25">
      <c r="B10">
        <v>2030</v>
      </c>
      <c r="C10" s="187">
        <f t="shared" si="3"/>
        <v>35142535.237499997</v>
      </c>
      <c r="D10" s="187">
        <f t="shared" si="4"/>
        <v>15246859.66015625</v>
      </c>
      <c r="E10" s="187">
        <f t="shared" si="5"/>
        <v>12758055.5703125</v>
      </c>
      <c r="F10" s="187">
        <f t="shared" si="6"/>
        <v>27947733.118749999</v>
      </c>
      <c r="G10" s="187">
        <f t="shared" si="0"/>
        <v>4754393.410937503</v>
      </c>
      <c r="H10" s="187">
        <f t="shared" si="1"/>
        <v>3627885.0914062485</v>
      </c>
      <c r="I10" s="187">
        <f t="shared" si="2"/>
        <v>2639597.6703124996</v>
      </c>
      <c r="J10" s="187">
        <f t="shared" si="7"/>
        <v>6592295.731250003</v>
      </c>
      <c r="K10" s="9">
        <f>[4]Annual!$HO10</f>
        <v>107899349.375</v>
      </c>
      <c r="L10" s="9">
        <f>'[5]Oregon Emissions'!$B11/0.05311</f>
        <v>77321253.421780616</v>
      </c>
      <c r="N10">
        <v>2030</v>
      </c>
      <c r="O10" s="9">
        <f>([4]Annual!V10)/10</f>
        <v>39896928.6484375</v>
      </c>
      <c r="P10" s="9">
        <f>([4]Annual!W10)/10</f>
        <v>37393942.670312501</v>
      </c>
      <c r="Q10" s="9">
        <f>([4]Annual!X10)/10</f>
        <v>38419984.6640625</v>
      </c>
      <c r="R10" s="9">
        <f>([4]Annual!Y10)/10</f>
        <v>34552532.560937501</v>
      </c>
      <c r="S10" s="9">
        <f>([4]Annual!Z10)/10</f>
        <v>35482919.198437497</v>
      </c>
      <c r="T10" s="9">
        <f>([4]Annual!AA10)/10</f>
        <v>35142535.237499997</v>
      </c>
      <c r="U10" s="9">
        <f>([4]Annual!AB10)/10</f>
        <v>28080212.654687501</v>
      </c>
      <c r="V10" s="9">
        <f>([4]Annual!AC10)/10</f>
        <v>38123302.4921875</v>
      </c>
      <c r="W10" s="9">
        <f>([4]Annual!AD10)/10</f>
        <v>38123302.4921875</v>
      </c>
      <c r="X10" s="9">
        <f>([4]Annual!AE10)/10</f>
        <v>38375501.073437497</v>
      </c>
      <c r="Y10" s="9"/>
      <c r="Z10">
        <v>2030</v>
      </c>
      <c r="AA10" s="9">
        <f>([4]Annual!AZ10)/10</f>
        <v>18874744.751562499</v>
      </c>
      <c r="AB10" s="9">
        <f>([4]Annual!BA10)/10</f>
        <v>15838905.5140625</v>
      </c>
      <c r="AC10" s="9">
        <f>([4]Annual!BB10)/10</f>
        <v>16098232.06484375</v>
      </c>
      <c r="AD10" s="9">
        <f>([4]Annual!BC10)/10</f>
        <v>14482146.645312499</v>
      </c>
      <c r="AE10" s="9">
        <f>([4]Annual!BD10)/10</f>
        <v>14077867.134375</v>
      </c>
      <c r="AF10" s="9">
        <f>([4]Annual!BE10)/10</f>
        <v>15246859.66015625</v>
      </c>
      <c r="AG10" s="9">
        <f>([4]Annual!BF10)/10</f>
        <v>12341398.1</v>
      </c>
      <c r="AH10" s="9">
        <f>([4]Annual!BG10)/10</f>
        <v>16171550.160937499</v>
      </c>
      <c r="AI10" s="9">
        <f>([4]Annual!BH10)/10</f>
        <v>16171550.160937499</v>
      </c>
      <c r="AJ10" s="9">
        <f>([4]Annual!BI10)/10</f>
        <v>16197160.0859375</v>
      </c>
      <c r="AL10">
        <v>2030</v>
      </c>
      <c r="AM10" s="9">
        <f>[4]Annual!EL10/10</f>
        <v>15397653.240625</v>
      </c>
      <c r="AN10" s="9">
        <f>[4]Annual!EM10/10</f>
        <v>15397653.240625</v>
      </c>
      <c r="AO10" s="9">
        <f>[4]Annual!EN10/10</f>
        <v>12944438.457812499</v>
      </c>
      <c r="AP10" s="9">
        <f>[4]Annual!EO10/10</f>
        <v>15397653.240625</v>
      </c>
      <c r="AQ10" s="9">
        <f>[4]Annual!EP10/10</f>
        <v>15397653.240625</v>
      </c>
      <c r="AR10" s="9">
        <f>[4]Annual!EQ10/10</f>
        <v>12758055.5703125</v>
      </c>
      <c r="AS10" s="9">
        <f>[4]Annual!ER10/10</f>
        <v>11438256.734375</v>
      </c>
      <c r="AT10" s="9">
        <f>[4]Annual!ES10/10</f>
        <v>15397653.240625</v>
      </c>
      <c r="AU10" s="9">
        <f>[4]Annual!ET10/10</f>
        <v>15397653.240625</v>
      </c>
      <c r="AV10" s="9">
        <f>[4]Annual!EU10/10</f>
        <v>15397653.240625</v>
      </c>
      <c r="AX10">
        <v>2030</v>
      </c>
      <c r="AY10" s="9">
        <f>[4]Annual!EV10/10</f>
        <v>34540028.850000001</v>
      </c>
      <c r="AZ10" s="9">
        <f>[4]Annual!EW10/10</f>
        <v>33730022.668750003</v>
      </c>
      <c r="BA10" s="9">
        <f>[4]Annual!EX10/10</f>
        <v>32920015.918749999</v>
      </c>
      <c r="BB10" s="9">
        <f>[4]Annual!EY10/10</f>
        <v>33730022.668750003</v>
      </c>
      <c r="BC10" s="9">
        <f>[4]Annual!EZ10/10</f>
        <v>33730022.668750003</v>
      </c>
      <c r="BD10" s="9">
        <f>[4]Annual!FA10/10</f>
        <v>27947733.118749999</v>
      </c>
      <c r="BE10" s="9">
        <f>[4]Annual!FB10/10</f>
        <v>25056587.956250001</v>
      </c>
      <c r="BF10" s="9">
        <f>[4]Annual!FC10/10</f>
        <v>33730022.668750003</v>
      </c>
      <c r="BG10" s="9">
        <f>[4]Annual!FD10/10</f>
        <v>33730022.668750003</v>
      </c>
      <c r="BH10" s="9">
        <f>[4]Annual!FE10/10</f>
        <v>34135025.5625</v>
      </c>
    </row>
    <row r="11" spans="1:60" x14ac:dyDescent="0.25">
      <c r="B11">
        <v>2031</v>
      </c>
      <c r="C11" s="187">
        <f t="shared" si="3"/>
        <v>34272806.839062497</v>
      </c>
      <c r="D11" s="187">
        <f t="shared" si="4"/>
        <v>14885509.58828125</v>
      </c>
      <c r="E11" s="187">
        <f t="shared" si="5"/>
        <v>12423242.84375</v>
      </c>
      <c r="F11" s="187">
        <f t="shared" si="6"/>
        <v>26947394.28125</v>
      </c>
      <c r="G11" s="187">
        <f t="shared" si="0"/>
        <v>5670405.285937503</v>
      </c>
      <c r="H11" s="187">
        <f t="shared" si="1"/>
        <v>4249419.8679687511</v>
      </c>
      <c r="I11" s="187">
        <f t="shared" si="2"/>
        <v>2968385.65625</v>
      </c>
      <c r="J11" s="187">
        <f t="shared" si="7"/>
        <v>7392616.7875000015</v>
      </c>
      <c r="K11" s="9">
        <f>[4]Annual!$HO11</f>
        <v>107855921.5</v>
      </c>
      <c r="L11" s="9">
        <f>'[5]Oregon Emissions'!$B12/0.05311</f>
        <v>73025628.23168169</v>
      </c>
      <c r="N11">
        <v>2031</v>
      </c>
      <c r="O11" s="9">
        <f>([4]Annual!V11)/10</f>
        <v>39943212.125</v>
      </c>
      <c r="P11" s="9">
        <f>([4]Annual!W11)/10</f>
        <v>36905612.048437499</v>
      </c>
      <c r="Q11" s="9">
        <f>([4]Annual!X11)/10</f>
        <v>38110178.912500001</v>
      </c>
      <c r="R11" s="9">
        <f>([4]Annual!Y11)/10</f>
        <v>33592801.950000003</v>
      </c>
      <c r="S11" s="9">
        <f>([4]Annual!Z11)/10</f>
        <v>34733551.782812499</v>
      </c>
      <c r="T11" s="9">
        <f>([4]Annual!AA11)/10</f>
        <v>34272806.839062497</v>
      </c>
      <c r="U11" s="9">
        <f>([4]Annual!AB11)/10</f>
        <v>26475832.931249999</v>
      </c>
      <c r="V11" s="9">
        <f>([4]Annual!AC11)/10</f>
        <v>37621555.3671875</v>
      </c>
      <c r="W11" s="9">
        <f>([4]Annual!AD11)/10</f>
        <v>37621555.3671875</v>
      </c>
      <c r="X11" s="9">
        <f>([4]Annual!AE11)/10</f>
        <v>38033745.459375001</v>
      </c>
      <c r="Y11" s="9"/>
      <c r="Z11">
        <v>2031</v>
      </c>
      <c r="AA11" s="9">
        <f>([4]Annual!AZ11)/10</f>
        <v>19134929.456250001</v>
      </c>
      <c r="AB11" s="9">
        <f>([4]Annual!BA11)/10</f>
        <v>15713355.807812501</v>
      </c>
      <c r="AC11" s="9">
        <f>([4]Annual!BB11)/10</f>
        <v>16028543.665625</v>
      </c>
      <c r="AD11" s="9">
        <f>([4]Annual!BC11)/10</f>
        <v>14128331.473437499</v>
      </c>
      <c r="AE11" s="9">
        <f>([4]Annual!BD11)/10</f>
        <v>13685520.660937499</v>
      </c>
      <c r="AF11" s="9">
        <f>([4]Annual!BE11)/10</f>
        <v>14885509.58828125</v>
      </c>
      <c r="AG11" s="9">
        <f>([4]Annual!BF11)/10</f>
        <v>11669673.178125</v>
      </c>
      <c r="AH11" s="9">
        <f>([4]Annual!BG11)/10</f>
        <v>16039051.953125</v>
      </c>
      <c r="AI11" s="9">
        <f>([4]Annual!BH11)/10</f>
        <v>16039051.953125</v>
      </c>
      <c r="AJ11" s="9">
        <f>([4]Annual!BI11)/10</f>
        <v>16107277.942187499</v>
      </c>
      <c r="AL11">
        <v>2031</v>
      </c>
      <c r="AM11" s="9">
        <f>[4]Annual!EL11/10</f>
        <v>15391628.5</v>
      </c>
      <c r="AN11" s="9">
        <f>[4]Annual!EM11/10</f>
        <v>15391628.5</v>
      </c>
      <c r="AO11" s="9">
        <f>[4]Annual!EN11/10</f>
        <v>12717058.9</v>
      </c>
      <c r="AP11" s="9">
        <f>[4]Annual!EO11/10</f>
        <v>15391628.5</v>
      </c>
      <c r="AQ11" s="9">
        <f>[4]Annual!EP11/10</f>
        <v>15391628.5</v>
      </c>
      <c r="AR11" s="9">
        <f>[4]Annual!EQ11/10</f>
        <v>12423242.84375</v>
      </c>
      <c r="AS11" s="9">
        <f>[4]Annual!ER11/10</f>
        <v>10939050.1625</v>
      </c>
      <c r="AT11" s="9">
        <f>[4]Annual!ES11/10</f>
        <v>15391628.5</v>
      </c>
      <c r="AU11" s="9">
        <f>[4]Annual!ET11/10</f>
        <v>15391628.5</v>
      </c>
      <c r="AV11" s="9">
        <f>[4]Annual!EU11/10</f>
        <v>15391628.5</v>
      </c>
      <c r="AX11">
        <v>2031</v>
      </c>
      <c r="AY11" s="9">
        <f>[4]Annual!EV11/10</f>
        <v>34340011.068750001</v>
      </c>
      <c r="AZ11" s="9">
        <f>[4]Annual!EW11/10</f>
        <v>33386151.875</v>
      </c>
      <c r="BA11" s="9">
        <f>[4]Annual!EX11/10</f>
        <v>32432293.837499999</v>
      </c>
      <c r="BB11" s="9">
        <f>[4]Annual!EY11/10</f>
        <v>33386151.875</v>
      </c>
      <c r="BC11" s="9">
        <f>[4]Annual!EZ11/10</f>
        <v>33386151.875</v>
      </c>
      <c r="BD11" s="9">
        <f>[4]Annual!FA11/10</f>
        <v>26947394.28125</v>
      </c>
      <c r="BE11" s="9">
        <f>[4]Annual!FB11/10</f>
        <v>23728015.199999999</v>
      </c>
      <c r="BF11" s="9">
        <f>[4]Annual!FC11/10</f>
        <v>33386151.875</v>
      </c>
      <c r="BG11" s="9">
        <f>[4]Annual!FD11/10</f>
        <v>33386151.875</v>
      </c>
      <c r="BH11" s="9">
        <f>[4]Annual!FE11/10</f>
        <v>33863081.368749999</v>
      </c>
    </row>
    <row r="12" spans="1:60" x14ac:dyDescent="0.25">
      <c r="B12">
        <v>2032</v>
      </c>
      <c r="C12" s="187">
        <f t="shared" si="3"/>
        <v>33623377.5703125</v>
      </c>
      <c r="D12" s="187">
        <f t="shared" si="4"/>
        <v>14614232.2265625</v>
      </c>
      <c r="E12" s="187">
        <f t="shared" si="5"/>
        <v>12197719.1625</v>
      </c>
      <c r="F12" s="187">
        <f t="shared" si="6"/>
        <v>26135623.043749999</v>
      </c>
      <c r="G12" s="187">
        <f t="shared" si="0"/>
        <v>6614815.78125</v>
      </c>
      <c r="H12" s="187">
        <f t="shared" si="1"/>
        <v>4887759.1328125</v>
      </c>
      <c r="I12" s="187">
        <f t="shared" si="2"/>
        <v>3326650.7437500004</v>
      </c>
      <c r="J12" s="187">
        <f t="shared" si="7"/>
        <v>8225027.8249999993</v>
      </c>
      <c r="K12" s="9">
        <f>[4]Annual!$HO12</f>
        <v>108528074.65625</v>
      </c>
      <c r="L12" s="9">
        <f>'[5]Oregon Emissions'!$B13/0.05311</f>
        <v>68730003.041582763</v>
      </c>
      <c r="N12">
        <v>2032</v>
      </c>
      <c r="O12" s="9">
        <f>([4]Annual!V12)/10</f>
        <v>40238193.3515625</v>
      </c>
      <c r="P12" s="9">
        <f>([4]Annual!W12)/10</f>
        <v>36631420.74609375</v>
      </c>
      <c r="Q12" s="9">
        <f>([4]Annual!X12)/10</f>
        <v>37972113.936718747</v>
      </c>
      <c r="R12" s="9">
        <f>([4]Annual!Y12)/10</f>
        <v>32874550.071874999</v>
      </c>
      <c r="S12" s="9">
        <f>([4]Annual!Z12)/10</f>
        <v>34220169.263281249</v>
      </c>
      <c r="T12" s="9">
        <f>([4]Annual!AA12)/10</f>
        <v>33623377.5703125</v>
      </c>
      <c r="U12" s="9">
        <f>([4]Annual!AB12)/10</f>
        <v>25043016.317968749</v>
      </c>
      <c r="V12" s="9">
        <f>([4]Annual!AC12)/10</f>
        <v>37333612.486718751</v>
      </c>
      <c r="W12" s="9">
        <f>([4]Annual!AD12)/10</f>
        <v>37333612.486718751</v>
      </c>
      <c r="X12" s="9">
        <f>([4]Annual!AE12)/10</f>
        <v>37904508.465625003</v>
      </c>
      <c r="Y12" s="9"/>
      <c r="Z12">
        <v>2032</v>
      </c>
      <c r="AA12" s="9">
        <f>([4]Annual!AZ12)/10</f>
        <v>19501991.359375</v>
      </c>
      <c r="AB12" s="9">
        <f>([4]Annual!BA12)/10</f>
        <v>15696796.526562501</v>
      </c>
      <c r="AC12" s="9">
        <f>([4]Annual!BB12)/10</f>
        <v>16056461.604687501</v>
      </c>
      <c r="AD12" s="9">
        <f>([4]Annual!BC12)/10</f>
        <v>13895415.8671875</v>
      </c>
      <c r="AE12" s="9">
        <f>([4]Annual!BD12)/10</f>
        <v>13402410.20546875</v>
      </c>
      <c r="AF12" s="9">
        <f>([4]Annual!BE12)/10</f>
        <v>14614232.2265625</v>
      </c>
      <c r="AG12" s="9">
        <f>([4]Annual!BF12)/10</f>
        <v>11068891</v>
      </c>
      <c r="AH12" s="9">
        <f>([4]Annual!BG12)/10</f>
        <v>16015775.901562501</v>
      </c>
      <c r="AI12" s="9">
        <f>([4]Annual!BH12)/10</f>
        <v>16015775.901562501</v>
      </c>
      <c r="AJ12" s="9">
        <f>([4]Annual!BI12)/10</f>
        <v>16125948.1171875</v>
      </c>
      <c r="AL12">
        <v>2032</v>
      </c>
      <c r="AM12" s="9">
        <f>[4]Annual!EL12/10</f>
        <v>15524369.90625</v>
      </c>
      <c r="AN12" s="9">
        <f>[4]Annual!EM12/10</f>
        <v>15524369.90625</v>
      </c>
      <c r="AO12" s="9">
        <f>[4]Annual!EN12/10</f>
        <v>12617993.832812499</v>
      </c>
      <c r="AP12" s="9">
        <f>[4]Annual!EO12/10</f>
        <v>15524369.90625</v>
      </c>
      <c r="AQ12" s="9">
        <f>[4]Annual!EP12/10</f>
        <v>15524369.90625</v>
      </c>
      <c r="AR12" s="9">
        <f>[4]Annual!EQ12/10</f>
        <v>12197719.1625</v>
      </c>
      <c r="AS12" s="9">
        <f>[4]Annual!ER12/10</f>
        <v>10534393.75</v>
      </c>
      <c r="AT12" s="9">
        <f>[4]Annual!ES12/10</f>
        <v>15524369.90625</v>
      </c>
      <c r="AU12" s="9">
        <f>[4]Annual!ET12/10</f>
        <v>15524369.90625</v>
      </c>
      <c r="AV12" s="9">
        <f>[4]Annual!EU12/10</f>
        <v>15524369.90625</v>
      </c>
      <c r="AX12">
        <v>2032</v>
      </c>
      <c r="AY12" s="9">
        <f>[4]Annual!EV12/10</f>
        <v>34360650.868749999</v>
      </c>
      <c r="AZ12" s="9">
        <f>[4]Annual!EW12/10</f>
        <v>33263519.918749999</v>
      </c>
      <c r="BA12" s="9">
        <f>[4]Annual!EX12/10</f>
        <v>32166388.762499999</v>
      </c>
      <c r="BB12" s="9">
        <f>[4]Annual!EY12/10</f>
        <v>33263519.918749999</v>
      </c>
      <c r="BC12" s="9">
        <f>[4]Annual!EZ12/10</f>
        <v>33263519.918749999</v>
      </c>
      <c r="BD12" s="9">
        <f>[4]Annual!FA12/10</f>
        <v>26135623.043749999</v>
      </c>
      <c r="BE12" s="9">
        <f>[4]Annual!FB12/10</f>
        <v>22571674.331250001</v>
      </c>
      <c r="BF12" s="9">
        <f>[4]Annual!FC12/10</f>
        <v>33263519.918749999</v>
      </c>
      <c r="BG12" s="9">
        <f>[4]Annual!FD12/10</f>
        <v>33263519.918749999</v>
      </c>
      <c r="BH12" s="9">
        <f>[4]Annual!FE12/10</f>
        <v>33812085.481250003</v>
      </c>
    </row>
    <row r="13" spans="1:60" x14ac:dyDescent="0.25">
      <c r="B13">
        <v>2033</v>
      </c>
      <c r="C13" s="187">
        <f t="shared" si="3"/>
        <v>32561399.778124999</v>
      </c>
      <c r="D13" s="187">
        <f t="shared" si="4"/>
        <v>14173944.93125</v>
      </c>
      <c r="E13" s="187">
        <f t="shared" si="5"/>
        <v>11797515.370312501</v>
      </c>
      <c r="F13" s="187">
        <f t="shared" si="6"/>
        <v>25007968.587499999</v>
      </c>
      <c r="G13" s="187">
        <f t="shared" si="0"/>
        <v>7452280.2281250022</v>
      </c>
      <c r="H13" s="187">
        <f t="shared" si="1"/>
        <v>5458498.9390625004</v>
      </c>
      <c r="I13" s="187">
        <f t="shared" si="2"/>
        <v>3638485.9765625</v>
      </c>
      <c r="J13" s="187">
        <f t="shared" si="7"/>
        <v>8935509.9375</v>
      </c>
      <c r="K13" s="9">
        <f>[4]Annual!$HO13</f>
        <v>107802832.2</v>
      </c>
      <c r="L13" s="9">
        <f>'[5]Oregon Emissions'!$B14/0.05311</f>
        <v>64434377.851483829</v>
      </c>
      <c r="N13">
        <v>2033</v>
      </c>
      <c r="O13" s="9">
        <f>([4]Annual!V13)/10</f>
        <v>40013680.006250001</v>
      </c>
      <c r="P13" s="9">
        <f>([4]Annual!W13)/10</f>
        <v>35821436.296875</v>
      </c>
      <c r="Q13" s="9">
        <f>([4]Annual!X13)/10</f>
        <v>37249920.235156253</v>
      </c>
      <c r="R13" s="9">
        <f>([4]Annual!Y13)/10</f>
        <v>31645353.9609375</v>
      </c>
      <c r="S13" s="9">
        <f>([4]Annual!Z13)/10</f>
        <v>33267805.967187501</v>
      </c>
      <c r="T13" s="9">
        <f>([4]Annual!AA13)/10</f>
        <v>32561399.778124999</v>
      </c>
      <c r="U13" s="9">
        <f>([4]Annual!AB13)/10</f>
        <v>23306725.370312501</v>
      </c>
      <c r="V13" s="9">
        <f>([4]Annual!AC13)/10</f>
        <v>36508641.5625</v>
      </c>
      <c r="W13" s="9">
        <f>([4]Annual!AD13)/10</f>
        <v>36508641.5625</v>
      </c>
      <c r="X13" s="9">
        <f>([4]Annual!AE13)/10</f>
        <v>37221561.501562499</v>
      </c>
      <c r="Y13" s="9"/>
      <c r="Z13">
        <v>2033</v>
      </c>
      <c r="AA13" s="9">
        <f>([4]Annual!AZ13)/10</f>
        <v>19632443.870312501</v>
      </c>
      <c r="AB13" s="9">
        <f>([4]Annual!BA13)/10</f>
        <v>15502434.992968749</v>
      </c>
      <c r="AC13" s="9">
        <f>([4]Annual!BB13)/10</f>
        <v>15899436.5796875</v>
      </c>
      <c r="AD13" s="9">
        <f>([4]Annual!BC13)/10</f>
        <v>13493020.03359375</v>
      </c>
      <c r="AE13" s="9">
        <f>([4]Annual!BD13)/10</f>
        <v>12985940.456250001</v>
      </c>
      <c r="AF13" s="9">
        <f>([4]Annual!BE13)/10</f>
        <v>14173944.93125</v>
      </c>
      <c r="AG13" s="9">
        <f>([4]Annual!BF13)/10</f>
        <v>10341964.446093749</v>
      </c>
      <c r="AH13" s="9">
        <f>([4]Annual!BG13)/10</f>
        <v>15815144.694531251</v>
      </c>
      <c r="AI13" s="9">
        <f>([4]Annual!BH13)/10</f>
        <v>15815144.694531251</v>
      </c>
      <c r="AJ13" s="9">
        <f>([4]Annual!BI13)/10</f>
        <v>15961621.08828125</v>
      </c>
      <c r="AL13">
        <v>2033</v>
      </c>
      <c r="AM13" s="9">
        <f>[4]Annual!EL13/10</f>
        <v>15436001.346875001</v>
      </c>
      <c r="AN13" s="9">
        <f>[4]Annual!EM13/10</f>
        <v>15436001.346875001</v>
      </c>
      <c r="AO13" s="9">
        <f>[4]Annual!EN13/10</f>
        <v>12367366.5703125</v>
      </c>
      <c r="AP13" s="9">
        <f>[4]Annual!EO13/10</f>
        <v>15436001.346875001</v>
      </c>
      <c r="AQ13" s="9">
        <f>[4]Annual!EP13/10</f>
        <v>15436001.346875001</v>
      </c>
      <c r="AR13" s="9">
        <f>[4]Annual!EQ13/10</f>
        <v>11797515.370312501</v>
      </c>
      <c r="AS13" s="9">
        <f>[4]Annual!ER13/10</f>
        <v>9978272.2531250007</v>
      </c>
      <c r="AT13" s="9">
        <f>[4]Annual!ES13/10</f>
        <v>15436001.346875001</v>
      </c>
      <c r="AU13" s="9">
        <f>[4]Annual!ET13/10</f>
        <v>15436001.346875001</v>
      </c>
      <c r="AV13" s="9">
        <f>[4]Annual!EU13/10</f>
        <v>15436001.346875001</v>
      </c>
      <c r="AX13">
        <v>2033</v>
      </c>
      <c r="AY13" s="9">
        <f>[4]Annual!EV13/10</f>
        <v>33943478.524999999</v>
      </c>
      <c r="AZ13" s="9">
        <f>[4]Annual!EW13/10</f>
        <v>32720706.556249999</v>
      </c>
      <c r="BA13" s="9">
        <f>[4]Annual!EX13/10</f>
        <v>31497934.625</v>
      </c>
      <c r="BB13" s="9">
        <f>[4]Annual!EY13/10</f>
        <v>32720706.556249999</v>
      </c>
      <c r="BC13" s="9">
        <f>[4]Annual!EZ13/10</f>
        <v>32720706.556249999</v>
      </c>
      <c r="BD13" s="9">
        <f>[4]Annual!FA13/10</f>
        <v>25007968.587499999</v>
      </c>
      <c r="BE13" s="9">
        <f>[4]Annual!FB13/10</f>
        <v>21151599.324999999</v>
      </c>
      <c r="BF13" s="9">
        <f>[4]Annual!FC13/10</f>
        <v>32720706.556249999</v>
      </c>
      <c r="BG13" s="9">
        <f>[4]Annual!FD13/10</f>
        <v>32720706.556249999</v>
      </c>
      <c r="BH13" s="9">
        <f>[4]Annual!FE13/10</f>
        <v>33332092.637499999</v>
      </c>
    </row>
    <row r="14" spans="1:60" x14ac:dyDescent="0.25">
      <c r="B14">
        <v>2034</v>
      </c>
      <c r="C14" s="187">
        <f t="shared" si="3"/>
        <v>31701956.649999999</v>
      </c>
      <c r="D14" s="187">
        <f t="shared" si="4"/>
        <v>13817047.55625</v>
      </c>
      <c r="E14" s="187">
        <f t="shared" si="5"/>
        <v>11496652.621874999</v>
      </c>
      <c r="F14" s="187">
        <f t="shared" si="6"/>
        <v>24071937.262499999</v>
      </c>
      <c r="G14" s="187">
        <f t="shared" si="0"/>
        <v>8290885.1156250015</v>
      </c>
      <c r="H14" s="187">
        <f t="shared" si="1"/>
        <v>6039746.1031250004</v>
      </c>
      <c r="I14" s="187">
        <f t="shared" si="2"/>
        <v>3979610.8781250007</v>
      </c>
      <c r="J14" s="187">
        <f t="shared" si="7"/>
        <v>9675012.0437499993</v>
      </c>
      <c r="K14" s="9">
        <f>[4]Annual!$HO14</f>
        <v>107730430.14375</v>
      </c>
      <c r="L14" s="9">
        <f>'[5]Oregon Emissions'!$B15/0.05311</f>
        <v>60138752.661384903</v>
      </c>
      <c r="N14">
        <v>2034</v>
      </c>
      <c r="O14" s="9">
        <f>([4]Annual!V14)/10</f>
        <v>39992841.765625</v>
      </c>
      <c r="P14" s="9">
        <f>([4]Annual!W14)/10</f>
        <v>35230257.75</v>
      </c>
      <c r="Q14" s="9">
        <f>([4]Annual!X14)/10</f>
        <v>36707243.5390625</v>
      </c>
      <c r="R14" s="9">
        <f>([4]Annual!Y14)/10</f>
        <v>30666330.699999999</v>
      </c>
      <c r="S14" s="9">
        <f>([4]Annual!Z14)/10</f>
        <v>32548337.291406251</v>
      </c>
      <c r="T14" s="9">
        <f>([4]Annual!AA14)/10</f>
        <v>31701956.649999999</v>
      </c>
      <c r="U14" s="9">
        <f>([4]Annual!AB14)/10</f>
        <v>21728911.185937501</v>
      </c>
      <c r="V14" s="9">
        <f>([4]Annual!AC14)/10</f>
        <v>35902749.396875001</v>
      </c>
      <c r="W14" s="9">
        <f>([4]Annual!AD14)/10</f>
        <v>35902749.396875001</v>
      </c>
      <c r="X14" s="9">
        <f>([4]Annual!AE14)/10</f>
        <v>36755568.846874997</v>
      </c>
      <c r="Y14" s="9"/>
      <c r="Z14">
        <v>2034</v>
      </c>
      <c r="AA14" s="9">
        <f>([4]Annual!AZ14)/10</f>
        <v>19856793.659375001</v>
      </c>
      <c r="AB14" s="9">
        <f>([4]Annual!BA14)/10</f>
        <v>15420731.303125</v>
      </c>
      <c r="AC14" s="9">
        <f>([4]Annual!BB14)/10</f>
        <v>15846159.69765625</v>
      </c>
      <c r="AD14" s="9">
        <f>([4]Annual!BC14)/10</f>
        <v>13213954.046875</v>
      </c>
      <c r="AE14" s="9">
        <f>([4]Annual!BD14)/10</f>
        <v>12677312.67421875</v>
      </c>
      <c r="AF14" s="9">
        <f>([4]Annual!BE14)/10</f>
        <v>13817047.55625</v>
      </c>
      <c r="AG14" s="9">
        <f>([4]Annual!BF14)/10</f>
        <v>9680983.5859375</v>
      </c>
      <c r="AH14" s="9">
        <f>([4]Annual!BG14)/10</f>
        <v>15727681.331250001</v>
      </c>
      <c r="AI14" s="9">
        <f>([4]Annual!BH14)/10</f>
        <v>15727681.331250001</v>
      </c>
      <c r="AJ14" s="9">
        <f>([4]Annual!BI14)/10</f>
        <v>15909996.284375001</v>
      </c>
      <c r="AL14">
        <v>2034</v>
      </c>
      <c r="AM14" s="9">
        <f>[4]Annual!EL14/10</f>
        <v>15476263.5</v>
      </c>
      <c r="AN14" s="9">
        <f>[4]Annual!EM14/10</f>
        <v>15476263.5</v>
      </c>
      <c r="AO14" s="9">
        <f>[4]Annual!EN14/10</f>
        <v>12225033.035937499</v>
      </c>
      <c r="AP14" s="9">
        <f>[4]Annual!EO14/10</f>
        <v>15476263.5</v>
      </c>
      <c r="AQ14" s="9">
        <f>[4]Annual!EP14/10</f>
        <v>15476263.5</v>
      </c>
      <c r="AR14" s="9">
        <f>[4]Annual!EQ14/10</f>
        <v>11496652.621874999</v>
      </c>
      <c r="AS14" s="9">
        <f>[4]Annual!ER14/10</f>
        <v>9506847.4031249993</v>
      </c>
      <c r="AT14" s="9">
        <f>[4]Annual!ES14/10</f>
        <v>15476263.5</v>
      </c>
      <c r="AU14" s="9">
        <f>[4]Annual!ET14/10</f>
        <v>15476263.5</v>
      </c>
      <c r="AV14" s="9">
        <f>[4]Annual!EU14/10</f>
        <v>15476263.5</v>
      </c>
      <c r="AX14">
        <v>2034</v>
      </c>
      <c r="AY14" s="9">
        <f>[4]Annual!EV14/10</f>
        <v>33746949.306249999</v>
      </c>
      <c r="AZ14" s="9">
        <f>[4]Annual!EW14/10</f>
        <v>32404530.90625</v>
      </c>
      <c r="BA14" s="9">
        <f>[4]Annual!EX14/10</f>
        <v>31062113.256250001</v>
      </c>
      <c r="BB14" s="9">
        <f>[4]Annual!EY14/10</f>
        <v>32404530.90625</v>
      </c>
      <c r="BC14" s="9">
        <f>[4]Annual!EZ14/10</f>
        <v>32404530.90625</v>
      </c>
      <c r="BD14" s="9">
        <f>[4]Annual!FA14/10</f>
        <v>24071937.262499999</v>
      </c>
      <c r="BE14" s="9">
        <f>[4]Annual!FB14/10</f>
        <v>19905640.453125</v>
      </c>
      <c r="BF14" s="9">
        <f>[4]Annual!FC14/10</f>
        <v>32404530.90625</v>
      </c>
      <c r="BG14" s="9">
        <f>[4]Annual!FD14/10</f>
        <v>32404530.90625</v>
      </c>
      <c r="BH14" s="9">
        <f>[4]Annual!FE14/10</f>
        <v>33075739.931249999</v>
      </c>
    </row>
    <row r="15" spans="1:60" x14ac:dyDescent="0.25">
      <c r="B15">
        <v>2035</v>
      </c>
      <c r="C15" s="187">
        <f t="shared" si="3"/>
        <v>30858097.485937499</v>
      </c>
      <c r="D15" s="187">
        <f t="shared" si="4"/>
        <v>13466043.83359375</v>
      </c>
      <c r="E15" s="187">
        <f t="shared" si="5"/>
        <v>11199443.557812501</v>
      </c>
      <c r="F15" s="187">
        <f t="shared" si="6"/>
        <v>23158856.881250001</v>
      </c>
      <c r="G15" s="187">
        <f t="shared" si="0"/>
        <v>9111767.3062499985</v>
      </c>
      <c r="H15" s="187">
        <f t="shared" si="1"/>
        <v>6614438.5976562481</v>
      </c>
      <c r="I15" s="187">
        <f t="shared" si="2"/>
        <v>4324537.6609374993</v>
      </c>
      <c r="J15" s="187">
        <f t="shared" si="7"/>
        <v>10392713.806249999</v>
      </c>
      <c r="K15" s="9">
        <f>[4]Annual!$HO15</f>
        <v>107675714.425</v>
      </c>
      <c r="L15" s="9">
        <f>'[5]Oregon Emissions'!$B16/0.05311</f>
        <v>55843127.471286014</v>
      </c>
      <c r="N15">
        <v>2035</v>
      </c>
      <c r="O15" s="9">
        <f>([4]Annual!V15)/10</f>
        <v>39969864.792187497</v>
      </c>
      <c r="P15" s="9">
        <f>([4]Annual!W15)/10</f>
        <v>34663804.448437497</v>
      </c>
      <c r="Q15" s="9">
        <f>([4]Annual!X15)/10</f>
        <v>36156902.510156251</v>
      </c>
      <c r="R15" s="9">
        <f>([4]Annual!Y15)/10</f>
        <v>29721125.662500001</v>
      </c>
      <c r="S15" s="9">
        <f>([4]Annual!Z15)/10</f>
        <v>31860889.707812499</v>
      </c>
      <c r="T15" s="9">
        <f>([4]Annual!AA15)/10</f>
        <v>30858097.485937499</v>
      </c>
      <c r="U15" s="9">
        <f>([4]Annual!AB15)/10</f>
        <v>20168420.917187501</v>
      </c>
      <c r="V15" s="9">
        <f>([4]Annual!AC15)/10</f>
        <v>35323418.904687501</v>
      </c>
      <c r="W15" s="9">
        <f>([4]Annual!AD15)/10</f>
        <v>35323418.904687501</v>
      </c>
      <c r="X15" s="9">
        <f>([4]Annual!AE15)/10</f>
        <v>36311152.265625</v>
      </c>
      <c r="Y15" s="9"/>
      <c r="Z15">
        <v>2035</v>
      </c>
      <c r="AA15" s="9">
        <f>([4]Annual!AZ15)/10</f>
        <v>20080482.431249999</v>
      </c>
      <c r="AB15" s="9">
        <f>([4]Annual!BA15)/10</f>
        <v>15375660.31875</v>
      </c>
      <c r="AC15" s="9">
        <f>([4]Annual!BB15)/10</f>
        <v>15825025.446093749</v>
      </c>
      <c r="AD15" s="9">
        <f>([4]Annual!BC15)/10</f>
        <v>12972738.140625</v>
      </c>
      <c r="AE15" s="9">
        <f>([4]Annual!BD15)/10</f>
        <v>12405264.457812499</v>
      </c>
      <c r="AF15" s="9">
        <f>([4]Annual!BE15)/10</f>
        <v>13466043.83359375</v>
      </c>
      <c r="AG15" s="9">
        <f>([4]Annual!BF15)/10</f>
        <v>9026690.0679687504</v>
      </c>
      <c r="AH15" s="9">
        <f>([4]Annual!BG15)/10</f>
        <v>15677928.339062501</v>
      </c>
      <c r="AI15" s="9">
        <f>([4]Annual!BH15)/10</f>
        <v>15677928.339062501</v>
      </c>
      <c r="AJ15" s="9">
        <f>([4]Annual!BI15)/10</f>
        <v>15894604.06875</v>
      </c>
      <c r="AL15">
        <v>2035</v>
      </c>
      <c r="AM15" s="9">
        <f>[4]Annual!EL15/10</f>
        <v>15523981.21875</v>
      </c>
      <c r="AN15" s="9">
        <f>[4]Annual!EM15/10</f>
        <v>15523981.21875</v>
      </c>
      <c r="AO15" s="9">
        <f>[4]Annual!EN15/10</f>
        <v>12094903.043749999</v>
      </c>
      <c r="AP15" s="9">
        <f>[4]Annual!EO15/10</f>
        <v>15523981.21875</v>
      </c>
      <c r="AQ15" s="9">
        <f>[4]Annual!EP15/10</f>
        <v>15523981.21875</v>
      </c>
      <c r="AR15" s="9">
        <f>[4]Annual!EQ15/10</f>
        <v>11199443.557812501</v>
      </c>
      <c r="AS15" s="9">
        <f>[4]Annual!ER15/10</f>
        <v>9037174.6328125</v>
      </c>
      <c r="AT15" s="9">
        <f>[4]Annual!ES15/10</f>
        <v>15523981.21875</v>
      </c>
      <c r="AU15" s="9">
        <f>[4]Annual!ET15/10</f>
        <v>15523981.21875</v>
      </c>
      <c r="AV15" s="9">
        <f>[4]Annual!EU15/10</f>
        <v>15523981.21875</v>
      </c>
      <c r="AX15">
        <v>2035</v>
      </c>
      <c r="AY15" s="9">
        <f>[4]Annual!EV15/10</f>
        <v>33551570.6875</v>
      </c>
      <c r="AZ15" s="9">
        <f>[4]Annual!EW15/10</f>
        <v>32101385.918749999</v>
      </c>
      <c r="BA15" s="9">
        <f>[4]Annual!EX15/10</f>
        <v>30651201.356249999</v>
      </c>
      <c r="BB15" s="9">
        <f>[4]Annual!EY15/10</f>
        <v>32101385.918749999</v>
      </c>
      <c r="BC15" s="9">
        <f>[4]Annual!EZ15/10</f>
        <v>32101385.918749999</v>
      </c>
      <c r="BD15" s="9">
        <f>[4]Annual!FA15/10</f>
        <v>23158856.881250001</v>
      </c>
      <c r="BE15" s="9">
        <f>[4]Annual!FB15/10</f>
        <v>18687592.553125001</v>
      </c>
      <c r="BF15" s="9">
        <f>[4]Annual!FC15/10</f>
        <v>32101385.918749999</v>
      </c>
      <c r="BG15" s="9">
        <f>[4]Annual!FD15/10</f>
        <v>32101385.918749999</v>
      </c>
      <c r="BH15" s="9">
        <f>[4]Annual!FE15/10</f>
        <v>32826477.943750001</v>
      </c>
    </row>
    <row r="16" spans="1:60" x14ac:dyDescent="0.25">
      <c r="B16">
        <v>2036</v>
      </c>
      <c r="C16" s="187">
        <f t="shared" si="3"/>
        <v>30198516.317968749</v>
      </c>
      <c r="D16" s="187">
        <f t="shared" si="4"/>
        <v>13190677.79140625</v>
      </c>
      <c r="E16" s="187">
        <f t="shared" si="5"/>
        <v>10990715.290625</v>
      </c>
      <c r="F16" s="187">
        <f t="shared" si="6"/>
        <v>22422933.168749999</v>
      </c>
      <c r="G16" s="187">
        <f t="shared" si="0"/>
        <v>9978909.930468753</v>
      </c>
      <c r="H16" s="187">
        <f t="shared" si="1"/>
        <v>7222590.7429687511</v>
      </c>
      <c r="I16" s="187">
        <f t="shared" si="2"/>
        <v>4710306.5499999989</v>
      </c>
      <c r="J16" s="187">
        <f t="shared" si="7"/>
        <v>11148822.893750001</v>
      </c>
      <c r="K16" s="9">
        <f>[4]Annual!$HO16</f>
        <v>108324477.95</v>
      </c>
      <c r="L16" s="9">
        <f>'[5]Oregon Emissions'!$B17/0.05311</f>
        <v>52864827.339484088</v>
      </c>
      <c r="N16">
        <v>2036</v>
      </c>
      <c r="O16" s="9">
        <f>([4]Annual!V16)/10</f>
        <v>40177426.248437501</v>
      </c>
      <c r="P16" s="9">
        <f>([4]Annual!W16)/10</f>
        <v>34285470.135156251</v>
      </c>
      <c r="Q16" s="9">
        <f>([4]Annual!X16)/10</f>
        <v>35747949.382031247</v>
      </c>
      <c r="R16" s="9">
        <f>([4]Annual!Y16)/10</f>
        <v>28995655.776562501</v>
      </c>
      <c r="S16" s="9">
        <f>([4]Annual!Z16)/10</f>
        <v>31378135.225781251</v>
      </c>
      <c r="T16" s="9">
        <f>([4]Annual!AA16)/10</f>
        <v>30198516.317968749</v>
      </c>
      <c r="U16" s="9">
        <f>([4]Annual!AB16)/10</f>
        <v>18730065.110156249</v>
      </c>
      <c r="V16" s="9">
        <f>([4]Annual!AC16)/10</f>
        <v>34931492.697656251</v>
      </c>
      <c r="W16" s="9">
        <f>([4]Annual!AD16)/10</f>
        <v>34931492.697656251</v>
      </c>
      <c r="X16" s="9">
        <f>([4]Annual!AE16)/10</f>
        <v>36056767.720312499</v>
      </c>
      <c r="Y16" s="9"/>
      <c r="Z16">
        <v>2036</v>
      </c>
      <c r="AA16" s="9">
        <f>([4]Annual!AZ16)/10</f>
        <v>20413268.534375001</v>
      </c>
      <c r="AB16" s="9">
        <f>([4]Annual!BA16)/10</f>
        <v>15431055.434374999</v>
      </c>
      <c r="AC16" s="9">
        <f>([4]Annual!BB16)/10</f>
        <v>15892373.776562501</v>
      </c>
      <c r="AD16" s="9">
        <f>([4]Annual!BC16)/10</f>
        <v>12841655.490625</v>
      </c>
      <c r="AE16" s="9">
        <f>([4]Annual!BD16)/10</f>
        <v>12228440.115625</v>
      </c>
      <c r="AF16" s="9">
        <f>([4]Annual!BE16)/10</f>
        <v>13190677.79140625</v>
      </c>
      <c r="AG16" s="9">
        <f>([4]Annual!BF16)/10</f>
        <v>8423524.3054687493</v>
      </c>
      <c r="AH16" s="9">
        <f>([4]Annual!BG16)/10</f>
        <v>15728541.103125</v>
      </c>
      <c r="AI16" s="9">
        <f>([4]Annual!BH16)/10</f>
        <v>15728541.103125</v>
      </c>
      <c r="AJ16" s="9">
        <f>([4]Annual!BI16)/10</f>
        <v>15980519.846875001</v>
      </c>
      <c r="AL16">
        <v>2036</v>
      </c>
      <c r="AM16" s="9">
        <f>[4]Annual!EL16/10</f>
        <v>15701021.840624999</v>
      </c>
      <c r="AN16" s="9">
        <f>[4]Annual!EM16/10</f>
        <v>15701021.840624999</v>
      </c>
      <c r="AO16" s="9">
        <f>[4]Annual!EN16/10</f>
        <v>12066857.535937499</v>
      </c>
      <c r="AP16" s="9">
        <f>[4]Annual!EO16/10</f>
        <v>15701021.840624999</v>
      </c>
      <c r="AQ16" s="9">
        <f>[4]Annual!EP16/10</f>
        <v>15701021.840624999</v>
      </c>
      <c r="AR16" s="9">
        <f>[4]Annual!EQ16/10</f>
        <v>10990715.290625</v>
      </c>
      <c r="AS16" s="9">
        <f>[4]Annual!ER16/10</f>
        <v>8635562.0109375007</v>
      </c>
      <c r="AT16" s="9">
        <f>[4]Annual!ES16/10</f>
        <v>15701021.840624999</v>
      </c>
      <c r="AU16" s="9">
        <f>[4]Annual!ET16/10</f>
        <v>15701021.840624999</v>
      </c>
      <c r="AV16" s="9">
        <f>[4]Annual!EU16/10</f>
        <v>15701021.840624999</v>
      </c>
      <c r="AX16">
        <v>2036</v>
      </c>
      <c r="AY16" s="9">
        <f>[4]Annual!EV16/10</f>
        <v>33571756.0625</v>
      </c>
      <c r="AZ16" s="9">
        <f>[4]Annual!EW16/10</f>
        <v>32032761.131250001</v>
      </c>
      <c r="BA16" s="9">
        <f>[4]Annual!EX16/10</f>
        <v>30493766.412500001</v>
      </c>
      <c r="BB16" s="9">
        <f>[4]Annual!EY16/10</f>
        <v>32032761.131250001</v>
      </c>
      <c r="BC16" s="9">
        <f>[4]Annual!EZ16/10</f>
        <v>32032761.131250001</v>
      </c>
      <c r="BD16" s="9">
        <f>[4]Annual!FA16/10</f>
        <v>22422933.168749999</v>
      </c>
      <c r="BE16" s="9">
        <f>[4]Annual!FB16/10</f>
        <v>17618018.596875001</v>
      </c>
      <c r="BF16" s="9">
        <f>[4]Annual!FC16/10</f>
        <v>32032761.131250001</v>
      </c>
      <c r="BG16" s="9">
        <f>[4]Annual!FD16/10</f>
        <v>32032761.131250001</v>
      </c>
      <c r="BH16" s="9">
        <f>[4]Annual!FE16/10</f>
        <v>32802258.706250001</v>
      </c>
    </row>
    <row r="17" spans="2:60" x14ac:dyDescent="0.25">
      <c r="B17">
        <v>2037</v>
      </c>
      <c r="C17" s="187">
        <f t="shared" si="3"/>
        <v>29173893.729687501</v>
      </c>
      <c r="D17" s="187">
        <f t="shared" si="4"/>
        <v>12765430.28671875</v>
      </c>
      <c r="E17" s="187">
        <f t="shared" si="5"/>
        <v>10614642.515625</v>
      </c>
      <c r="F17" s="187">
        <f t="shared" si="6"/>
        <v>21421753.359375</v>
      </c>
      <c r="G17" s="187">
        <f t="shared" si="0"/>
        <v>10709735.885937501</v>
      </c>
      <c r="H17" s="187">
        <f t="shared" si="1"/>
        <v>7741382.1289062481</v>
      </c>
      <c r="I17" s="187">
        <f t="shared" si="2"/>
        <v>5027988.6593750007</v>
      </c>
      <c r="J17" s="187">
        <f t="shared" si="7"/>
        <v>11742477.440625001</v>
      </c>
      <c r="K17" s="9">
        <f>[4]Annual!$HO17</f>
        <v>107601972.54375</v>
      </c>
      <c r="L17" s="9">
        <f>'[5]Oregon Emissions'!$B18/0.05311</f>
        <v>49886527.20768217</v>
      </c>
      <c r="N17">
        <v>2037</v>
      </c>
      <c r="O17" s="9">
        <f>([4]Annual!V17)/10</f>
        <v>39883629.615625001</v>
      </c>
      <c r="P17" s="9">
        <f>([4]Annual!W17)/10</f>
        <v>33416835.289843749</v>
      </c>
      <c r="Q17" s="9">
        <f>([4]Annual!X17)/10</f>
        <v>34812301.732031249</v>
      </c>
      <c r="R17" s="9">
        <f>([4]Annual!Y17)/10</f>
        <v>27789571.990625001</v>
      </c>
      <c r="S17" s="9">
        <f>([4]Annual!Z17)/10</f>
        <v>30493132.030468751</v>
      </c>
      <c r="T17" s="9">
        <f>([4]Annual!AA17)/10</f>
        <v>29173893.729687501</v>
      </c>
      <c r="U17" s="9">
        <f>([4]Annual!AB17)/10</f>
        <v>17069804.428906251</v>
      </c>
      <c r="V17" s="9">
        <f>([4]Annual!AC17)/10</f>
        <v>34048293.142968751</v>
      </c>
      <c r="W17" s="9">
        <f>([4]Annual!AD17)/10</f>
        <v>34048293.142968751</v>
      </c>
      <c r="X17" s="9">
        <f>([4]Annual!AE17)/10</f>
        <v>35285027.840625003</v>
      </c>
      <c r="Y17" s="9"/>
      <c r="Z17">
        <v>2037</v>
      </c>
      <c r="AA17" s="9">
        <f>([4]Annual!AZ17)/10</f>
        <v>20506812.415624999</v>
      </c>
      <c r="AB17" s="9">
        <f>([4]Annual!BA17)/10</f>
        <v>15283313.30234375</v>
      </c>
      <c r="AC17" s="9">
        <f>([4]Annual!BB17)/10</f>
        <v>15747760.78125</v>
      </c>
      <c r="AD17" s="9">
        <f>([4]Annual!BC17)/10</f>
        <v>12516934.24453125</v>
      </c>
      <c r="AE17" s="9">
        <f>([4]Annual!BD17)/10</f>
        <v>11915076.39453125</v>
      </c>
      <c r="AF17" s="9">
        <f>([4]Annual!BE17)/10</f>
        <v>12765430.28671875</v>
      </c>
      <c r="AG17" s="9">
        <f>([4]Annual!BF17)/10</f>
        <v>7726882.4132812498</v>
      </c>
      <c r="AH17" s="9">
        <f>([4]Annual!BG17)/10</f>
        <v>15575422.53359375</v>
      </c>
      <c r="AI17" s="9">
        <f>([4]Annual!BH17)/10</f>
        <v>15575422.53359375</v>
      </c>
      <c r="AJ17" s="9">
        <f>([4]Annual!BI17)/10</f>
        <v>15855081.21328125</v>
      </c>
      <c r="AL17">
        <v>2037</v>
      </c>
      <c r="AM17" s="9">
        <f>[4]Annual!EL17/10</f>
        <v>15642631.175000001</v>
      </c>
      <c r="AN17" s="9">
        <f>[4]Annual!EM17/10</f>
        <v>15642631.175000001</v>
      </c>
      <c r="AO17" s="9">
        <f>[4]Annual!EN17/10</f>
        <v>11870830.370312501</v>
      </c>
      <c r="AP17" s="9">
        <f>[4]Annual!EO17/10</f>
        <v>15642631.175000001</v>
      </c>
      <c r="AQ17" s="9">
        <f>[4]Annual!EP17/10</f>
        <v>15642631.175000001</v>
      </c>
      <c r="AR17" s="9">
        <f>[4]Annual!EQ17/10</f>
        <v>10614642.515625</v>
      </c>
      <c r="AS17" s="9">
        <f>[4]Annual!ER17/10</f>
        <v>8100648.3250000002</v>
      </c>
      <c r="AT17" s="9">
        <f>[4]Annual!ES17/10</f>
        <v>15642631.175000001</v>
      </c>
      <c r="AU17" s="9">
        <f>[4]Annual!ET17/10</f>
        <v>15642631.175000001</v>
      </c>
      <c r="AV17" s="9">
        <f>[4]Annual!EU17/10</f>
        <v>15642631.175000001</v>
      </c>
      <c r="AX17">
        <v>2037</v>
      </c>
      <c r="AY17" s="9">
        <f>[4]Annual!EV17/10</f>
        <v>33164230.800000001</v>
      </c>
      <c r="AZ17" s="9">
        <f>[4]Annual!EW17/10</f>
        <v>31568899.631250001</v>
      </c>
      <c r="BA17" s="9">
        <f>[4]Annual!EX17/10</f>
        <v>29973567.887499999</v>
      </c>
      <c r="BB17" s="9">
        <f>[4]Annual!EY17/10</f>
        <v>31568899.631250001</v>
      </c>
      <c r="BC17" s="9">
        <f>[4]Annual!EZ17/10</f>
        <v>31568899.631250001</v>
      </c>
      <c r="BD17" s="9">
        <f>[4]Annual!FA17/10</f>
        <v>21421753.359375</v>
      </c>
      <c r="BE17" s="9">
        <f>[4]Annual!FB17/10</f>
        <v>16348180.11875</v>
      </c>
      <c r="BF17" s="9">
        <f>[4]Annual!FC17/10</f>
        <v>31568899.631250001</v>
      </c>
      <c r="BG17" s="9">
        <f>[4]Annual!FD17/10</f>
        <v>31568899.631250001</v>
      </c>
      <c r="BH17" s="9">
        <f>[4]Annual!FE17/10</f>
        <v>32366565.118749999</v>
      </c>
    </row>
    <row r="18" spans="2:60" x14ac:dyDescent="0.25">
      <c r="B18">
        <v>2038</v>
      </c>
      <c r="C18" s="187">
        <f t="shared" si="3"/>
        <v>28341031.557812501</v>
      </c>
      <c r="D18" s="187">
        <f t="shared" si="4"/>
        <v>12418646.51953125</v>
      </c>
      <c r="E18" s="187">
        <f t="shared" si="5"/>
        <v>10319506.964062501</v>
      </c>
      <c r="F18" s="187">
        <f t="shared" si="6"/>
        <v>20584837.203125</v>
      </c>
      <c r="G18" s="187">
        <f t="shared" si="0"/>
        <v>11480214.889062498</v>
      </c>
      <c r="H18" s="187">
        <f t="shared" si="1"/>
        <v>8280887.8695312515</v>
      </c>
      <c r="I18" s="187">
        <f t="shared" si="2"/>
        <v>5384090.5578124989</v>
      </c>
      <c r="J18" s="187">
        <f t="shared" si="7"/>
        <v>12387421.478124999</v>
      </c>
      <c r="K18" s="9">
        <f>[4]Annual!$HO18</f>
        <v>107549130.21875</v>
      </c>
      <c r="L18" s="9">
        <f>'[5]Oregon Emissions'!$B19/0.05311</f>
        <v>46908227.075880252</v>
      </c>
      <c r="N18">
        <v>2038</v>
      </c>
      <c r="O18" s="9">
        <f>([4]Annual!V18)/10</f>
        <v>39821246.446874999</v>
      </c>
      <c r="P18" s="9">
        <f>([4]Annual!W18)/10</f>
        <v>32790700.694531251</v>
      </c>
      <c r="Q18" s="9">
        <f>([4]Annual!X18)/10</f>
        <v>34089352.46484375</v>
      </c>
      <c r="R18" s="9">
        <f>([4]Annual!Y18)/10</f>
        <v>26838255.925000001</v>
      </c>
      <c r="S18" s="9">
        <f>([4]Annual!Z18)/10</f>
        <v>29842349.265625</v>
      </c>
      <c r="T18" s="9">
        <f>([4]Annual!AA18)/10</f>
        <v>28341031.557812501</v>
      </c>
      <c r="U18" s="9">
        <f>([4]Annual!AB18)/10</f>
        <v>15536525.75</v>
      </c>
      <c r="V18" s="9">
        <f>([4]Annual!AC18)/10</f>
        <v>33408344.807031251</v>
      </c>
      <c r="W18" s="9">
        <f>([4]Annual!AD18)/10</f>
        <v>33408344.807031251</v>
      </c>
      <c r="X18" s="9">
        <f>([4]Annual!AE18)/10</f>
        <v>34750363.359375</v>
      </c>
      <c r="Y18" s="9"/>
      <c r="Z18">
        <v>2038</v>
      </c>
      <c r="AA18" s="9">
        <f>([4]Annual!AZ18)/10</f>
        <v>20699534.389062501</v>
      </c>
      <c r="AB18" s="9">
        <f>([4]Annual!BA18)/10</f>
        <v>15214545.46484375</v>
      </c>
      <c r="AC18" s="9">
        <f>([4]Annual!BB18)/10</f>
        <v>15671174.7015625</v>
      </c>
      <c r="AD18" s="9">
        <f>([4]Annual!BC18)/10</f>
        <v>12286218.79140625</v>
      </c>
      <c r="AE18" s="9">
        <f>([4]Annual!BD18)/10</f>
        <v>11684358.875781249</v>
      </c>
      <c r="AF18" s="9">
        <f>([4]Annual!BE18)/10</f>
        <v>12418646.51953125</v>
      </c>
      <c r="AG18" s="9">
        <f>([4]Annual!BF18)/10</f>
        <v>7083248.5398437502</v>
      </c>
      <c r="AH18" s="9">
        <f>([4]Annual!BG18)/10</f>
        <v>15501288.735156249</v>
      </c>
      <c r="AI18" s="9">
        <f>([4]Annual!BH18)/10</f>
        <v>15501288.735156249</v>
      </c>
      <c r="AJ18" s="9">
        <f>([4]Annual!BI18)/10</f>
        <v>15809058.249218751</v>
      </c>
      <c r="AL18">
        <v>2038</v>
      </c>
      <c r="AM18" s="9">
        <f>[4]Annual!EL18/10</f>
        <v>15703597.521875</v>
      </c>
      <c r="AN18" s="9">
        <f>[4]Annual!EM18/10</f>
        <v>15703597.521875</v>
      </c>
      <c r="AO18" s="9">
        <f>[4]Annual!EN18/10</f>
        <v>11759417.2953125</v>
      </c>
      <c r="AP18" s="9">
        <f>[4]Annual!EO18/10</f>
        <v>15703597.521875</v>
      </c>
      <c r="AQ18" s="9">
        <f>[4]Annual!EP18/10</f>
        <v>15703597.521875</v>
      </c>
      <c r="AR18" s="9">
        <f>[4]Annual!EQ18/10</f>
        <v>10319506.964062501</v>
      </c>
      <c r="AS18" s="9">
        <f>[4]Annual!ER18/10</f>
        <v>7627461.7117187502</v>
      </c>
      <c r="AT18" s="9">
        <f>[4]Annual!ES18/10</f>
        <v>15703597.521875</v>
      </c>
      <c r="AU18" s="9">
        <f>[4]Annual!ET18/10</f>
        <v>15703597.521875</v>
      </c>
      <c r="AV18" s="9">
        <f>[4]Annual!EU18/10</f>
        <v>15703597.521875</v>
      </c>
      <c r="AX18">
        <v>2038</v>
      </c>
      <c r="AY18" s="9">
        <f>[4]Annual!EV18/10</f>
        <v>32972258.681249999</v>
      </c>
      <c r="AZ18" s="9">
        <f>[4]Annual!EW18/10</f>
        <v>31324752.181249999</v>
      </c>
      <c r="BA18" s="9">
        <f>[4]Annual!EX18/10</f>
        <v>29677245.831250001</v>
      </c>
      <c r="BB18" s="9">
        <f>[4]Annual!EY18/10</f>
        <v>31324752.181249999</v>
      </c>
      <c r="BC18" s="9">
        <f>[4]Annual!EZ18/10</f>
        <v>31324752.181249999</v>
      </c>
      <c r="BD18" s="9">
        <f>[4]Annual!FA18/10</f>
        <v>20584837.203125</v>
      </c>
      <c r="BE18" s="9">
        <f>[4]Annual!FB18/10</f>
        <v>15214879.731249999</v>
      </c>
      <c r="BF18" s="9">
        <f>[4]Annual!FC18/10</f>
        <v>31324752.181249999</v>
      </c>
      <c r="BG18" s="9">
        <f>[4]Annual!FD18/10</f>
        <v>31324752.181249999</v>
      </c>
      <c r="BH18" s="9">
        <f>[4]Annual!FE18/10</f>
        <v>32148505.625</v>
      </c>
    </row>
    <row r="19" spans="2:60" x14ac:dyDescent="0.25">
      <c r="B19">
        <v>2039</v>
      </c>
      <c r="C19" s="187">
        <f t="shared" si="3"/>
        <v>27512360.882031251</v>
      </c>
      <c r="D19" s="187">
        <f t="shared" si="4"/>
        <v>12073752.93125</v>
      </c>
      <c r="E19" s="187">
        <f t="shared" si="5"/>
        <v>10022070.731249999</v>
      </c>
      <c r="F19" s="187">
        <f t="shared" si="6"/>
        <v>19761835.296875</v>
      </c>
      <c r="G19" s="187">
        <f t="shared" si="0"/>
        <v>12230679.894531246</v>
      </c>
      <c r="H19" s="187">
        <f t="shared" si="1"/>
        <v>8803189.6640624981</v>
      </c>
      <c r="I19" s="187">
        <f t="shared" si="2"/>
        <v>5742984.5656250007</v>
      </c>
      <c r="J19" s="187">
        <f t="shared" si="7"/>
        <v>13019573.946874999</v>
      </c>
      <c r="K19" s="9">
        <f>[4]Annual!$HO19</f>
        <v>107471070.6375</v>
      </c>
      <c r="L19" s="9">
        <f>'[5]Oregon Emissions'!$B20/0.05311</f>
        <v>43929926.944078326</v>
      </c>
      <c r="N19">
        <v>2039</v>
      </c>
      <c r="O19" s="9">
        <f>([4]Annual!V19)/10</f>
        <v>39743040.776562497</v>
      </c>
      <c r="P19" s="9">
        <f>([4]Annual!W19)/10</f>
        <v>32185416.8046875</v>
      </c>
      <c r="Q19" s="9">
        <f>([4]Annual!X19)/10</f>
        <v>33368706.862500001</v>
      </c>
      <c r="R19" s="9">
        <f>([4]Annual!Y19)/10</f>
        <v>25908619.849218749</v>
      </c>
      <c r="S19" s="9">
        <f>([4]Annual!Z19)/10</f>
        <v>29213233.385937501</v>
      </c>
      <c r="T19" s="9">
        <f>([4]Annual!AA19)/10</f>
        <v>27512360.882031251</v>
      </c>
      <c r="U19" s="9">
        <f>([4]Annual!AB19)/10</f>
        <v>14012700.079296876</v>
      </c>
      <c r="V19" s="9">
        <f>([4]Annual!AC19)/10</f>
        <v>32790168.1015625</v>
      </c>
      <c r="W19" s="9">
        <f>([4]Annual!AD19)/10</f>
        <v>32790168.1015625</v>
      </c>
      <c r="X19" s="9">
        <f>([4]Annual!AE19)/10</f>
        <v>34224762.474218749</v>
      </c>
      <c r="Y19" s="9"/>
      <c r="Z19">
        <v>2039</v>
      </c>
      <c r="AA19" s="9">
        <f>([4]Annual!AZ19)/10</f>
        <v>20876942.595312499</v>
      </c>
      <c r="AB19" s="9">
        <f>([4]Annual!BA19)/10</f>
        <v>15156908.196875</v>
      </c>
      <c r="AC19" s="9">
        <f>([4]Annual!BB19)/10</f>
        <v>15604355.3453125</v>
      </c>
      <c r="AD19" s="9">
        <f>([4]Annual!BC19)/10</f>
        <v>12071427.081250001</v>
      </c>
      <c r="AE19" s="9">
        <f>([4]Annual!BD19)/10</f>
        <v>11464668.4609375</v>
      </c>
      <c r="AF19" s="9">
        <f>([4]Annual!BE19)/10</f>
        <v>12073752.93125</v>
      </c>
      <c r="AG19" s="9">
        <f>([4]Annual!BF19)/10</f>
        <v>6443410.5851562498</v>
      </c>
      <c r="AH19" s="9">
        <f>([4]Annual!BG19)/10</f>
        <v>15438960.653124999</v>
      </c>
      <c r="AI19" s="9">
        <f>([4]Annual!BH19)/10</f>
        <v>15438960.653124999</v>
      </c>
      <c r="AJ19" s="9">
        <f>([4]Annual!BI19)/10</f>
        <v>15773507.3375</v>
      </c>
      <c r="AL19">
        <v>2039</v>
      </c>
      <c r="AM19" s="9">
        <f>[4]Annual!EL19/10</f>
        <v>15765055.296875</v>
      </c>
      <c r="AN19" s="9">
        <f>[4]Annual!EM19/10</f>
        <v>15765055.296875</v>
      </c>
      <c r="AO19" s="9">
        <f>[4]Annual!EN19/10</f>
        <v>11647363.715624999</v>
      </c>
      <c r="AP19" s="9">
        <f>[4]Annual!EO19/10</f>
        <v>15765055.296875</v>
      </c>
      <c r="AQ19" s="9">
        <f>[4]Annual!EP19/10</f>
        <v>15765055.296875</v>
      </c>
      <c r="AR19" s="9">
        <f>[4]Annual!EQ19/10</f>
        <v>10022070.731249999</v>
      </c>
      <c r="AS19" s="9">
        <f>[4]Annual!ER19/10</f>
        <v>7150578.5367187504</v>
      </c>
      <c r="AT19" s="9">
        <f>[4]Annual!ES19/10</f>
        <v>15765055.296875</v>
      </c>
      <c r="AU19" s="9">
        <f>[4]Annual!ET19/10</f>
        <v>15765055.296875</v>
      </c>
      <c r="AV19" s="9">
        <f>[4]Annual!EU19/10</f>
        <v>15765055.296875</v>
      </c>
      <c r="AX19">
        <v>2039</v>
      </c>
      <c r="AY19" s="9">
        <f>[4]Annual!EV19/10</f>
        <v>32781409.243749999</v>
      </c>
      <c r="AZ19" s="9">
        <f>[4]Annual!EW19/10</f>
        <v>31086032.256250001</v>
      </c>
      <c r="BA19" s="9">
        <f>[4]Annual!EX19/10</f>
        <v>29390655.837499999</v>
      </c>
      <c r="BB19" s="9">
        <f>[4]Annual!EY19/10</f>
        <v>31086032.256250001</v>
      </c>
      <c r="BC19" s="9">
        <f>[4]Annual!EZ19/10</f>
        <v>31086032.256250001</v>
      </c>
      <c r="BD19" s="9">
        <f>[4]Annual!FA19/10</f>
        <v>19761835.296875</v>
      </c>
      <c r="BE19" s="9">
        <f>[4]Annual!FB19/10</f>
        <v>14099736.253125001</v>
      </c>
      <c r="BF19" s="9">
        <f>[4]Annual!FC19/10</f>
        <v>31086032.256250001</v>
      </c>
      <c r="BG19" s="9">
        <f>[4]Annual!FD19/10</f>
        <v>31086032.256250001</v>
      </c>
      <c r="BH19" s="9">
        <f>[4]Annual!FE19/10</f>
        <v>31933721.037500001</v>
      </c>
    </row>
    <row r="20" spans="2:60" x14ac:dyDescent="0.25">
      <c r="B20">
        <v>2040</v>
      </c>
      <c r="C20" s="187">
        <f t="shared" si="3"/>
        <v>26852168.880468749</v>
      </c>
      <c r="D20" s="187">
        <f t="shared" si="4"/>
        <v>11797921.56484375</v>
      </c>
      <c r="E20" s="187">
        <f t="shared" si="5"/>
        <v>9797501.1203125007</v>
      </c>
      <c r="F20" s="187">
        <f t="shared" si="6"/>
        <v>19082213.087499999</v>
      </c>
      <c r="G20" s="187">
        <f t="shared" si="0"/>
        <v>13042310.18359375</v>
      </c>
      <c r="H20" s="187">
        <f t="shared" si="1"/>
        <v>9366486.1132812519</v>
      </c>
      <c r="I20" s="187">
        <f t="shared" si="2"/>
        <v>6151919.2546874993</v>
      </c>
      <c r="J20" s="187">
        <f t="shared" si="7"/>
        <v>13718938.962500002</v>
      </c>
      <c r="K20" s="9">
        <f>[4]Annual!$HO20</f>
        <v>108072374.16249999</v>
      </c>
      <c r="L20" s="9">
        <f>'[5]Oregon Emissions'!$B21/0.05311</f>
        <v>40951626.812276408</v>
      </c>
      <c r="N20">
        <v>2040</v>
      </c>
      <c r="O20" s="9">
        <f>([4]Annual!V20)/10</f>
        <v>39894479.064062499</v>
      </c>
      <c r="P20" s="9">
        <f>([4]Annual!W20)/10</f>
        <v>31729657.288281251</v>
      </c>
      <c r="Q20" s="9">
        <f>([4]Annual!X20)/10</f>
        <v>32818439.931249999</v>
      </c>
      <c r="R20" s="9">
        <f>([4]Annual!Y20)/10</f>
        <v>24980005.359375</v>
      </c>
      <c r="S20" s="9">
        <f>([4]Annual!Z20)/10</f>
        <v>28736372.449999999</v>
      </c>
      <c r="T20" s="9">
        <f>([4]Annual!AA20)/10</f>
        <v>26852168.880468749</v>
      </c>
      <c r="U20" s="9">
        <f>([4]Annual!AB20)/10</f>
        <v>12576737.451953124</v>
      </c>
      <c r="V20" s="9">
        <f>([4]Annual!AC20)/10</f>
        <v>32333375.122656249</v>
      </c>
      <c r="W20" s="9">
        <f>([4]Annual!AD20)/10</f>
        <v>32333375.122656249</v>
      </c>
      <c r="X20" s="9">
        <f>([4]Annual!AE20)/10</f>
        <v>33851259.165624999</v>
      </c>
      <c r="Y20" s="9"/>
      <c r="Z20">
        <v>2040</v>
      </c>
      <c r="AA20" s="9">
        <f>([4]Annual!AZ20)/10</f>
        <v>21164407.678125001</v>
      </c>
      <c r="AB20" s="9">
        <f>([4]Annual!BA20)/10</f>
        <v>15183444.86875</v>
      </c>
      <c r="AC20" s="9">
        <f>([4]Annual!BB20)/10</f>
        <v>15639614.87109375</v>
      </c>
      <c r="AD20" s="9">
        <f>([4]Annual!BC20)/10</f>
        <v>11873590.4453125</v>
      </c>
      <c r="AE20" s="9">
        <f>([4]Annual!BD20)/10</f>
        <v>11308241.628125001</v>
      </c>
      <c r="AF20" s="9">
        <f>([4]Annual!BE20)/10</f>
        <v>11797921.56484375</v>
      </c>
      <c r="AG20" s="9">
        <f>([4]Annual!BF20)/10</f>
        <v>5840924.1265625004</v>
      </c>
      <c r="AH20" s="9">
        <f>([4]Annual!BG20)/10</f>
        <v>15466883.484375</v>
      </c>
      <c r="AI20" s="9">
        <f>([4]Annual!BH20)/10</f>
        <v>15466883.484375</v>
      </c>
      <c r="AJ20" s="9">
        <f>([4]Annual!BI20)/10</f>
        <v>15828819.4984375</v>
      </c>
      <c r="AL20">
        <v>2040</v>
      </c>
      <c r="AM20" s="9">
        <f>[4]Annual!EL20/10</f>
        <v>15949420.375</v>
      </c>
      <c r="AN20" s="9">
        <f>[4]Annual!EM20/10</f>
        <v>15949420.375</v>
      </c>
      <c r="AO20" s="9">
        <f>[4]Annual!EN20/10</f>
        <v>11619498.6234375</v>
      </c>
      <c r="AP20" s="9">
        <f>[4]Annual!EO20/10</f>
        <v>15949420.375</v>
      </c>
      <c r="AQ20" s="9">
        <f>[4]Annual!EP20/10</f>
        <v>15949420.375</v>
      </c>
      <c r="AR20" s="9">
        <f>[4]Annual!EQ20/10</f>
        <v>9797501.1203125007</v>
      </c>
      <c r="AS20" s="9">
        <f>[4]Annual!ER20/10</f>
        <v>6721541.46875</v>
      </c>
      <c r="AT20" s="9">
        <f>[4]Annual!ES20/10</f>
        <v>15949420.375</v>
      </c>
      <c r="AU20" s="9">
        <f>[4]Annual!ET20/10</f>
        <v>15949420.375</v>
      </c>
      <c r="AV20" s="9">
        <f>[4]Annual!EU20/10</f>
        <v>15949420.375</v>
      </c>
      <c r="AX20">
        <v>2040</v>
      </c>
      <c r="AY20" s="9">
        <f>[4]Annual!EV20/10</f>
        <v>32801152.050000001</v>
      </c>
      <c r="AZ20" s="9">
        <f>[4]Annual!EW20/10</f>
        <v>31064067.512499999</v>
      </c>
      <c r="BA20" s="9">
        <f>[4]Annual!EX20/10</f>
        <v>29326982.800000001</v>
      </c>
      <c r="BB20" s="9">
        <f>[4]Annual!EY20/10</f>
        <v>31064067.512499999</v>
      </c>
      <c r="BC20" s="9">
        <f>[4]Annual!EZ20/10</f>
        <v>31064067.512499999</v>
      </c>
      <c r="BD20" s="9">
        <f>[4]Annual!FA20/10</f>
        <v>19082213.087499999</v>
      </c>
      <c r="BE20" s="9">
        <f>[4]Annual!FB20/10</f>
        <v>13091285.634375</v>
      </c>
      <c r="BF20" s="9">
        <f>[4]Annual!FC20/10</f>
        <v>31064067.512499999</v>
      </c>
      <c r="BG20" s="9">
        <f>[4]Annual!FD20/10</f>
        <v>31064067.512499999</v>
      </c>
      <c r="BH20" s="9">
        <f>[4]Annual!FE20/10</f>
        <v>31932609.875</v>
      </c>
    </row>
    <row r="21" spans="2:60" x14ac:dyDescent="0.25">
      <c r="B21">
        <v>2041</v>
      </c>
      <c r="C21" s="187">
        <f t="shared" si="3"/>
        <v>25871688.582812499</v>
      </c>
      <c r="D21" s="187">
        <f t="shared" si="4"/>
        <v>11390103.39609375</v>
      </c>
      <c r="E21" s="187">
        <f t="shared" si="5"/>
        <v>9423230.9921875</v>
      </c>
      <c r="F21" s="187">
        <f t="shared" si="6"/>
        <v>18168768.34375</v>
      </c>
      <c r="G21" s="187">
        <f t="shared" si="0"/>
        <v>13686928.525000002</v>
      </c>
      <c r="H21" s="187">
        <f t="shared" si="1"/>
        <v>9827223.3429687489</v>
      </c>
      <c r="I21" s="187">
        <f t="shared" si="2"/>
        <v>6471375.3671875</v>
      </c>
      <c r="J21" s="187">
        <f t="shared" si="7"/>
        <v>14234284.356249999</v>
      </c>
      <c r="K21" s="9">
        <f>[4]Annual!$HO21</f>
        <v>107316665.15625</v>
      </c>
      <c r="L21" s="9">
        <f>'[5]Oregon Emissions'!$B22/0.05311</f>
        <v>37973326.68047449</v>
      </c>
      <c r="N21">
        <v>2041</v>
      </c>
      <c r="O21" s="9">
        <f>([4]Annual!V21)/10</f>
        <v>39558617.107812501</v>
      </c>
      <c r="P21" s="9">
        <f>([4]Annual!W21)/10</f>
        <v>30966207.420312501</v>
      </c>
      <c r="Q21" s="9">
        <f>([4]Annual!X21)/10</f>
        <v>31895692.90625</v>
      </c>
      <c r="R21" s="9">
        <f>([4]Annual!Y21)/10</f>
        <v>23964366.302343749</v>
      </c>
      <c r="S21" s="9">
        <f>([4]Annual!Z21)/10</f>
        <v>27978840.702343751</v>
      </c>
      <c r="T21" s="9">
        <f>([4]Annual!AA21)/10</f>
        <v>25871688.582812499</v>
      </c>
      <c r="U21" s="9">
        <f>([4]Annual!AB21)/10</f>
        <v>10995784.069140624</v>
      </c>
      <c r="V21" s="9">
        <f>([4]Annual!AC21)/10</f>
        <v>31551754.357812501</v>
      </c>
      <c r="W21" s="9">
        <f>([4]Annual!AD21)/10</f>
        <v>31551754.357812501</v>
      </c>
      <c r="X21" s="9">
        <f>([4]Annual!AE21)/10</f>
        <v>33126792.896093749</v>
      </c>
      <c r="Y21" s="9"/>
      <c r="Z21">
        <v>2041</v>
      </c>
      <c r="AA21" s="9">
        <f>([4]Annual!AZ21)/10</f>
        <v>21217326.739062499</v>
      </c>
      <c r="AB21" s="9">
        <f>([4]Annual!BA21)/10</f>
        <v>15085273.477343749</v>
      </c>
      <c r="AC21" s="9">
        <f>([4]Annual!BB21)/10</f>
        <v>15528937.390625</v>
      </c>
      <c r="AD21" s="9">
        <f>([4]Annual!BC21)/10</f>
        <v>11646417.639843751</v>
      </c>
      <c r="AE21" s="9">
        <f>([4]Annual!BD21)/10</f>
        <v>11054758.27578125</v>
      </c>
      <c r="AF21" s="9">
        <f>([4]Annual!BE21)/10</f>
        <v>11390103.39609375</v>
      </c>
      <c r="AG21" s="9">
        <f>([4]Annual!BF21)/10</f>
        <v>5175654.7730468754</v>
      </c>
      <c r="AH21" s="9">
        <f>([4]Annual!BG21)/10</f>
        <v>15362617.374218751</v>
      </c>
      <c r="AI21" s="9">
        <f>([4]Annual!BH21)/10</f>
        <v>15362617.374218751</v>
      </c>
      <c r="AJ21" s="9">
        <f>([4]Annual!BI21)/10</f>
        <v>15747026.14609375</v>
      </c>
      <c r="AL21">
        <v>2041</v>
      </c>
      <c r="AM21" s="9">
        <f>[4]Annual!EL21/10</f>
        <v>15894606.359375</v>
      </c>
      <c r="AN21" s="9">
        <f>[4]Annual!EM21/10</f>
        <v>15894606.359375</v>
      </c>
      <c r="AO21" s="9">
        <f>[4]Annual!EN21/10</f>
        <v>11429502.13125</v>
      </c>
      <c r="AP21" s="9">
        <f>[4]Annual!EO21/10</f>
        <v>15894606.359375</v>
      </c>
      <c r="AQ21" s="9">
        <f>[4]Annual!EP21/10</f>
        <v>15894606.359375</v>
      </c>
      <c r="AR21" s="9">
        <f>[4]Annual!EQ21/10</f>
        <v>9423230.9921875</v>
      </c>
      <c r="AS21" s="9">
        <f>[4]Annual!ER21/10</f>
        <v>6187543.1632812498</v>
      </c>
      <c r="AT21" s="9">
        <f>[4]Annual!ES21/10</f>
        <v>15894606.359375</v>
      </c>
      <c r="AU21" s="9">
        <f>[4]Annual!ET21/10</f>
        <v>15894606.359375</v>
      </c>
      <c r="AV21" s="9">
        <f>[4]Annual!EU21/10</f>
        <v>15894606.359375</v>
      </c>
      <c r="AX21">
        <v>2041</v>
      </c>
      <c r="AY21" s="9">
        <f>[4]Annual!EV21/10</f>
        <v>32403052.699999999</v>
      </c>
      <c r="AZ21" s="9">
        <f>[4]Annual!EW21/10</f>
        <v>30646115.112500001</v>
      </c>
      <c r="BA21" s="9">
        <f>[4]Annual!EX21/10</f>
        <v>28889177.337499999</v>
      </c>
      <c r="BB21" s="9">
        <f>[4]Annual!EY21/10</f>
        <v>30646115.112500001</v>
      </c>
      <c r="BC21" s="9">
        <f>[4]Annual!EZ21/10</f>
        <v>30646115.112500001</v>
      </c>
      <c r="BD21" s="9">
        <f>[4]Annual!FA21/10</f>
        <v>18168768.34375</v>
      </c>
      <c r="BE21" s="9">
        <f>[4]Annual!FB21/10</f>
        <v>11930094.803125</v>
      </c>
      <c r="BF21" s="9">
        <f>[4]Annual!FC21/10</f>
        <v>30646115.112500001</v>
      </c>
      <c r="BG21" s="9">
        <f>[4]Annual!FD21/10</f>
        <v>30646115.112500001</v>
      </c>
      <c r="BH21" s="9">
        <f>[4]Annual!FE21/10</f>
        <v>31524583.806249999</v>
      </c>
    </row>
    <row r="22" spans="2:60" x14ac:dyDescent="0.25">
      <c r="B22">
        <v>2042</v>
      </c>
      <c r="C22" s="187">
        <f t="shared" si="3"/>
        <v>25057191.999218751</v>
      </c>
      <c r="D22" s="187">
        <f t="shared" si="4"/>
        <v>11050739.0640625</v>
      </c>
      <c r="E22" s="187">
        <f t="shared" si="5"/>
        <v>9123109.0500000007</v>
      </c>
      <c r="F22" s="187">
        <f t="shared" si="6"/>
        <v>17388908.778124999</v>
      </c>
      <c r="G22" s="187">
        <f t="shared" si="0"/>
        <v>14401464.682031248</v>
      </c>
      <c r="H22" s="187">
        <f t="shared" si="1"/>
        <v>10335898.1234375</v>
      </c>
      <c r="I22" s="187">
        <f t="shared" si="2"/>
        <v>6842331.8312499989</v>
      </c>
      <c r="J22" s="187">
        <f t="shared" si="7"/>
        <v>14826621.628125001</v>
      </c>
      <c r="K22" s="9">
        <f>[4]Annual!$HO22</f>
        <v>107241325.075</v>
      </c>
      <c r="L22" s="9">
        <f>'[5]Oregon Emissions'!$B23/0.05311</f>
        <v>34995026.548672564</v>
      </c>
      <c r="N22">
        <v>2042</v>
      </c>
      <c r="O22" s="9">
        <f>([4]Annual!V22)/10</f>
        <v>39458656.681249999</v>
      </c>
      <c r="P22" s="9">
        <f>([4]Annual!W22)/10</f>
        <v>30461218.282812499</v>
      </c>
      <c r="Q22" s="9">
        <f>([4]Annual!X22)/10</f>
        <v>31256780.069531251</v>
      </c>
      <c r="R22" s="9">
        <f>([4]Annual!Y22)/10</f>
        <v>23121329.970312499</v>
      </c>
      <c r="S22" s="9">
        <f>([4]Annual!Z22)/10</f>
        <v>27411722.645312499</v>
      </c>
      <c r="T22" s="9">
        <f>([4]Annual!AA22)/10</f>
        <v>25057191.999218751</v>
      </c>
      <c r="U22" s="9">
        <f>([4]Annual!AB22)/10</f>
        <v>9501493.8507812507</v>
      </c>
      <c r="V22" s="9">
        <f>([4]Annual!AC22)/10</f>
        <v>31036128.451562501</v>
      </c>
      <c r="W22" s="9">
        <f>([4]Annual!AD22)/10</f>
        <v>31036128.451562501</v>
      </c>
      <c r="X22" s="9">
        <f>([4]Annual!AE22)/10</f>
        <v>32665454.310937501</v>
      </c>
      <c r="Y22" s="9"/>
      <c r="Z22">
        <v>2042</v>
      </c>
      <c r="AA22" s="9">
        <f>([4]Annual!AZ22)/10</f>
        <v>21386637.1875</v>
      </c>
      <c r="AB22" s="9">
        <f>([4]Annual!BA22)/10</f>
        <v>15088201.711718749</v>
      </c>
      <c r="AC22" s="9">
        <f>([4]Annual!BB22)/10</f>
        <v>15528997.16640625</v>
      </c>
      <c r="AD22" s="9">
        <f>([4]Annual!BC22)/10</f>
        <v>11487234.52890625</v>
      </c>
      <c r="AE22" s="9">
        <f>([4]Annual!BD22)/10</f>
        <v>10878468.38828125</v>
      </c>
      <c r="AF22" s="9">
        <f>([4]Annual!BE22)/10</f>
        <v>11050739.0640625</v>
      </c>
      <c r="AG22" s="9">
        <f>([4]Annual!BF22)/10</f>
        <v>4547375.8441406246</v>
      </c>
      <c r="AH22" s="9">
        <f>([4]Annual!BG22)/10</f>
        <v>15362463.008593749</v>
      </c>
      <c r="AI22" s="9">
        <f>([4]Annual!BH22)/10</f>
        <v>15362463.008593749</v>
      </c>
      <c r="AJ22" s="9">
        <f>([4]Annual!BI22)/10</f>
        <v>15771208.40078125</v>
      </c>
      <c r="AL22">
        <v>2042</v>
      </c>
      <c r="AM22" s="9">
        <f>[4]Annual!EL22/10</f>
        <v>15965440.88125</v>
      </c>
      <c r="AN22" s="9">
        <f>[4]Annual!EM22/10</f>
        <v>15965440.88125</v>
      </c>
      <c r="AO22" s="9">
        <f>[4]Annual!EN22/10</f>
        <v>11327754.28125</v>
      </c>
      <c r="AP22" s="9">
        <f>[4]Annual!EO22/10</f>
        <v>15965440.88125</v>
      </c>
      <c r="AQ22" s="9">
        <f>[4]Annual!EP22/10</f>
        <v>15965440.88125</v>
      </c>
      <c r="AR22" s="9">
        <f>[4]Annual!EQ22/10</f>
        <v>9123109.0500000007</v>
      </c>
      <c r="AS22" s="9">
        <f>[4]Annual!ER22/10</f>
        <v>5701943.2507812502</v>
      </c>
      <c r="AT22" s="9">
        <f>[4]Annual!ES22/10</f>
        <v>15965440.88125</v>
      </c>
      <c r="AU22" s="9">
        <f>[4]Annual!ET22/10</f>
        <v>15965440.88125</v>
      </c>
      <c r="AV22" s="9">
        <f>[4]Annual!EU22/10</f>
        <v>15965440.88125</v>
      </c>
      <c r="AX22">
        <v>2042</v>
      </c>
      <c r="AY22" s="9">
        <f>[4]Annual!EV22/10</f>
        <v>32215530.40625</v>
      </c>
      <c r="AZ22" s="9">
        <f>[4]Annual!EW22/10</f>
        <v>30430590.393750001</v>
      </c>
      <c r="BA22" s="9">
        <f>[4]Annual!EX22/10</f>
        <v>28645649.993749999</v>
      </c>
      <c r="BB22" s="9">
        <f>[4]Annual!EY22/10</f>
        <v>30430590.393750001</v>
      </c>
      <c r="BC22" s="9">
        <f>[4]Annual!EZ22/10</f>
        <v>30430590.393750001</v>
      </c>
      <c r="BD22" s="9">
        <f>[4]Annual!FA22/10</f>
        <v>17388908.778124999</v>
      </c>
      <c r="BE22" s="9">
        <f>[4]Annual!FB22/10</f>
        <v>10868068</v>
      </c>
      <c r="BF22" s="9">
        <f>[4]Annual!FC22/10</f>
        <v>30430590.393750001</v>
      </c>
      <c r="BG22" s="9">
        <f>[4]Annual!FD22/10</f>
        <v>30430590.393750001</v>
      </c>
      <c r="BH22" s="9">
        <f>[4]Annual!FE22/10</f>
        <v>31323060.493749999</v>
      </c>
    </row>
    <row r="23" spans="2:60" x14ac:dyDescent="0.25">
      <c r="B23">
        <v>2043</v>
      </c>
      <c r="C23" s="187">
        <f t="shared" si="3"/>
        <v>24242690.771093749</v>
      </c>
      <c r="D23" s="187">
        <f t="shared" si="4"/>
        <v>10711090.553906251</v>
      </c>
      <c r="E23" s="187">
        <f t="shared" si="5"/>
        <v>8821521.8265624996</v>
      </c>
      <c r="F23" s="187">
        <f t="shared" si="6"/>
        <v>16616890.237500001</v>
      </c>
      <c r="G23" s="187">
        <f t="shared" si="0"/>
        <v>15107508.939062499</v>
      </c>
      <c r="H23" s="187">
        <f t="shared" si="1"/>
        <v>10843086.297656249</v>
      </c>
      <c r="I23" s="187">
        <f t="shared" si="2"/>
        <v>7217608.7296875007</v>
      </c>
      <c r="J23" s="187">
        <f t="shared" si="7"/>
        <v>15412215.831250001</v>
      </c>
      <c r="K23" s="9">
        <f>[4]Annual!$HO23</f>
        <v>107156034.7375</v>
      </c>
      <c r="L23" s="9">
        <f>'[5]Oregon Emissions'!$B24/0.05311</f>
        <v>32016726.416870646</v>
      </c>
      <c r="N23">
        <v>2043</v>
      </c>
      <c r="O23" s="9">
        <f>([4]Annual!V23)/10</f>
        <v>39350199.710156247</v>
      </c>
      <c r="P23" s="9">
        <f>([4]Annual!W23)/10</f>
        <v>29961226.154687501</v>
      </c>
      <c r="Q23" s="9">
        <f>([4]Annual!X23)/10</f>
        <v>30664986.911718749</v>
      </c>
      <c r="R23" s="9">
        <f>([4]Annual!Y23)/10</f>
        <v>22183688.438281249</v>
      </c>
      <c r="S23" s="9">
        <f>([4]Annual!Z23)/10</f>
        <v>26827076.514062501</v>
      </c>
      <c r="T23" s="9">
        <f>([4]Annual!AA23)/10</f>
        <v>24242690.771093749</v>
      </c>
      <c r="U23" s="9">
        <f>([4]Annual!AB23)/10</f>
        <v>8015598.9263671879</v>
      </c>
      <c r="V23" s="9">
        <f>([4]Annual!AC23)/10</f>
        <v>30532426.642187499</v>
      </c>
      <c r="W23" s="9">
        <f>([4]Annual!AD23)/10</f>
        <v>30532426.642187499</v>
      </c>
      <c r="X23" s="9">
        <f>([4]Annual!AE23)/10</f>
        <v>32207967.728906251</v>
      </c>
      <c r="Y23" s="9"/>
      <c r="Z23">
        <v>2043</v>
      </c>
      <c r="AA23" s="9">
        <f>([4]Annual!AZ23)/10</f>
        <v>21554176.8515625</v>
      </c>
      <c r="AB23" s="9">
        <f>([4]Annual!BA23)/10</f>
        <v>15092574.2046875</v>
      </c>
      <c r="AC23" s="9">
        <f>([4]Annual!BB23)/10</f>
        <v>15544474.6390625</v>
      </c>
      <c r="AD23" s="9">
        <f>([4]Annual!BC23)/10</f>
        <v>11288194.1421875</v>
      </c>
      <c r="AE23" s="9">
        <f>([4]Annual!BD23)/10</f>
        <v>10702991.96484375</v>
      </c>
      <c r="AF23" s="9">
        <f>([4]Annual!BE23)/10</f>
        <v>10711090.553906251</v>
      </c>
      <c r="AG23" s="9">
        <f>([4]Annual!BF23)/10</f>
        <v>3922291.7199218748</v>
      </c>
      <c r="AH23" s="9">
        <f>([4]Annual!BG23)/10</f>
        <v>15366539.0453125</v>
      </c>
      <c r="AI23" s="9">
        <f>([4]Annual!BH23)/10</f>
        <v>15366539.0453125</v>
      </c>
      <c r="AJ23" s="9">
        <f>([4]Annual!BI23)/10</f>
        <v>15797747.2125</v>
      </c>
      <c r="AL23">
        <v>2043</v>
      </c>
      <c r="AM23" s="9">
        <f>[4]Annual!EL23/10</f>
        <v>16039130.55625</v>
      </c>
      <c r="AN23" s="9">
        <f>[4]Annual!EM23/10</f>
        <v>16039130.55625</v>
      </c>
      <c r="AO23" s="9">
        <f>[4]Annual!EN23/10</f>
        <v>11228637.353125</v>
      </c>
      <c r="AP23" s="9">
        <f>[4]Annual!EO23/10</f>
        <v>16039130.55625</v>
      </c>
      <c r="AQ23" s="9">
        <f>[4]Annual!EP23/10</f>
        <v>16039130.55625</v>
      </c>
      <c r="AR23" s="9">
        <f>[4]Annual!EQ23/10</f>
        <v>8821521.8265624996</v>
      </c>
      <c r="AS23" s="9">
        <f>[4]Annual!ER23/10</f>
        <v>5212717.484375</v>
      </c>
      <c r="AT23" s="9">
        <f>[4]Annual!ES23/10</f>
        <v>16039130.55625</v>
      </c>
      <c r="AU23" s="9">
        <f>[4]Annual!ET23/10</f>
        <v>16039130.55625</v>
      </c>
      <c r="AV23" s="9">
        <f>[4]Annual!EU23/10</f>
        <v>16039130.55625</v>
      </c>
      <c r="AX23">
        <v>2043</v>
      </c>
      <c r="AY23" s="9">
        <f>[4]Annual!EV23/10</f>
        <v>32029106.068750001</v>
      </c>
      <c r="AZ23" s="9">
        <f>[4]Annual!EW23/10</f>
        <v>30212527.862500001</v>
      </c>
      <c r="BA23" s="9">
        <f>[4]Annual!EX23/10</f>
        <v>28395949.09375</v>
      </c>
      <c r="BB23" s="9">
        <f>[4]Annual!EY23/10</f>
        <v>30212527.862500001</v>
      </c>
      <c r="BC23" s="9">
        <f>[4]Annual!EZ23/10</f>
        <v>30212527.862500001</v>
      </c>
      <c r="BD23" s="9">
        <f>[4]Annual!FA23/10</f>
        <v>16616890.237500001</v>
      </c>
      <c r="BE23" s="9">
        <f>[4]Annual!FB23/10</f>
        <v>9819071.4171875007</v>
      </c>
      <c r="BF23" s="9">
        <f>[4]Annual!FC23/10</f>
        <v>30212527.862500001</v>
      </c>
      <c r="BG23" s="9">
        <f>[4]Annual!FD23/10</f>
        <v>30212527.862500001</v>
      </c>
      <c r="BH23" s="9">
        <f>[4]Annual!FE23/10</f>
        <v>31120817.15625</v>
      </c>
    </row>
    <row r="24" spans="2:60" x14ac:dyDescent="0.25">
      <c r="B24">
        <v>2044</v>
      </c>
      <c r="C24" s="187">
        <f t="shared" si="3"/>
        <v>23583350.021093749</v>
      </c>
      <c r="D24" s="187">
        <f t="shared" si="4"/>
        <v>10435726.047656249</v>
      </c>
      <c r="E24" s="187">
        <f t="shared" si="5"/>
        <v>8582090.6296874993</v>
      </c>
      <c r="F24" s="187">
        <f t="shared" si="6"/>
        <v>15963649.018750001</v>
      </c>
      <c r="G24" s="187">
        <f t="shared" si="0"/>
        <v>15902792.81640625</v>
      </c>
      <c r="H24" s="187">
        <f t="shared" si="1"/>
        <v>11413145.107031252</v>
      </c>
      <c r="I24" s="187">
        <f t="shared" si="2"/>
        <v>7654296.8828125</v>
      </c>
      <c r="J24" s="187">
        <f t="shared" si="7"/>
        <v>16084766.800000001</v>
      </c>
      <c r="K24" s="9">
        <f>[4]Annual!$HO24</f>
        <v>107772899.59999999</v>
      </c>
      <c r="L24" s="9">
        <f>'[5]Oregon Emissions'!$B25/0.05311</f>
        <v>29038426.285068724</v>
      </c>
      <c r="N24">
        <v>2044</v>
      </c>
      <c r="O24" s="9">
        <f>([4]Annual!V24)/10</f>
        <v>39486142.837499999</v>
      </c>
      <c r="P24" s="9">
        <f>([4]Annual!W24)/10</f>
        <v>29607783.96875</v>
      </c>
      <c r="Q24" s="9">
        <f>([4]Annual!X24)/10</f>
        <v>30241534.199999999</v>
      </c>
      <c r="R24" s="9">
        <f>([4]Annual!Y24)/10</f>
        <v>21310717.939843751</v>
      </c>
      <c r="S24" s="9">
        <f>([4]Annual!Z24)/10</f>
        <v>26396842.010156251</v>
      </c>
      <c r="T24" s="9">
        <f>([4]Annual!AA24)/10</f>
        <v>23583350.021093749</v>
      </c>
      <c r="U24" s="9">
        <f>([4]Annual!AB24)/10</f>
        <v>6583581.0771484375</v>
      </c>
      <c r="V24" s="9">
        <f>([4]Annual!AC24)/10</f>
        <v>30180154.506250001</v>
      </c>
      <c r="W24" s="9">
        <f>([4]Annual!AD24)/10</f>
        <v>30180154.506250001</v>
      </c>
      <c r="X24" s="9">
        <f>([4]Annual!AE24)/10</f>
        <v>31906639.217968751</v>
      </c>
      <c r="Y24" s="9"/>
      <c r="Z24">
        <v>2044</v>
      </c>
      <c r="AA24" s="9">
        <f>([4]Annual!AZ24)/10</f>
        <v>21848871.154687501</v>
      </c>
      <c r="AB24" s="9">
        <f>([4]Annual!BA24)/10</f>
        <v>15174071.2875</v>
      </c>
      <c r="AC24" s="9">
        <f>([4]Annual!BB24)/10</f>
        <v>15644421.235156249</v>
      </c>
      <c r="AD24" s="9">
        <f>([4]Annual!BC24)/10</f>
        <v>11123812.2359375</v>
      </c>
      <c r="AE24" s="9">
        <f>([4]Annual!BD24)/10</f>
        <v>10586534.948437501</v>
      </c>
      <c r="AF24" s="9">
        <f>([4]Annual!BE24)/10</f>
        <v>10435726.047656249</v>
      </c>
      <c r="AG24" s="9">
        <f>([4]Annual!BF24)/10</f>
        <v>3321178.1312500001</v>
      </c>
      <c r="AH24" s="9">
        <f>([4]Annual!BG24)/10</f>
        <v>15450240.334375</v>
      </c>
      <c r="AI24" s="9">
        <f>([4]Annual!BH24)/10</f>
        <v>15450240.334375</v>
      </c>
      <c r="AJ24" s="9">
        <f>([4]Annual!BI24)/10</f>
        <v>15906277.2203125</v>
      </c>
      <c r="AL24">
        <v>2044</v>
      </c>
      <c r="AM24" s="9">
        <f>[4]Annual!EL24/10</f>
        <v>16236387.512499999</v>
      </c>
      <c r="AN24" s="9">
        <f>[4]Annual!EM24/10</f>
        <v>16236387.512499999</v>
      </c>
      <c r="AO24" s="9">
        <f>[4]Annual!EN24/10</f>
        <v>11207940.546875</v>
      </c>
      <c r="AP24" s="9">
        <f>[4]Annual!EO24/10</f>
        <v>16236387.512499999</v>
      </c>
      <c r="AQ24" s="9">
        <f>[4]Annual!EP24/10</f>
        <v>16236387.512499999</v>
      </c>
      <c r="AR24" s="9">
        <f>[4]Annual!EQ24/10</f>
        <v>8582090.6296874993</v>
      </c>
      <c r="AS24" s="9">
        <f>[4]Annual!ER24/10</f>
        <v>4754942.1164062498</v>
      </c>
      <c r="AT24" s="9">
        <f>[4]Annual!ES24/10</f>
        <v>16236387.512499999</v>
      </c>
      <c r="AU24" s="9">
        <f>[4]Annual!ET24/10</f>
        <v>16236387.512499999</v>
      </c>
      <c r="AV24" s="9">
        <f>[4]Annual!EU24/10</f>
        <v>16236387.512499999</v>
      </c>
      <c r="AX24">
        <v>2044</v>
      </c>
      <c r="AY24" s="9">
        <f>[4]Annual!EV24/10</f>
        <v>32048415.818750001</v>
      </c>
      <c r="AZ24" s="9">
        <f>[4]Annual!EW24/10</f>
        <v>30201498.368749999</v>
      </c>
      <c r="BA24" s="9">
        <f>[4]Annual!EX24/10</f>
        <v>28354580.137499999</v>
      </c>
      <c r="BB24" s="9">
        <f>[4]Annual!EY24/10</f>
        <v>30201498.368749999</v>
      </c>
      <c r="BC24" s="9">
        <f>[4]Annual!EZ24/10</f>
        <v>30201498.368749999</v>
      </c>
      <c r="BD24" s="9">
        <f>[4]Annual!FA24/10</f>
        <v>15963649.018750001</v>
      </c>
      <c r="BE24" s="9">
        <f>[4]Annual!FB24/10</f>
        <v>8844724.4375</v>
      </c>
      <c r="BF24" s="9">
        <f>[4]Annual!FC24/10</f>
        <v>30201498.368749999</v>
      </c>
      <c r="BG24" s="9">
        <f>[4]Annual!FD24/10</f>
        <v>30201498.368749999</v>
      </c>
      <c r="BH24" s="9">
        <f>[4]Annual!FE24/10</f>
        <v>31124957.09375</v>
      </c>
    </row>
    <row r="25" spans="2:60" x14ac:dyDescent="0.25">
      <c r="B25">
        <v>2045</v>
      </c>
      <c r="C25" s="187">
        <f t="shared" si="3"/>
        <v>22637942.731249999</v>
      </c>
      <c r="D25" s="187">
        <f t="shared" si="4"/>
        <v>10041583.128125001</v>
      </c>
      <c r="E25" s="187">
        <f t="shared" si="5"/>
        <v>8209720.8265624996</v>
      </c>
      <c r="F25" s="187">
        <f t="shared" si="6"/>
        <v>15129470.321875</v>
      </c>
      <c r="G25" s="187">
        <f t="shared" si="0"/>
        <v>16495184.858593751</v>
      </c>
      <c r="H25" s="187">
        <f t="shared" si="1"/>
        <v>11857857.831250001</v>
      </c>
      <c r="I25" s="187">
        <f t="shared" si="2"/>
        <v>7978461.1453125011</v>
      </c>
      <c r="J25" s="187">
        <f t="shared" si="7"/>
        <v>16530051.715625001</v>
      </c>
      <c r="K25" s="9">
        <f>[4]Annual!$HO25</f>
        <v>107053507.625</v>
      </c>
      <c r="L25" s="9">
        <f>'[5]Oregon Emissions'!$B26/0.05311</f>
        <v>26060126.153266802</v>
      </c>
      <c r="N25">
        <v>2045</v>
      </c>
      <c r="O25" s="9">
        <f>([4]Annual!V25)/10</f>
        <v>39133127.58984375</v>
      </c>
      <c r="P25" s="9">
        <f>([4]Annual!W25)/10</f>
        <v>28858418.457812499</v>
      </c>
      <c r="Q25" s="9">
        <f>([4]Annual!X25)/10</f>
        <v>29427320.475000001</v>
      </c>
      <c r="R25" s="9">
        <f>([4]Annual!Y25)/10</f>
        <v>20123795.698437501</v>
      </c>
      <c r="S25" s="9">
        <f>([4]Annual!Z25)/10</f>
        <v>25633903.671875</v>
      </c>
      <c r="T25" s="9">
        <f>([4]Annual!AA25)/10</f>
        <v>22637942.731249999</v>
      </c>
      <c r="U25" s="9">
        <f>([4]Annual!AB25)/10</f>
        <v>5077622.2609374998</v>
      </c>
      <c r="V25" s="9">
        <f>([4]Annual!AC25)/10</f>
        <v>29426088.2890625</v>
      </c>
      <c r="W25" s="9">
        <f>([4]Annual!AD25)/10</f>
        <v>29426088.2890625</v>
      </c>
      <c r="X25" s="9">
        <f>([4]Annual!AE25)/10</f>
        <v>31177609.3515625</v>
      </c>
      <c r="Y25" s="9"/>
      <c r="Z25">
        <v>2045</v>
      </c>
      <c r="AA25" s="9">
        <f>([4]Annual!AZ25)/10</f>
        <v>21899440.959375001</v>
      </c>
      <c r="AB25" s="9">
        <f>([4]Annual!BA25)/10</f>
        <v>15082401.6171875</v>
      </c>
      <c r="AC25" s="9">
        <f>([4]Annual!BB25)/10</f>
        <v>15569200.664843749</v>
      </c>
      <c r="AD25" s="9">
        <f>([4]Annual!BC25)/10</f>
        <v>10819996.775</v>
      </c>
      <c r="AE25" s="9">
        <f>([4]Annual!BD25)/10</f>
        <v>10352675.7828125</v>
      </c>
      <c r="AF25" s="9">
        <f>([4]Annual!BE25)/10</f>
        <v>10041583.128125001</v>
      </c>
      <c r="AG25" s="9">
        <f>([4]Annual!BF25)/10</f>
        <v>2685525.2380859377</v>
      </c>
      <c r="AH25" s="9">
        <f>([4]Annual!BG25)/10</f>
        <v>15358112.707812499</v>
      </c>
      <c r="AI25" s="9">
        <f>([4]Annual!BH25)/10</f>
        <v>15358112.707812499</v>
      </c>
      <c r="AJ25" s="9">
        <f>([4]Annual!BI25)/10</f>
        <v>15829881.3890625</v>
      </c>
      <c r="AL25">
        <v>2045</v>
      </c>
      <c r="AM25" s="9">
        <f>[4]Annual!EL25/10</f>
        <v>16188181.971875001</v>
      </c>
      <c r="AN25" s="9">
        <f>[4]Annual!EM25/10</f>
        <v>16188181.971875001</v>
      </c>
      <c r="AO25" s="9">
        <f>[4]Annual!EN25/10</f>
        <v>11027242.5875</v>
      </c>
      <c r="AP25" s="9">
        <f>[4]Annual!EO25/10</f>
        <v>16188181.971875001</v>
      </c>
      <c r="AQ25" s="9">
        <f>[4]Annual!EP25/10</f>
        <v>16188181.971875001</v>
      </c>
      <c r="AR25" s="9">
        <f>[4]Annual!EQ25/10</f>
        <v>8209720.8265624996</v>
      </c>
      <c r="AS25" s="9">
        <f>[4]Annual!ER25/10</f>
        <v>4220490.3304687496</v>
      </c>
      <c r="AT25" s="9">
        <f>[4]Annual!ES25/10</f>
        <v>16188181.971875001</v>
      </c>
      <c r="AU25" s="9">
        <f>[4]Annual!ET25/10</f>
        <v>16188181.971875001</v>
      </c>
      <c r="AV25" s="9">
        <f>[4]Annual!EU25/10</f>
        <v>16188181.971875001</v>
      </c>
      <c r="AX25">
        <v>2045</v>
      </c>
      <c r="AY25" s="9">
        <f>[4]Annual!EV25/10</f>
        <v>31659522.037500001</v>
      </c>
      <c r="AZ25" s="9">
        <f>[4]Annual!EW25/10</f>
        <v>29832757.887499999</v>
      </c>
      <c r="BA25" s="9">
        <f>[4]Annual!EX25/10</f>
        <v>28005993.912500001</v>
      </c>
      <c r="BB25" s="9">
        <f>[4]Annual!EY25/10</f>
        <v>29832757.887499999</v>
      </c>
      <c r="BC25" s="9">
        <f>[4]Annual!EZ25/10</f>
        <v>29832757.887499999</v>
      </c>
      <c r="BD25" s="9">
        <f>[4]Annual!FA25/10</f>
        <v>15129470.321875</v>
      </c>
      <c r="BE25" s="9">
        <f>[4]Annual!FB25/10</f>
        <v>7777826.2156250002</v>
      </c>
      <c r="BF25" s="9">
        <f>[4]Annual!FC25/10</f>
        <v>29832757.887499999</v>
      </c>
      <c r="BG25" s="9">
        <f>[4]Annual!FD25/10</f>
        <v>29832757.887499999</v>
      </c>
      <c r="BH25" s="9">
        <f>[4]Annual!FE25/10</f>
        <v>30746140.25</v>
      </c>
    </row>
    <row r="26" spans="2:60" x14ac:dyDescent="0.25">
      <c r="B26">
        <v>2046</v>
      </c>
      <c r="C26" s="187">
        <f t="shared" si="3"/>
        <v>21843523.728906251</v>
      </c>
      <c r="D26" s="187">
        <f t="shared" si="4"/>
        <v>9709980.8656249996</v>
      </c>
      <c r="E26" s="187">
        <f t="shared" si="5"/>
        <v>7899432.3562500002</v>
      </c>
      <c r="F26" s="187">
        <f t="shared" si="6"/>
        <v>14405382.65625</v>
      </c>
      <c r="G26" s="187">
        <f t="shared" si="0"/>
        <v>17173425.497656249</v>
      </c>
      <c r="H26" s="187">
        <f t="shared" si="1"/>
        <v>12361033.2984375</v>
      </c>
      <c r="I26" s="187">
        <f t="shared" si="2"/>
        <v>8364104.8875000002</v>
      </c>
      <c r="J26" s="187">
        <f t="shared" si="7"/>
        <v>17070965.274999999</v>
      </c>
      <c r="K26" s="9">
        <f>[4]Annual!$HO26</f>
        <v>107009641.1125</v>
      </c>
      <c r="L26" s="9">
        <f>'[5]Oregon Emissions'!$B27/0.05311</f>
        <v>23081826.021464881</v>
      </c>
      <c r="N26">
        <v>2046</v>
      </c>
      <c r="O26" s="9">
        <f>([4]Annual!V26)/10</f>
        <v>39016949.2265625</v>
      </c>
      <c r="P26" s="9">
        <f>([4]Annual!W26)/10</f>
        <v>28340316.409375001</v>
      </c>
      <c r="Q26" s="9">
        <f>([4]Annual!X26)/10</f>
        <v>28809536.247656249</v>
      </c>
      <c r="R26" s="9">
        <f>([4]Annual!Y26)/10</f>
        <v>19299132.0234375</v>
      </c>
      <c r="S26" s="9">
        <f>([4]Annual!Z26)/10</f>
        <v>25095568.559374999</v>
      </c>
      <c r="T26" s="9">
        <f>([4]Annual!AA26)/10</f>
        <v>21843523.728906251</v>
      </c>
      <c r="U26" s="9">
        <f>([4]Annual!AB26)/10</f>
        <v>3793081.8298828127</v>
      </c>
      <c r="V26" s="9">
        <f>([4]Annual!AC26)/10</f>
        <v>28897316.412500001</v>
      </c>
      <c r="W26" s="9">
        <f>([4]Annual!AD26)/10</f>
        <v>28897316.412500001</v>
      </c>
      <c r="X26" s="9">
        <f>([4]Annual!AE26)/10</f>
        <v>30686749.576562501</v>
      </c>
      <c r="Y26" s="9"/>
      <c r="Z26">
        <v>2046</v>
      </c>
      <c r="AA26" s="9">
        <f>([4]Annual!AZ26)/10</f>
        <v>22071014.1640625</v>
      </c>
      <c r="AB26" s="9">
        <f>([4]Annual!BA26)/10</f>
        <v>15109041.067187499</v>
      </c>
      <c r="AC26" s="9">
        <f>([4]Annual!BB26)/10</f>
        <v>15596996.807812501</v>
      </c>
      <c r="AD26" s="9">
        <f>([4]Annual!BC26)/10</f>
        <v>10681928.432812501</v>
      </c>
      <c r="AE26" s="9">
        <f>([4]Annual!BD26)/10</f>
        <v>10202744.79921875</v>
      </c>
      <c r="AF26" s="9">
        <f>([4]Annual!BE26)/10</f>
        <v>9709980.8656249996</v>
      </c>
      <c r="AG26" s="9">
        <f>([4]Annual!BF26)/10</f>
        <v>2145194.5679687499</v>
      </c>
      <c r="AH26" s="9">
        <f>([4]Annual!BG26)/10</f>
        <v>15381936.778124999</v>
      </c>
      <c r="AI26" s="9">
        <f>([4]Annual!BH26)/10</f>
        <v>15381936.778124999</v>
      </c>
      <c r="AJ26" s="9">
        <f>([4]Annual!BI26)/10</f>
        <v>15874338.071875</v>
      </c>
      <c r="AL26">
        <v>2046</v>
      </c>
      <c r="AM26" s="9">
        <f>[4]Annual!EL26/10</f>
        <v>16263537.24375</v>
      </c>
      <c r="AN26" s="9">
        <f>[4]Annual!EM26/10</f>
        <v>16263537.24375</v>
      </c>
      <c r="AO26" s="9">
        <f>[4]Annual!EN26/10</f>
        <v>10924918.6578125</v>
      </c>
      <c r="AP26" s="9">
        <f>[4]Annual!EO26/10</f>
        <v>16263537.24375</v>
      </c>
      <c r="AQ26" s="9">
        <f>[4]Annual!EP26/10</f>
        <v>16263537.24375</v>
      </c>
      <c r="AR26" s="9">
        <f>[4]Annual!EQ26/10</f>
        <v>7899432.3562500002</v>
      </c>
      <c r="AS26" s="9">
        <f>[4]Annual!ER26/10</f>
        <v>3717379.970703125</v>
      </c>
      <c r="AT26" s="9">
        <f>[4]Annual!ES26/10</f>
        <v>16263537.24375</v>
      </c>
      <c r="AU26" s="9">
        <f>[4]Annual!ET26/10</f>
        <v>16263537.24375</v>
      </c>
      <c r="AV26" s="9">
        <f>[4]Annual!EU26/10</f>
        <v>16263537.24375</v>
      </c>
      <c r="AX26">
        <v>2046</v>
      </c>
      <c r="AY26" s="9">
        <f>[4]Annual!EV26/10</f>
        <v>31476347.931249999</v>
      </c>
      <c r="AZ26" s="9">
        <f>[4]Annual!EW26/10</f>
        <v>29658140.34375</v>
      </c>
      <c r="BA26" s="9">
        <f>[4]Annual!EX26/10</f>
        <v>27839933.324999999</v>
      </c>
      <c r="BB26" s="9">
        <f>[4]Annual!EY26/10</f>
        <v>29658140.34375</v>
      </c>
      <c r="BC26" s="9">
        <f>[4]Annual!EZ26/10</f>
        <v>29658140.34375</v>
      </c>
      <c r="BD26" s="9">
        <f>[4]Annual!FA26/10</f>
        <v>14405382.65625</v>
      </c>
      <c r="BE26" s="9">
        <f>[4]Annual!FB26/10</f>
        <v>6779003.5796875004</v>
      </c>
      <c r="BF26" s="9">
        <f>[4]Annual!FC26/10</f>
        <v>29658140.34375</v>
      </c>
      <c r="BG26" s="9">
        <f>[4]Annual!FD26/10</f>
        <v>29658140.34375</v>
      </c>
      <c r="BH26" s="9">
        <f>[4]Annual!FE26/10</f>
        <v>30567244.237500001</v>
      </c>
    </row>
    <row r="27" spans="2:60" x14ac:dyDescent="0.25">
      <c r="B27">
        <v>2047</v>
      </c>
      <c r="C27" s="187">
        <f t="shared" si="3"/>
        <v>21054836.712499999</v>
      </c>
      <c r="D27" s="187">
        <f t="shared" si="4"/>
        <v>9380505.7390624993</v>
      </c>
      <c r="E27" s="187">
        <f t="shared" si="5"/>
        <v>7586160.4710937496</v>
      </c>
      <c r="F27" s="187">
        <f t="shared" si="6"/>
        <v>13686714.356249999</v>
      </c>
      <c r="G27" s="187">
        <f t="shared" si="0"/>
        <v>17840641.22265625</v>
      </c>
      <c r="H27" s="187">
        <f t="shared" si="1"/>
        <v>12861794.131250001</v>
      </c>
      <c r="I27" s="187">
        <f t="shared" si="2"/>
        <v>8753262.1101562511</v>
      </c>
      <c r="J27" s="187">
        <f t="shared" si="7"/>
        <v>17607531.212500002</v>
      </c>
      <c r="K27" s="9">
        <f>[4]Annual!$HO27</f>
        <v>106956277.425</v>
      </c>
      <c r="L27" s="9">
        <f>'[5]Oregon Emissions'!$B28/0.05311</f>
        <v>20103525.889662959</v>
      </c>
      <c r="N27">
        <v>2047</v>
      </c>
      <c r="O27" s="9">
        <f>([4]Annual!V27)/10</f>
        <v>38895477.935156249</v>
      </c>
      <c r="P27" s="9">
        <f>([4]Annual!W27)/10</f>
        <v>27824532.925000001</v>
      </c>
      <c r="Q27" s="9">
        <f>([4]Annual!X27)/10</f>
        <v>28204084.83984375</v>
      </c>
      <c r="R27" s="9">
        <f>([4]Annual!Y27)/10</f>
        <v>18491552.087499999</v>
      </c>
      <c r="S27" s="9">
        <f>([4]Annual!Z27)/10</f>
        <v>24566545.642968751</v>
      </c>
      <c r="T27" s="9">
        <f>([4]Annual!AA27)/10</f>
        <v>21054836.712499999</v>
      </c>
      <c r="U27" s="9">
        <f>([4]Annual!AB27)/10</f>
        <v>3212415.5509765623</v>
      </c>
      <c r="V27" s="9">
        <f>([4]Annual!AC27)/10</f>
        <v>28370876.728124999</v>
      </c>
      <c r="W27" s="9">
        <f>([4]Annual!AD27)/10</f>
        <v>28370876.728124999</v>
      </c>
      <c r="X27" s="9">
        <f>([4]Annual!AE27)/10</f>
        <v>30195322.803125001</v>
      </c>
      <c r="Y27" s="9"/>
      <c r="Z27">
        <v>2047</v>
      </c>
      <c r="AA27" s="9">
        <f>([4]Annual!AZ27)/10</f>
        <v>22242299.870312501</v>
      </c>
      <c r="AB27" s="9">
        <f>([4]Annual!BA27)/10</f>
        <v>15137048.903124999</v>
      </c>
      <c r="AC27" s="9">
        <f>([4]Annual!BB27)/10</f>
        <v>15625293.97421875</v>
      </c>
      <c r="AD27" s="9">
        <f>([4]Annual!BC27)/10</f>
        <v>10549580.509375</v>
      </c>
      <c r="AE27" s="9">
        <f>([4]Annual!BD27)/10</f>
        <v>10057495.74375</v>
      </c>
      <c r="AF27" s="9">
        <f>([4]Annual!BE27)/10</f>
        <v>9380505.7390624993</v>
      </c>
      <c r="AG27" s="9">
        <f>([4]Annual!BF27)/10</f>
        <v>1902728.1328125</v>
      </c>
      <c r="AH27" s="9">
        <f>([4]Annual!BG27)/10</f>
        <v>15407064.3515625</v>
      </c>
      <c r="AI27" s="9">
        <f>([4]Annual!BH27)/10</f>
        <v>15407064.3515625</v>
      </c>
      <c r="AJ27" s="9">
        <f>([4]Annual!BI27)/10</f>
        <v>15919210.221875001</v>
      </c>
      <c r="AL27">
        <v>2047</v>
      </c>
      <c r="AM27" s="9">
        <f>[4]Annual!EL27/10</f>
        <v>16339422.581250001</v>
      </c>
      <c r="AN27" s="9">
        <f>[4]Annual!EM27/10</f>
        <v>16339422.581250001</v>
      </c>
      <c r="AO27" s="9">
        <f>[4]Annual!EN27/10</f>
        <v>10821453.59375</v>
      </c>
      <c r="AP27" s="9">
        <f>[4]Annual!EO27/10</f>
        <v>16339422.581250001</v>
      </c>
      <c r="AQ27" s="9">
        <f>[4]Annual!EP27/10</f>
        <v>16339422.581250001</v>
      </c>
      <c r="AR27" s="9">
        <f>[4]Annual!EQ27/10</f>
        <v>7586160.4710937496</v>
      </c>
      <c r="AS27" s="9">
        <f>[4]Annual!ER27/10</f>
        <v>3209529.4183593751</v>
      </c>
      <c r="AT27" s="9">
        <f>[4]Annual!ES27/10</f>
        <v>16339422.581250001</v>
      </c>
      <c r="AU27" s="9">
        <f>[4]Annual!ET27/10</f>
        <v>16339422.581250001</v>
      </c>
      <c r="AV27" s="9">
        <f>[4]Annual!EU27/10</f>
        <v>16339422.581250001</v>
      </c>
      <c r="AX27">
        <v>2047</v>
      </c>
      <c r="AY27" s="9">
        <f>[4]Annual!EV27/10</f>
        <v>31294245.568750001</v>
      </c>
      <c r="AZ27" s="9">
        <f>[4]Annual!EW27/10</f>
        <v>29479077.1875</v>
      </c>
      <c r="BA27" s="9">
        <f>[4]Annual!EX27/10</f>
        <v>27663908.056249999</v>
      </c>
      <c r="BB27" s="9">
        <f>[4]Annual!EY27/10</f>
        <v>29479077.1875</v>
      </c>
      <c r="BC27" s="9">
        <f>[4]Annual!EZ27/10</f>
        <v>29479077.1875</v>
      </c>
      <c r="BD27" s="9">
        <f>[4]Annual!FA27/10</f>
        <v>13686714.356249999</v>
      </c>
      <c r="BE27" s="9">
        <f>[4]Annual!FB27/10</f>
        <v>5790532.9953124998</v>
      </c>
      <c r="BF27" s="9">
        <f>[4]Annual!FC27/10</f>
        <v>29479077.1875</v>
      </c>
      <c r="BG27" s="9">
        <f>[4]Annual!FD27/10</f>
        <v>29479077.1875</v>
      </c>
      <c r="BH27" s="9">
        <f>[4]Annual!FE27/10</f>
        <v>30386661.46875</v>
      </c>
    </row>
    <row r="28" spans="2:60" x14ac:dyDescent="0.25">
      <c r="B28">
        <v>2048</v>
      </c>
      <c r="C28" s="187">
        <f t="shared" si="3"/>
        <v>20398888.028124999</v>
      </c>
      <c r="D28" s="187">
        <f t="shared" si="4"/>
        <v>9106259.7992187496</v>
      </c>
      <c r="E28" s="187">
        <f t="shared" si="5"/>
        <v>7325369.234375</v>
      </c>
      <c r="F28" s="187">
        <f t="shared" si="6"/>
        <v>13064737.084375</v>
      </c>
      <c r="G28" s="187">
        <f t="shared" si="0"/>
        <v>18618961.682812501</v>
      </c>
      <c r="H28" s="187">
        <f t="shared" si="1"/>
        <v>13433803.249218749</v>
      </c>
      <c r="I28" s="187">
        <f t="shared" si="2"/>
        <v>9215787.171875</v>
      </c>
      <c r="J28" s="187">
        <f t="shared" si="7"/>
        <v>18248396.828125</v>
      </c>
      <c r="K28" s="9">
        <f>[4]Annual!$HO28</f>
        <v>107600088.03125</v>
      </c>
      <c r="L28" s="9">
        <f>'[5]Oregon Emissions'!$B29/0.05311</f>
        <v>17125225.757861041</v>
      </c>
      <c r="N28">
        <v>2048</v>
      </c>
      <c r="O28" s="9">
        <f>([4]Annual!V28)/10</f>
        <v>39017849.7109375</v>
      </c>
      <c r="P28" s="9">
        <f>([4]Annual!W28)/10</f>
        <v>27470812.572656251</v>
      </c>
      <c r="Q28" s="9">
        <f>([4]Annual!X28)/10</f>
        <v>27786964.748437501</v>
      </c>
      <c r="R28" s="9">
        <f>([4]Annual!Y28)/10</f>
        <v>17756584.313281249</v>
      </c>
      <c r="S28" s="9">
        <f>([4]Annual!Z28)/10</f>
        <v>24189274.557031251</v>
      </c>
      <c r="T28" s="9">
        <f>([4]Annual!AA28)/10</f>
        <v>20398888.028124999</v>
      </c>
      <c r="U28" s="9">
        <f>([4]Annual!AB28)/10</f>
        <v>3221366.9456054689</v>
      </c>
      <c r="V28" s="9">
        <f>([4]Annual!AC28)/10</f>
        <v>28011860.397656251</v>
      </c>
      <c r="W28" s="9">
        <f>([4]Annual!AD28)/10</f>
        <v>28011860.397656251</v>
      </c>
      <c r="X28" s="9">
        <f>([4]Annual!AE28)/10</f>
        <v>29878337.938281249</v>
      </c>
      <c r="Y28" s="9"/>
      <c r="Z28">
        <v>2048</v>
      </c>
      <c r="AA28" s="9">
        <f>([4]Annual!AZ28)/10</f>
        <v>22540063.048437499</v>
      </c>
      <c r="AB28" s="9">
        <f>([4]Annual!BA28)/10</f>
        <v>15244328.1234375</v>
      </c>
      <c r="AC28" s="9">
        <f>([4]Annual!BB28)/10</f>
        <v>15739826.0609375</v>
      </c>
      <c r="AD28" s="9">
        <f>([4]Annual!BC28)/10</f>
        <v>10464581.3765625</v>
      </c>
      <c r="AE28" s="9">
        <f>([4]Annual!BD28)/10</f>
        <v>9968423.3351562507</v>
      </c>
      <c r="AF28" s="9">
        <f>([4]Annual!BE28)/10</f>
        <v>9106259.7992187496</v>
      </c>
      <c r="AG28" s="9">
        <f>([4]Annual!BF28)/10</f>
        <v>1908122.5152343749</v>
      </c>
      <c r="AH28" s="9">
        <f>([4]Annual!BG28)/10</f>
        <v>15513939.9359375</v>
      </c>
      <c r="AI28" s="9">
        <f>([4]Annual!BH28)/10</f>
        <v>15513939.9359375</v>
      </c>
      <c r="AJ28" s="9">
        <f>([4]Annual!BI28)/10</f>
        <v>16048975.010937501</v>
      </c>
      <c r="AL28">
        <v>2048</v>
      </c>
      <c r="AM28" s="9">
        <f>[4]Annual!EL28/10</f>
        <v>16541156.40625</v>
      </c>
      <c r="AN28" s="9">
        <f>[4]Annual!EM28/10</f>
        <v>16541156.40625</v>
      </c>
      <c r="AO28" s="9">
        <f>[4]Annual!EN28/10</f>
        <v>10793450.885937501</v>
      </c>
      <c r="AP28" s="9">
        <f>[4]Annual!EO28/10</f>
        <v>16541156.40625</v>
      </c>
      <c r="AQ28" s="9">
        <f>[4]Annual!EP28/10</f>
        <v>16541156.40625</v>
      </c>
      <c r="AR28" s="9">
        <f>[4]Annual!EQ28/10</f>
        <v>7325369.234375</v>
      </c>
      <c r="AS28" s="9">
        <f>[4]Annual!ER28/10</f>
        <v>2717475.6964843748</v>
      </c>
      <c r="AT28" s="9">
        <f>[4]Annual!ES28/10</f>
        <v>16541156.40625</v>
      </c>
      <c r="AU28" s="9">
        <f>[4]Annual!ET28/10</f>
        <v>16541156.40625</v>
      </c>
      <c r="AV28" s="9">
        <f>[4]Annual!EU28/10</f>
        <v>16541156.40625</v>
      </c>
      <c r="AX28">
        <v>2048</v>
      </c>
      <c r="AY28" s="9">
        <f>[4]Annual!EV28/10</f>
        <v>31313133.912500001</v>
      </c>
      <c r="AZ28" s="9">
        <f>[4]Annual!EW28/10</f>
        <v>29501019.149999999</v>
      </c>
      <c r="BA28" s="9">
        <f>[4]Annual!EX28/10</f>
        <v>27688904.962499999</v>
      </c>
      <c r="BB28" s="9">
        <f>[4]Annual!EY28/10</f>
        <v>29501019.149999999</v>
      </c>
      <c r="BC28" s="9">
        <f>[4]Annual!EZ28/10</f>
        <v>29501019.149999999</v>
      </c>
      <c r="BD28" s="9">
        <f>[4]Annual!FA28/10</f>
        <v>13064737.084375</v>
      </c>
      <c r="BE28" s="9">
        <f>[4]Annual!FB28/10</f>
        <v>4846595.9539062502</v>
      </c>
      <c r="BF28" s="9">
        <f>[4]Annual!FC28/10</f>
        <v>29501019.149999999</v>
      </c>
      <c r="BG28" s="9">
        <f>[4]Annual!FD28/10</f>
        <v>29501019.149999999</v>
      </c>
      <c r="BH28" s="9">
        <f>[4]Annual!FE28/10</f>
        <v>30407076.34375</v>
      </c>
    </row>
    <row r="29" spans="2:60" x14ac:dyDescent="0.25">
      <c r="B29">
        <v>2049</v>
      </c>
      <c r="C29" s="187">
        <f t="shared" si="3"/>
        <v>19493826.421875</v>
      </c>
      <c r="D29" s="187">
        <f t="shared" si="4"/>
        <v>8727944.3515625</v>
      </c>
      <c r="E29" s="187">
        <f t="shared" si="5"/>
        <v>6950502.69140625</v>
      </c>
      <c r="F29" s="187">
        <f t="shared" si="6"/>
        <v>12281286.415625</v>
      </c>
      <c r="G29" s="187">
        <f t="shared" si="0"/>
        <v>19169343.131250001</v>
      </c>
      <c r="H29" s="187">
        <f t="shared" si="1"/>
        <v>13855570.307812501</v>
      </c>
      <c r="I29" s="187">
        <f t="shared" si="2"/>
        <v>9542215.3617187496</v>
      </c>
      <c r="J29" s="187">
        <f t="shared" si="7"/>
        <v>18651944.234375</v>
      </c>
      <c r="K29" s="9">
        <f>[4]Annual!$HO29</f>
        <v>106881438.03125</v>
      </c>
      <c r="L29" s="9">
        <f>'[5]Oregon Emissions'!$B30/0.05311</f>
        <v>14146925.626059119</v>
      </c>
      <c r="N29">
        <v>2049</v>
      </c>
      <c r="O29" s="9">
        <f>([4]Annual!V29)/10</f>
        <v>38663169.553125001</v>
      </c>
      <c r="P29" s="9">
        <f>([4]Annual!W29)/10</f>
        <v>26820789.581250001</v>
      </c>
      <c r="Q29" s="9">
        <f>([4]Annual!X29)/10</f>
        <v>27030691.384374999</v>
      </c>
      <c r="R29" s="9">
        <f>([4]Annual!Y29)/10</f>
        <v>16913623.893750001</v>
      </c>
      <c r="S29" s="9">
        <f>([4]Annual!Z29)/10</f>
        <v>23579994.967187501</v>
      </c>
      <c r="T29" s="9">
        <f>([4]Annual!AA29)/10</f>
        <v>19493826.421875</v>
      </c>
      <c r="U29" s="9">
        <f>([4]Annual!AB29)/10</f>
        <v>3190695.6619140627</v>
      </c>
      <c r="V29" s="9">
        <f>([4]Annual!AC29)/10</f>
        <v>27318092.756250001</v>
      </c>
      <c r="W29" s="9">
        <f>([4]Annual!AD29)/10</f>
        <v>27318092.756250001</v>
      </c>
      <c r="X29" s="9">
        <f>([4]Annual!AE29)/10</f>
        <v>29203439.368749999</v>
      </c>
      <c r="Y29" s="9"/>
      <c r="Z29">
        <v>2049</v>
      </c>
      <c r="AA29" s="9">
        <f>([4]Annual!AZ29)/10</f>
        <v>22583514.659375001</v>
      </c>
      <c r="AB29" s="9">
        <f>([4]Annual!BA29)/10</f>
        <v>15217524.206250001</v>
      </c>
      <c r="AC29" s="9">
        <f>([4]Annual!BB29)/10</f>
        <v>15697375.0703125</v>
      </c>
      <c r="AD29" s="9">
        <f>([4]Annual!BC29)/10</f>
        <v>10348107.7015625</v>
      </c>
      <c r="AE29" s="9">
        <f>([4]Annual!BD29)/10</f>
        <v>9792821.6726562493</v>
      </c>
      <c r="AF29" s="9">
        <f>([4]Annual!BE29)/10</f>
        <v>8727944.3515625</v>
      </c>
      <c r="AG29" s="9">
        <f>([4]Annual!BF29)/10</f>
        <v>1892595.034375</v>
      </c>
      <c r="AH29" s="9">
        <f>([4]Annual!BG29)/10</f>
        <v>15468428.864062499</v>
      </c>
      <c r="AI29" s="9">
        <f>([4]Annual!BH29)/10</f>
        <v>15468428.864062499</v>
      </c>
      <c r="AJ29" s="9">
        <f>([4]Annual!BI29)/10</f>
        <v>16017698.682812501</v>
      </c>
      <c r="AL29">
        <v>2049</v>
      </c>
      <c r="AM29" s="9">
        <f>[4]Annual!EL29/10</f>
        <v>16492718.053125</v>
      </c>
      <c r="AN29" s="9">
        <f>[4]Annual!EM29/10</f>
        <v>16492718.053125</v>
      </c>
      <c r="AO29" s="9">
        <f>[4]Annual!EN29/10</f>
        <v>10610936.393750001</v>
      </c>
      <c r="AP29" s="9">
        <f>[4]Annual!EO29/10</f>
        <v>16492718.053125</v>
      </c>
      <c r="AQ29" s="9">
        <f>[4]Annual!EP29/10</f>
        <v>16492718.053125</v>
      </c>
      <c r="AR29" s="9">
        <f>[4]Annual!EQ29/10</f>
        <v>6950502.69140625</v>
      </c>
      <c r="AS29" s="9">
        <f>[4]Annual!ER29/10</f>
        <v>2179394.8902343749</v>
      </c>
      <c r="AT29" s="9">
        <f>[4]Annual!ES29/10</f>
        <v>16492718.053125</v>
      </c>
      <c r="AU29" s="9">
        <f>[4]Annual!ET29/10</f>
        <v>16492718.053125</v>
      </c>
      <c r="AV29" s="9">
        <f>[4]Annual!EU29/10</f>
        <v>16492718.053125</v>
      </c>
      <c r="AX29">
        <v>2049</v>
      </c>
      <c r="AY29" s="9">
        <f>[4]Annual!EV29/10</f>
        <v>30933230.649999999</v>
      </c>
      <c r="AZ29" s="9">
        <f>[4]Annual!EW29/10</f>
        <v>29142035.412500001</v>
      </c>
      <c r="BA29" s="9">
        <f>[4]Annual!EX29/10</f>
        <v>27350840.731249999</v>
      </c>
      <c r="BB29" s="9">
        <f>[4]Annual!EY29/10</f>
        <v>29142035.412500001</v>
      </c>
      <c r="BC29" s="9">
        <f>[4]Annual!EZ29/10</f>
        <v>29142035.412500001</v>
      </c>
      <c r="BD29" s="9">
        <f>[4]Annual!FA29/10</f>
        <v>12281286.415625</v>
      </c>
      <c r="BE29" s="9">
        <f>[4]Annual!FB29/10</f>
        <v>3850911.8468749998</v>
      </c>
      <c r="BF29" s="9">
        <f>[4]Annual!FC29/10</f>
        <v>29142035.412500001</v>
      </c>
      <c r="BG29" s="9">
        <f>[4]Annual!FD29/10</f>
        <v>29142035.412500001</v>
      </c>
      <c r="BH29" s="9">
        <f>[4]Annual!FE29/10</f>
        <v>30037633.21875</v>
      </c>
    </row>
    <row r="30" spans="2:60" x14ac:dyDescent="0.25">
      <c r="B30">
        <v>2050</v>
      </c>
      <c r="C30" s="187">
        <f t="shared" si="3"/>
        <v>18719161.02734375</v>
      </c>
      <c r="D30" s="187">
        <f t="shared" si="4"/>
        <v>8404123.0984374993</v>
      </c>
      <c r="E30" s="187">
        <f t="shared" si="5"/>
        <v>6628037.4171874998</v>
      </c>
      <c r="F30" s="187">
        <f t="shared" si="6"/>
        <v>11589528.36875</v>
      </c>
      <c r="G30" s="187">
        <f t="shared" si="0"/>
        <v>19819654.985937499</v>
      </c>
      <c r="H30" s="187">
        <f t="shared" si="1"/>
        <v>14346737.046875</v>
      </c>
      <c r="I30" s="187">
        <f t="shared" si="2"/>
        <v>9942056.0921875015</v>
      </c>
      <c r="J30" s="187">
        <f t="shared" si="7"/>
        <v>19164775.693750001</v>
      </c>
      <c r="K30" s="9">
        <f>[4]Annual!$HO30</f>
        <v>106833590.36875001</v>
      </c>
      <c r="L30" s="9">
        <f>'[5]Oregon Emissions'!$B31/0.05311</f>
        <v>11168625.494257204</v>
      </c>
      <c r="N30">
        <v>2050</v>
      </c>
      <c r="O30" s="9">
        <f>([4]Annual!V30)/10</f>
        <v>38538816.013281249</v>
      </c>
      <c r="P30" s="9">
        <f>([4]Annual!W30)/10</f>
        <v>26378939.292187501</v>
      </c>
      <c r="Q30" s="9">
        <f>([4]Annual!X30)/10</f>
        <v>26445655.526171874</v>
      </c>
      <c r="R30" s="9">
        <f>([4]Annual!Y30)/10</f>
        <v>16368385.09375</v>
      </c>
      <c r="S30" s="9">
        <f>([4]Annual!Z30)/10</f>
        <v>23189905.727343749</v>
      </c>
      <c r="T30" s="9">
        <f>([4]Annual!AA30)/10</f>
        <v>18719161.02734375</v>
      </c>
      <c r="U30" s="9">
        <f>([4]Annual!AB30)/10</f>
        <v>3179544.1318359375</v>
      </c>
      <c r="V30" s="9">
        <f>([4]Annual!AC30)/10</f>
        <v>26756148.876562499</v>
      </c>
      <c r="W30" s="9">
        <f>([4]Annual!AD30)/10</f>
        <v>26756148.876562499</v>
      </c>
      <c r="X30" s="9">
        <f>([4]Annual!AE30)/10</f>
        <v>28666660.728124999</v>
      </c>
      <c r="Y30" s="9"/>
      <c r="Z30">
        <v>2050</v>
      </c>
      <c r="AA30" s="9">
        <f>([4]Annual!AZ30)/10</f>
        <v>22750860.145312499</v>
      </c>
      <c r="AB30" s="9">
        <f>([4]Annual!BA30)/10</f>
        <v>15294656.465624999</v>
      </c>
      <c r="AC30" s="9">
        <f>([4]Annual!BB30)/10</f>
        <v>15746734.739062499</v>
      </c>
      <c r="AD30" s="9">
        <f>([4]Annual!BC30)/10</f>
        <v>10322290.0296875</v>
      </c>
      <c r="AE30" s="9">
        <f>([4]Annual!BD30)/10</f>
        <v>9698341.99609375</v>
      </c>
      <c r="AF30" s="9">
        <f>([4]Annual!BE30)/10</f>
        <v>8404123.0984374993</v>
      </c>
      <c r="AG30" s="9">
        <f>([4]Annual!BF30)/10</f>
        <v>1887378.5716796876</v>
      </c>
      <c r="AH30" s="9">
        <f>([4]Annual!BG30)/10</f>
        <v>15506900.9921875</v>
      </c>
      <c r="AI30" s="9">
        <f>([4]Annual!BH30)/10</f>
        <v>15506900.9921875</v>
      </c>
      <c r="AJ30" s="9">
        <f>([4]Annual!BI30)/10</f>
        <v>16076004.36875</v>
      </c>
      <c r="AL30">
        <v>2050</v>
      </c>
      <c r="AM30" s="9">
        <f>[4]Annual!EL30/10</f>
        <v>16570093.509375</v>
      </c>
      <c r="AN30" s="9">
        <f>[4]Annual!EM30/10</f>
        <v>16570093.509375</v>
      </c>
      <c r="AO30" s="9">
        <f>[4]Annual!EN30/10</f>
        <v>10503804.99375</v>
      </c>
      <c r="AP30" s="9">
        <f>[4]Annual!EO30/10</f>
        <v>16570093.509375</v>
      </c>
      <c r="AQ30" s="9">
        <f>[4]Annual!EP30/10</f>
        <v>16570093.509375</v>
      </c>
      <c r="AR30" s="9">
        <f>[4]Annual!EQ30/10</f>
        <v>6628037.4171874998</v>
      </c>
      <c r="AS30" s="9">
        <f>[4]Annual!ER30/10</f>
        <v>1657009.354296875</v>
      </c>
      <c r="AT30" s="9">
        <f>[4]Annual!ES30/10</f>
        <v>16570093.509375</v>
      </c>
      <c r="AU30" s="9">
        <f>[4]Annual!ET30/10</f>
        <v>16570093.509375</v>
      </c>
      <c r="AV30" s="9">
        <f>[4]Annual!EU30/10</f>
        <v>16570093.509375</v>
      </c>
      <c r="AX30">
        <v>2050</v>
      </c>
      <c r="AY30" s="9">
        <f>[4]Annual!EV30/10</f>
        <v>30754304.0625</v>
      </c>
      <c r="AZ30" s="9">
        <f>[4]Annual!EW30/10</f>
        <v>28973820.868749999</v>
      </c>
      <c r="BA30" s="9">
        <f>[4]Annual!EX30/10</f>
        <v>27193337.112500001</v>
      </c>
      <c r="BB30" s="9">
        <f>[4]Annual!EY30/10</f>
        <v>28973820.868749999</v>
      </c>
      <c r="BC30" s="9">
        <f>[4]Annual!EZ30/10</f>
        <v>28973820.868749999</v>
      </c>
      <c r="BD30" s="9">
        <f>[4]Annual!FA30/10</f>
        <v>11589528.36875</v>
      </c>
      <c r="BE30" s="9">
        <f>[4]Annual!FB30/10</f>
        <v>2897382.0921875001</v>
      </c>
      <c r="BF30" s="9">
        <f>[4]Annual!FC30/10</f>
        <v>28973820.868749999</v>
      </c>
      <c r="BG30" s="9">
        <f>[4]Annual!FD30/10</f>
        <v>28973820.868749999</v>
      </c>
      <c r="BH30" s="9">
        <f>[4]Annual!FE30/10</f>
        <v>29864062.556249999</v>
      </c>
    </row>
    <row r="31" spans="2:60" x14ac:dyDescent="0.25">
      <c r="P31" s="9"/>
      <c r="AN31" s="9"/>
      <c r="AZ31" s="9"/>
    </row>
    <row r="32" spans="2:60" x14ac:dyDescent="0.25">
      <c r="B32" t="s">
        <v>242</v>
      </c>
      <c r="C32" s="187" t="s">
        <v>538</v>
      </c>
      <c r="D32" s="187" t="s">
        <v>542</v>
      </c>
      <c r="E32" s="187" t="s">
        <v>543</v>
      </c>
      <c r="F32" s="187" t="s">
        <v>544</v>
      </c>
      <c r="G32" s="187" t="s">
        <v>316</v>
      </c>
      <c r="H32" s="187" t="s">
        <v>317</v>
      </c>
      <c r="I32" s="187" t="s">
        <v>545</v>
      </c>
      <c r="K32" s="187" t="s">
        <v>94</v>
      </c>
      <c r="L32" s="187" t="s">
        <v>551</v>
      </c>
      <c r="M32" s="187" t="s">
        <v>552</v>
      </c>
      <c r="N32" t="s">
        <v>242</v>
      </c>
      <c r="O32" t="s">
        <v>94</v>
      </c>
      <c r="P32" t="s">
        <v>98</v>
      </c>
      <c r="Q32" t="s">
        <v>99</v>
      </c>
      <c r="R32" t="s">
        <v>100</v>
      </c>
      <c r="S32" t="s">
        <v>101</v>
      </c>
      <c r="T32" t="s">
        <v>102</v>
      </c>
      <c r="U32" t="s">
        <v>103</v>
      </c>
      <c r="V32" t="s">
        <v>104</v>
      </c>
      <c r="W32" t="s">
        <v>105</v>
      </c>
      <c r="X32" t="s">
        <v>106</v>
      </c>
      <c r="Y32" t="s">
        <v>553</v>
      </c>
      <c r="Z32" t="s">
        <v>242</v>
      </c>
      <c r="AA32" t="s">
        <v>94</v>
      </c>
      <c r="AB32" t="s">
        <v>98</v>
      </c>
      <c r="AC32" t="s">
        <v>99</v>
      </c>
      <c r="AD32" t="s">
        <v>100</v>
      </c>
      <c r="AE32" t="s">
        <v>101</v>
      </c>
      <c r="AF32" t="s">
        <v>102</v>
      </c>
      <c r="AG32" t="s">
        <v>103</v>
      </c>
      <c r="AH32" t="s">
        <v>104</v>
      </c>
      <c r="AI32" t="s">
        <v>105</v>
      </c>
      <c r="AJ32" t="s">
        <v>106</v>
      </c>
      <c r="AK32" t="s">
        <v>554</v>
      </c>
      <c r="AL32" t="s">
        <v>242</v>
      </c>
      <c r="AM32" t="s">
        <v>94</v>
      </c>
      <c r="AN32" t="s">
        <v>98</v>
      </c>
      <c r="AO32" t="s">
        <v>99</v>
      </c>
      <c r="AP32" t="s">
        <v>100</v>
      </c>
      <c r="AQ32" t="s">
        <v>101</v>
      </c>
      <c r="AR32" t="s">
        <v>102</v>
      </c>
      <c r="AS32" t="s">
        <v>103</v>
      </c>
      <c r="AT32" t="s">
        <v>104</v>
      </c>
      <c r="AU32" t="s">
        <v>105</v>
      </c>
      <c r="AV32" t="s">
        <v>106</v>
      </c>
      <c r="AW32" t="s">
        <v>555</v>
      </c>
      <c r="AX32" t="s">
        <v>242</v>
      </c>
      <c r="AY32" t="s">
        <v>94</v>
      </c>
      <c r="AZ32" t="s">
        <v>98</v>
      </c>
      <c r="BA32" t="s">
        <v>99</v>
      </c>
      <c r="BB32" t="s">
        <v>100</v>
      </c>
      <c r="BC32" t="s">
        <v>101</v>
      </c>
      <c r="BD32" t="s">
        <v>102</v>
      </c>
      <c r="BE32" t="s">
        <v>103</v>
      </c>
      <c r="BF32" t="s">
        <v>104</v>
      </c>
      <c r="BG32" t="s">
        <v>105</v>
      </c>
      <c r="BH32" t="s">
        <v>106</v>
      </c>
    </row>
    <row r="33" spans="2:60" x14ac:dyDescent="0.25">
      <c r="B33">
        <v>2022</v>
      </c>
      <c r="C33" s="187">
        <f>VLOOKUP($B33,$N$33:$X$61,$A$2+2)</f>
        <v>5612009.5658203121</v>
      </c>
      <c r="D33" s="187">
        <f>VLOOKUP($B33,$Z$33:$AJ$61,$A$2+2)</f>
        <v>2042536.5138671875</v>
      </c>
      <c r="E33" s="187">
        <f>VLOOKUP($B33,$AL$33:$AV$61,$A$2+2)</f>
        <v>956597.76123046875</v>
      </c>
      <c r="F33" s="187">
        <f>VLOOKUP($B33,$AX$33:$BH$61,$A$2+2)</f>
        <v>1723264.5394531251</v>
      </c>
      <c r="G33" s="187">
        <f t="shared" ref="G33:G61" si="8">O33-C33</f>
        <v>0</v>
      </c>
      <c r="H33" s="187">
        <f t="shared" ref="H33:H61" si="9">AA33-D33</f>
        <v>0</v>
      </c>
      <c r="I33" s="187">
        <f t="shared" ref="I33:I61" si="10">AM33-E33</f>
        <v>0</v>
      </c>
      <c r="J33" s="187">
        <f>AY33-F33</f>
        <v>0</v>
      </c>
      <c r="K33" s="9">
        <f>[4]Annual!$HZ2</f>
        <v>10334408.359765625</v>
      </c>
      <c r="L33" s="9"/>
      <c r="N33">
        <v>2022</v>
      </c>
      <c r="O33" s="9">
        <f>[4]Annual!CD2/10</f>
        <v>5612009.5658203121</v>
      </c>
      <c r="P33" s="9">
        <f>[4]Annual!CE2/10</f>
        <v>5603208.1468749996</v>
      </c>
      <c r="Q33" s="9">
        <f>[4]Annual!CF2/10</f>
        <v>5602063.9623046871</v>
      </c>
      <c r="R33" s="9">
        <f>[4]Annual!CG2/10</f>
        <v>5603208.1468749996</v>
      </c>
      <c r="S33" s="9">
        <f>[4]Annual!CH2/10</f>
        <v>5603208.1468749996</v>
      </c>
      <c r="T33" s="9">
        <f>[4]Annual!CI2/10</f>
        <v>5612009.5658203121</v>
      </c>
      <c r="U33" s="9">
        <f>[4]Annual!CJ2/10</f>
        <v>5612009.5658203121</v>
      </c>
      <c r="V33" s="9">
        <f>[4]Annual!CK2/10</f>
        <v>5603208.1468749996</v>
      </c>
      <c r="W33" s="9">
        <f>[4]Annual!CL2/10</f>
        <v>5603208.1468749996</v>
      </c>
      <c r="X33" s="9">
        <f>[4]Annual!CM2/10</f>
        <v>5603208.1468749996</v>
      </c>
      <c r="Y33" s="9"/>
      <c r="Z33">
        <v>2022</v>
      </c>
      <c r="AA33" s="9">
        <f>([4]Annual!DH2)/10</f>
        <v>2042536.5138671875</v>
      </c>
      <c r="AB33" s="9">
        <f>([4]Annual!DI2)/10</f>
        <v>2030194.5529296875</v>
      </c>
      <c r="AC33" s="9">
        <f>([4]Annual!DJ2)/10</f>
        <v>2028590.0987304687</v>
      </c>
      <c r="AD33" s="9">
        <f>([4]Annual!DK2)/10</f>
        <v>2030194.5529296875</v>
      </c>
      <c r="AE33" s="9">
        <f>([4]Annual!DL2)/10</f>
        <v>2030194.5529296875</v>
      </c>
      <c r="AF33" s="9">
        <f>([4]Annual!DM2)/10</f>
        <v>2042536.5138671875</v>
      </c>
      <c r="AG33" s="9">
        <f>([4]Annual!DN2)/10</f>
        <v>2042536.5138671875</v>
      </c>
      <c r="AH33" s="9">
        <f>([4]Annual!DO2)/10</f>
        <v>2030194.5529296875</v>
      </c>
      <c r="AI33" s="9">
        <f>([4]Annual!DP2)/10</f>
        <v>2030194.5529296875</v>
      </c>
      <c r="AJ33" s="9">
        <f>([4]Annual!DQ2)/10</f>
        <v>2030194.5529296875</v>
      </c>
      <c r="AK33" s="9"/>
      <c r="AL33">
        <v>2022</v>
      </c>
      <c r="AM33" s="9">
        <f>[4]Annual!FF2/10</f>
        <v>956597.76123046875</v>
      </c>
      <c r="AN33" s="9">
        <f>[4]Annual!FG2/10</f>
        <v>956597.76123046875</v>
      </c>
      <c r="AO33" s="9">
        <f>[4]Annual!FH2/10</f>
        <v>956597.76123046875</v>
      </c>
      <c r="AP33" s="9">
        <f>[4]Annual!FI2/10</f>
        <v>956597.76123046875</v>
      </c>
      <c r="AQ33" s="9">
        <f>[4]Annual!FJ2/10</f>
        <v>956597.76123046875</v>
      </c>
      <c r="AR33" s="9">
        <f>[4]Annual!FK2/10</f>
        <v>956597.76123046875</v>
      </c>
      <c r="AS33" s="9">
        <f>[4]Annual!FL2/10</f>
        <v>956597.76123046875</v>
      </c>
      <c r="AT33" s="9">
        <f>[4]Annual!FM2/10</f>
        <v>956597.76123046875</v>
      </c>
      <c r="AU33" s="9">
        <f>[4]Annual!FN2/10</f>
        <v>956597.76123046875</v>
      </c>
      <c r="AV33" s="9">
        <f>[4]Annual!FO2/10</f>
        <v>956597.76123046875</v>
      </c>
      <c r="AW33" s="9"/>
      <c r="AX33">
        <v>2022</v>
      </c>
      <c r="AY33" s="9">
        <f>[4]Annual!FP2/10</f>
        <v>1723264.5394531251</v>
      </c>
      <c r="AZ33" s="9">
        <f>[4]Annual!FQ2/10</f>
        <v>1723264.5394531251</v>
      </c>
      <c r="BA33" s="9">
        <f>[4]Annual!FR2/10</f>
        <v>1723264.5394531251</v>
      </c>
      <c r="BB33" s="9">
        <f>[4]Annual!FS2/10</f>
        <v>1723264.5394531251</v>
      </c>
      <c r="BC33" s="9">
        <f>[4]Annual!FT2/10</f>
        <v>1723264.5394531251</v>
      </c>
      <c r="BD33" s="9">
        <f>[4]Annual!FU2/10</f>
        <v>1723264.5394531251</v>
      </c>
      <c r="BE33" s="9">
        <f>[4]Annual!FV2/10</f>
        <v>1723264.5394531251</v>
      </c>
      <c r="BF33" s="9">
        <f>[4]Annual!FW2/10</f>
        <v>1723264.5394531251</v>
      </c>
      <c r="BG33" s="9">
        <f>[4]Annual!FX2/10</f>
        <v>1723264.5394531251</v>
      </c>
      <c r="BH33" s="9">
        <f>[4]Annual!FY2/10</f>
        <v>1723264.5394531251</v>
      </c>
    </row>
    <row r="34" spans="2:60" x14ac:dyDescent="0.25">
      <c r="B34">
        <v>2023</v>
      </c>
      <c r="C34" s="187">
        <f t="shared" ref="C34:C61" si="11">VLOOKUP($B34,$N$33:$X$61,$A$2+2)</f>
        <v>5684843.0167968748</v>
      </c>
      <c r="D34" s="187">
        <f t="shared" ref="D34:D61" si="12">VLOOKUP($B34,$Z$33:$AJ$61,$A$2+2)</f>
        <v>2064710.0810546875</v>
      </c>
      <c r="E34" s="187">
        <f t="shared" ref="E34:E61" si="13">VLOOKUP($B34,$AL$33:$AV$61,$A$2+2)</f>
        <v>931752.38222656248</v>
      </c>
      <c r="F34" s="187">
        <f t="shared" ref="F34:F61" si="14">VLOOKUP($B34,$AX$33:$BH$61,$A$2+2)</f>
        <v>1694387.46171875</v>
      </c>
      <c r="G34" s="187">
        <f t="shared" si="8"/>
        <v>0</v>
      </c>
      <c r="H34" s="187">
        <f t="shared" si="9"/>
        <v>0</v>
      </c>
      <c r="I34" s="187">
        <f t="shared" si="10"/>
        <v>20403.3359375</v>
      </c>
      <c r="J34" s="187">
        <f t="shared" ref="J34:J61" si="15">AY34-F34</f>
        <v>37103.385937500047</v>
      </c>
      <c r="K34" s="9">
        <f>[4]Annual!$HZ3</f>
        <v>10433199.61484375</v>
      </c>
      <c r="L34" s="9">
        <f>'[5]Washington Emissions'!E16/0.05311</f>
        <v>8702094.8165123314</v>
      </c>
      <c r="N34">
        <v>2023</v>
      </c>
      <c r="O34" s="9">
        <f>[4]Annual!CD3/10</f>
        <v>5684843.0167968748</v>
      </c>
      <c r="P34" s="9">
        <f>[4]Annual!CE3/10</f>
        <v>5654319.2654296877</v>
      </c>
      <c r="Q34" s="9">
        <f>[4]Annual!CF3/10</f>
        <v>5650351.1537109371</v>
      </c>
      <c r="R34" s="9">
        <f>[4]Annual!CG3/10</f>
        <v>5645536.5322265625</v>
      </c>
      <c r="S34" s="9">
        <f>[4]Annual!CH3/10</f>
        <v>5654319.2654296877</v>
      </c>
      <c r="T34" s="9">
        <f>[4]Annual!CI3/10</f>
        <v>5684843.0167968748</v>
      </c>
      <c r="U34" s="9">
        <f>[4]Annual!CJ3/10</f>
        <v>5583599.0835937504</v>
      </c>
      <c r="V34" s="9">
        <f>[4]Annual!CK3/10</f>
        <v>5654319.2654296877</v>
      </c>
      <c r="W34" s="9">
        <f>[4]Annual!CL3/10</f>
        <v>5654319.2654296877</v>
      </c>
      <c r="X34" s="9">
        <f>[4]Annual!CM3/10</f>
        <v>5654319.2654296877</v>
      </c>
      <c r="Y34" s="9"/>
      <c r="Z34">
        <v>2023</v>
      </c>
      <c r="AA34" s="9">
        <f>([4]Annual!DH3)/10</f>
        <v>2064710.0810546875</v>
      </c>
      <c r="AB34" s="9">
        <f>([4]Annual!DI3)/10</f>
        <v>2022533.4954101562</v>
      </c>
      <c r="AC34" s="9">
        <f>([4]Annual!DJ3)/10</f>
        <v>2017050.5391601562</v>
      </c>
      <c r="AD34" s="9">
        <f>([4]Annual!DK3)/10</f>
        <v>2020321.8500976563</v>
      </c>
      <c r="AE34" s="9">
        <f>([4]Annual!DL3)/10</f>
        <v>2022533.4954101562</v>
      </c>
      <c r="AF34" s="9">
        <f>([4]Annual!DM3)/10</f>
        <v>2064710.0810546875</v>
      </c>
      <c r="AG34" s="9">
        <f>([4]Annual!DN3)/10</f>
        <v>2029347.3783203126</v>
      </c>
      <c r="AH34" s="9">
        <f>([4]Annual!DO3)/10</f>
        <v>2022533.4954101562</v>
      </c>
      <c r="AI34" s="9">
        <f>([4]Annual!DP3)/10</f>
        <v>2022533.4954101562</v>
      </c>
      <c r="AJ34" s="9">
        <f>([4]Annual!DQ3)/10</f>
        <v>2022533.4954101562</v>
      </c>
      <c r="AL34">
        <v>2023</v>
      </c>
      <c r="AM34" s="9">
        <f>[4]Annual!FF3/10</f>
        <v>952155.71816406248</v>
      </c>
      <c r="AN34" s="9">
        <f>[4]Annual!FG3/10</f>
        <v>952155.71816406248</v>
      </c>
      <c r="AO34" s="9">
        <f>[4]Annual!FH3/10</f>
        <v>940331.96591796877</v>
      </c>
      <c r="AP34" s="9">
        <f>[4]Annual!FI3/10</f>
        <v>952155.71816406248</v>
      </c>
      <c r="AQ34" s="9">
        <f>[4]Annual!FJ3/10</f>
        <v>952155.71816406248</v>
      </c>
      <c r="AR34" s="9">
        <f>[4]Annual!FK3/10</f>
        <v>931752.38222656248</v>
      </c>
      <c r="AS34" s="9">
        <f>[4]Annual!FL3/10</f>
        <v>921550.72265625</v>
      </c>
      <c r="AT34" s="9">
        <f>[4]Annual!FM3/10</f>
        <v>952155.71816406248</v>
      </c>
      <c r="AU34" s="9">
        <f>[4]Annual!FN3/10</f>
        <v>952155.71816406248</v>
      </c>
      <c r="AV34" s="9">
        <f>[4]Annual!FO3/10</f>
        <v>952155.71816406248</v>
      </c>
      <c r="AX34">
        <v>2023</v>
      </c>
      <c r="AY34" s="9">
        <f>[4]Annual!FP3/10</f>
        <v>1731490.84765625</v>
      </c>
      <c r="AZ34" s="9">
        <f>[4]Annual!FQ3/10</f>
        <v>1731490.84765625</v>
      </c>
      <c r="BA34" s="9">
        <f>[4]Annual!FR3/10</f>
        <v>1731490.84765625</v>
      </c>
      <c r="BB34" s="9">
        <f>[4]Annual!FS3/10</f>
        <v>1731490.84765625</v>
      </c>
      <c r="BC34" s="9">
        <f>[4]Annual!FT3/10</f>
        <v>1731490.84765625</v>
      </c>
      <c r="BD34" s="9">
        <f>[4]Annual!FU3/10</f>
        <v>1694387.46171875</v>
      </c>
      <c r="BE34" s="9">
        <f>[4]Annual!FV3/10</f>
        <v>1675835.7808593749</v>
      </c>
      <c r="BF34" s="9">
        <f>[4]Annual!FW3/10</f>
        <v>1731490.84765625</v>
      </c>
      <c r="BG34" s="9">
        <f>[4]Annual!FX3/10</f>
        <v>1731490.84765625</v>
      </c>
      <c r="BH34" s="9">
        <f>[4]Annual!FY3/10</f>
        <v>1731490.84765625</v>
      </c>
    </row>
    <row r="35" spans="2:60" x14ac:dyDescent="0.25">
      <c r="B35">
        <v>2024</v>
      </c>
      <c r="C35" s="187">
        <f t="shared" si="11"/>
        <v>5771312.1539062504</v>
      </c>
      <c r="D35" s="187">
        <f t="shared" si="12"/>
        <v>2100422.0972656249</v>
      </c>
      <c r="E35" s="187">
        <f t="shared" si="13"/>
        <v>910123.13583984377</v>
      </c>
      <c r="F35" s="187">
        <f t="shared" si="14"/>
        <v>1653689.653125</v>
      </c>
      <c r="G35" s="187">
        <f t="shared" si="8"/>
        <v>0</v>
      </c>
      <c r="H35" s="187">
        <f t="shared" si="9"/>
        <v>0</v>
      </c>
      <c r="I35" s="187">
        <f t="shared" si="10"/>
        <v>40751.78583984368</v>
      </c>
      <c r="J35" s="187">
        <f t="shared" si="15"/>
        <v>74045.815234374953</v>
      </c>
      <c r="K35" s="9">
        <f>[4]Annual!$HZ4</f>
        <v>10550344.709375</v>
      </c>
      <c r="L35" s="9">
        <f>'[5]Washington Emissions'!E17/0.05311</f>
        <v>8092948.1793564688</v>
      </c>
      <c r="N35">
        <v>2024</v>
      </c>
      <c r="O35" s="9">
        <f>[4]Annual!CD4/10</f>
        <v>5771312.1539062504</v>
      </c>
      <c r="P35" s="9">
        <f>[4]Annual!CE4/10</f>
        <v>5713678.9240234373</v>
      </c>
      <c r="Q35" s="9">
        <f>[4]Annual!CF4/10</f>
        <v>5706186.6244140621</v>
      </c>
      <c r="R35" s="9">
        <f>[4]Annual!CG4/10</f>
        <v>5673372.5560546871</v>
      </c>
      <c r="S35" s="9">
        <f>[4]Annual!CH4/10</f>
        <v>5713678.9240234373</v>
      </c>
      <c r="T35" s="9">
        <f>[4]Annual!CI4/10</f>
        <v>5771312.1539062504</v>
      </c>
      <c r="U35" s="9">
        <f>[4]Annual!CJ4/10</f>
        <v>5454085.2185546877</v>
      </c>
      <c r="V35" s="9">
        <f>[4]Annual!CK4/10</f>
        <v>5713678.9240234373</v>
      </c>
      <c r="W35" s="9">
        <f>[4]Annual!CL4/10</f>
        <v>5713678.9240234373</v>
      </c>
      <c r="X35" s="9">
        <f>[4]Annual!CM4/10</f>
        <v>5713494.4871093752</v>
      </c>
      <c r="Y35" s="9"/>
      <c r="Z35">
        <v>2024</v>
      </c>
      <c r="AA35" s="9">
        <f>([4]Annual!DH4)/10</f>
        <v>2100422.0972656249</v>
      </c>
      <c r="AB35" s="9">
        <f>([4]Annual!DI4)/10</f>
        <v>2022834.1588867188</v>
      </c>
      <c r="AC35" s="9">
        <f>([4]Annual!DJ4)/10</f>
        <v>2012747.7297851562</v>
      </c>
      <c r="AD35" s="9">
        <f>([4]Annual!DK4)/10</f>
        <v>2012979.2336914062</v>
      </c>
      <c r="AE35" s="9">
        <f>([4]Annual!DL4)/10</f>
        <v>2022834.1588867188</v>
      </c>
      <c r="AF35" s="9">
        <f>([4]Annual!DM4)/10</f>
        <v>2100422.0972656249</v>
      </c>
      <c r="AG35" s="9">
        <f>([4]Annual!DN4)/10</f>
        <v>1990364.4446289062</v>
      </c>
      <c r="AH35" s="9">
        <f>([4]Annual!DO4)/10</f>
        <v>2022834.1588867188</v>
      </c>
      <c r="AI35" s="9">
        <f>([4]Annual!DP4)/10</f>
        <v>2022834.1588867188</v>
      </c>
      <c r="AJ35" s="9">
        <f>([4]Annual!DQ4)/10</f>
        <v>2022834.1588867188</v>
      </c>
      <c r="AL35">
        <v>2024</v>
      </c>
      <c r="AM35" s="9">
        <f>[4]Annual!FF4/10</f>
        <v>950874.92167968745</v>
      </c>
      <c r="AN35" s="9">
        <f>[4]Annual!FG4/10</f>
        <v>950874.92167968745</v>
      </c>
      <c r="AO35" s="9">
        <f>[4]Annual!FH4/10</f>
        <v>927264.19218749995</v>
      </c>
      <c r="AP35" s="9">
        <f>[4]Annual!FI4/10</f>
        <v>950874.92167968745</v>
      </c>
      <c r="AQ35" s="9">
        <f>[4]Annual!FJ4/10</f>
        <v>950874.92167968745</v>
      </c>
      <c r="AR35" s="9">
        <f>[4]Annual!FK4/10</f>
        <v>910123.13583984377</v>
      </c>
      <c r="AS35" s="9">
        <f>[4]Annual!FL4/10</f>
        <v>889747.25605468755</v>
      </c>
      <c r="AT35" s="9">
        <f>[4]Annual!FM4/10</f>
        <v>950874.92167968745</v>
      </c>
      <c r="AU35" s="9">
        <f>[4]Annual!FN4/10</f>
        <v>950874.92167968745</v>
      </c>
      <c r="AV35" s="9">
        <f>[4]Annual!FO4/10</f>
        <v>950874.92167968745</v>
      </c>
      <c r="AX35">
        <v>2024</v>
      </c>
      <c r="AY35" s="9">
        <f>[4]Annual!FP4/10</f>
        <v>1727735.4683593749</v>
      </c>
      <c r="AZ35" s="9">
        <f>[4]Annual!FQ4/10</f>
        <v>1727735.4683593749</v>
      </c>
      <c r="BA35" s="9">
        <f>[4]Annual!FR4/10</f>
        <v>1727735.4683593749</v>
      </c>
      <c r="BB35" s="9">
        <f>[4]Annual!FS4/10</f>
        <v>1727735.4683593749</v>
      </c>
      <c r="BC35" s="9">
        <f>[4]Annual!FT4/10</f>
        <v>1727735.4683593749</v>
      </c>
      <c r="BD35" s="9">
        <f>[4]Annual!FU4/10</f>
        <v>1653689.653125</v>
      </c>
      <c r="BE35" s="9">
        <f>[4]Annual!FV4/10</f>
        <v>1616666.7398437499</v>
      </c>
      <c r="BF35" s="9">
        <f>[4]Annual!FW4/10</f>
        <v>1727735.4683593749</v>
      </c>
      <c r="BG35" s="9">
        <f>[4]Annual!FX4/10</f>
        <v>1727735.4683593749</v>
      </c>
      <c r="BH35" s="9">
        <f>[4]Annual!FY4/10</f>
        <v>1727735.4683593749</v>
      </c>
    </row>
    <row r="36" spans="2:60" x14ac:dyDescent="0.25">
      <c r="B36">
        <v>2025</v>
      </c>
      <c r="C36" s="187">
        <f t="shared" si="11"/>
        <v>5708197.4353515627</v>
      </c>
      <c r="D36" s="187">
        <f t="shared" si="12"/>
        <v>2079394.3804687499</v>
      </c>
      <c r="E36" s="187">
        <f t="shared" si="13"/>
        <v>875563.31679687498</v>
      </c>
      <c r="F36" s="187">
        <f t="shared" si="14"/>
        <v>1588782.998046875</v>
      </c>
      <c r="G36" s="187">
        <f t="shared" si="8"/>
        <v>87631.981054686941</v>
      </c>
      <c r="H36" s="187">
        <f t="shared" si="9"/>
        <v>35014.479882812593</v>
      </c>
      <c r="I36" s="187">
        <f t="shared" si="10"/>
        <v>60153.1904296875</v>
      </c>
      <c r="J36" s="187">
        <f t="shared" si="15"/>
        <v>116923.13437499991</v>
      </c>
      <c r="K36" s="9">
        <f>[4]Annual!$HZ5</f>
        <v>10551660.895703126</v>
      </c>
      <c r="L36" s="9">
        <f>'[5]Washington Emissions'!E18/0.05311</f>
        <v>7526441.8068015166</v>
      </c>
      <c r="N36">
        <v>2025</v>
      </c>
      <c r="O36" s="9">
        <f>[4]Annual!CD5/10</f>
        <v>5795829.4164062496</v>
      </c>
      <c r="P36" s="9">
        <f>[4]Annual!CE5/10</f>
        <v>5688252.7554687504</v>
      </c>
      <c r="Q36" s="9">
        <f>[4]Annual!CF5/10</f>
        <v>5690477.9402343752</v>
      </c>
      <c r="R36" s="9">
        <f>[4]Annual!CG5/10</f>
        <v>5610496.6843750002</v>
      </c>
      <c r="S36" s="9">
        <f>[4]Annual!CH5/10</f>
        <v>5657333.2259765621</v>
      </c>
      <c r="T36" s="9">
        <f>[4]Annual!CI5/10</f>
        <v>5708197.4353515627</v>
      </c>
      <c r="U36" s="9">
        <f>[4]Annual!CJ5/10</f>
        <v>5229231.1746093752</v>
      </c>
      <c r="V36" s="9">
        <f>[4]Annual!CK5/10</f>
        <v>5703638.9425781248</v>
      </c>
      <c r="W36" s="9">
        <f>[4]Annual!CL5/10</f>
        <v>5703638.9425781248</v>
      </c>
      <c r="X36" s="9">
        <f>[4]Annual!CM5/10</f>
        <v>5701942.4128906252</v>
      </c>
      <c r="Y36" s="9"/>
      <c r="Z36">
        <v>2025</v>
      </c>
      <c r="AA36" s="9">
        <f>([4]Annual!DH5)/10</f>
        <v>2114408.8603515625</v>
      </c>
      <c r="AB36" s="9">
        <f>([4]Annual!DI5)/10</f>
        <v>1996722.3076171875</v>
      </c>
      <c r="AC36" s="9">
        <f>([4]Annual!DJ5)/10</f>
        <v>1985049.8571289063</v>
      </c>
      <c r="AD36" s="9">
        <f>([4]Annual!DK5)/10</f>
        <v>1978103.893359375</v>
      </c>
      <c r="AE36" s="9">
        <f>([4]Annual!DL5)/10</f>
        <v>1979096.6583984375</v>
      </c>
      <c r="AF36" s="9">
        <f>([4]Annual!DM5)/10</f>
        <v>2079394.3804687499</v>
      </c>
      <c r="AG36" s="9">
        <f>([4]Annual!DN5)/10</f>
        <v>1912450.5087890625</v>
      </c>
      <c r="AH36" s="9">
        <f>([4]Annual!DO5)/10</f>
        <v>2000268.3753906251</v>
      </c>
      <c r="AI36" s="9">
        <f>([4]Annual!DP5)/10</f>
        <v>2000268.3753906251</v>
      </c>
      <c r="AJ36" s="9">
        <f>([4]Annual!DQ5)/10</f>
        <v>1999868.7072265625</v>
      </c>
      <c r="AL36">
        <v>2025</v>
      </c>
      <c r="AM36" s="9">
        <f>[4]Annual!FF5/10</f>
        <v>935716.50722656248</v>
      </c>
      <c r="AN36" s="9">
        <f>[4]Annual!FG5/10</f>
        <v>935716.50722656248</v>
      </c>
      <c r="AO36" s="9">
        <f>[4]Annual!FH5/10</f>
        <v>900895.80712890625</v>
      </c>
      <c r="AP36" s="9">
        <f>[4]Annual!FI5/10</f>
        <v>935716.50722656248</v>
      </c>
      <c r="AQ36" s="9">
        <f>[4]Annual!FJ5/10</f>
        <v>935716.50722656248</v>
      </c>
      <c r="AR36" s="9">
        <f>[4]Annual!FK5/10</f>
        <v>875563.31679687498</v>
      </c>
      <c r="AS36" s="9">
        <f>[4]Annual!FL5/10</f>
        <v>845486.70175781252</v>
      </c>
      <c r="AT36" s="9">
        <f>[4]Annual!FM5/10</f>
        <v>935716.50722656248</v>
      </c>
      <c r="AU36" s="9">
        <f>[4]Annual!FN5/10</f>
        <v>935716.50722656248</v>
      </c>
      <c r="AV36" s="9">
        <f>[4]Annual!FO5/10</f>
        <v>935716.50722656248</v>
      </c>
      <c r="AX36">
        <v>2025</v>
      </c>
      <c r="AY36" s="9">
        <f>[4]Annual!FP5/10</f>
        <v>1705706.1324218749</v>
      </c>
      <c r="AZ36" s="9">
        <f>[4]Annual!FQ5/10</f>
        <v>1697936.009765625</v>
      </c>
      <c r="BA36" s="9">
        <f>[4]Annual!FR5/10</f>
        <v>1690165.9</v>
      </c>
      <c r="BB36" s="9">
        <f>[4]Annual!FS5/10</f>
        <v>1697936.009765625</v>
      </c>
      <c r="BC36" s="9">
        <f>[4]Annual!FT5/10</f>
        <v>1697936.009765625</v>
      </c>
      <c r="BD36" s="9">
        <f>[4]Annual!FU5/10</f>
        <v>1588782.998046875</v>
      </c>
      <c r="BE36" s="9">
        <f>[4]Annual!FV5/10</f>
        <v>1534206.4554687501</v>
      </c>
      <c r="BF36" s="9">
        <f>[4]Annual!FW5/10</f>
        <v>1697936.009765625</v>
      </c>
      <c r="BG36" s="9">
        <f>[4]Annual!FX5/10</f>
        <v>1697936.009765625</v>
      </c>
      <c r="BH36" s="9">
        <f>[4]Annual!FY5/10</f>
        <v>1701821.10625</v>
      </c>
    </row>
    <row r="37" spans="2:60" x14ac:dyDescent="0.25">
      <c r="B37">
        <v>2026</v>
      </c>
      <c r="C37" s="187">
        <f t="shared" si="11"/>
        <v>5581590.9582031248</v>
      </c>
      <c r="D37" s="187">
        <f t="shared" si="12"/>
        <v>2034074.2536132813</v>
      </c>
      <c r="E37" s="187">
        <f t="shared" si="13"/>
        <v>849332.6201171875</v>
      </c>
      <c r="F37" s="187">
        <f t="shared" si="14"/>
        <v>1536541.360546875</v>
      </c>
      <c r="G37" s="187">
        <f t="shared" si="8"/>
        <v>274052.62812499981</v>
      </c>
      <c r="H37" s="187">
        <f t="shared" si="9"/>
        <v>106533.4338867187</v>
      </c>
      <c r="I37" s="187">
        <f t="shared" si="10"/>
        <v>79624.930371093797</v>
      </c>
      <c r="J37" s="187">
        <f t="shared" si="15"/>
        <v>159641.41171874991</v>
      </c>
      <c r="K37" s="9">
        <f>[4]Annual!$HZ6</f>
        <v>10621391.649609376</v>
      </c>
      <c r="L37" s="9">
        <f>'[5]Washington Emissions'!E19/0.05311</f>
        <v>6999590.8803254114</v>
      </c>
      <c r="N37">
        <v>2026</v>
      </c>
      <c r="O37" s="9">
        <f>[4]Annual!CD6/10</f>
        <v>5855643.5863281246</v>
      </c>
      <c r="P37" s="9">
        <f>[4]Annual!CE6/10</f>
        <v>5665775.7162109371</v>
      </c>
      <c r="Q37" s="9">
        <f>[4]Annual!CF6/10</f>
        <v>5698142.1041015629</v>
      </c>
      <c r="R37" s="9">
        <f>[4]Annual!CG6/10</f>
        <v>5549343.3115234375</v>
      </c>
      <c r="S37" s="9">
        <f>[4]Annual!CH6/10</f>
        <v>5571881.0271484377</v>
      </c>
      <c r="T37" s="9">
        <f>[4]Annual!CI6/10</f>
        <v>5581590.9582031248</v>
      </c>
      <c r="U37" s="9">
        <f>[4]Annual!CJ6/10</f>
        <v>4995845.81640625</v>
      </c>
      <c r="V37" s="9">
        <f>[4]Annual!CK6/10</f>
        <v>5715922.5955078127</v>
      </c>
      <c r="W37" s="9">
        <f>[4]Annual!CL6/10</f>
        <v>5715922.5955078127</v>
      </c>
      <c r="X37" s="9">
        <f>[4]Annual!CM6/10</f>
        <v>5712465.3503906252</v>
      </c>
      <c r="Y37" s="9"/>
      <c r="Z37">
        <v>2026</v>
      </c>
      <c r="AA37" s="9">
        <f>([4]Annual!DH6)/10</f>
        <v>2140607.6875</v>
      </c>
      <c r="AB37" s="9">
        <f>([4]Annual!DI6)/10</f>
        <v>1976000.4373046875</v>
      </c>
      <c r="AC37" s="9">
        <f>([4]Annual!DJ6)/10</f>
        <v>1967216.0001953125</v>
      </c>
      <c r="AD37" s="9">
        <f>([4]Annual!DK6)/10</f>
        <v>1948446.8103515625</v>
      </c>
      <c r="AE37" s="9">
        <f>([4]Annual!DL6)/10</f>
        <v>1923962.984375</v>
      </c>
      <c r="AF37" s="9">
        <f>([4]Annual!DM6)/10</f>
        <v>2034074.2536132813</v>
      </c>
      <c r="AG37" s="9">
        <f>([4]Annual!DN6)/10</f>
        <v>1827881.8059570312</v>
      </c>
      <c r="AH37" s="9">
        <f>([4]Annual!DO6)/10</f>
        <v>1987485.3923828125</v>
      </c>
      <c r="AI37" s="9">
        <f>([4]Annual!DP6)/10</f>
        <v>1987485.3923828125</v>
      </c>
      <c r="AJ37" s="9">
        <f>([4]Annual!DQ6)/10</f>
        <v>1986334.1814453125</v>
      </c>
      <c r="AL37">
        <v>2026</v>
      </c>
      <c r="AM37" s="9">
        <f>[4]Annual!FF6/10</f>
        <v>928957.5504882813</v>
      </c>
      <c r="AN37" s="9">
        <f>[4]Annual!FG6/10</f>
        <v>928957.5504882813</v>
      </c>
      <c r="AO37" s="9">
        <f>[4]Annual!FH6/10</f>
        <v>882867.75136718748</v>
      </c>
      <c r="AP37" s="9">
        <f>[4]Annual!FI6/10</f>
        <v>928957.5504882813</v>
      </c>
      <c r="AQ37" s="9">
        <f>[4]Annual!FJ6/10</f>
        <v>928957.5504882813</v>
      </c>
      <c r="AR37" s="9">
        <f>[4]Annual!FK6/10</f>
        <v>849332.6201171875</v>
      </c>
      <c r="AS37" s="9">
        <f>[4]Annual!FL6/10</f>
        <v>809520.14013671875</v>
      </c>
      <c r="AT37" s="9">
        <f>[4]Annual!FM6/10</f>
        <v>928957.5504882813</v>
      </c>
      <c r="AU37" s="9">
        <f>[4]Annual!FN6/10</f>
        <v>928957.5504882813</v>
      </c>
      <c r="AV37" s="9">
        <f>[4]Annual!FO6/10</f>
        <v>928957.5504882813</v>
      </c>
      <c r="AX37">
        <v>2026</v>
      </c>
      <c r="AY37" s="9">
        <f>[4]Annual!FP6/10</f>
        <v>1696182.772265625</v>
      </c>
      <c r="AZ37" s="9">
        <f>[4]Annual!FQ6/10</f>
        <v>1680592.0902343751</v>
      </c>
      <c r="BA37" s="9">
        <f>[4]Annual!FR6/10</f>
        <v>1665001.444140625</v>
      </c>
      <c r="BB37" s="9">
        <f>[4]Annual!FS6/10</f>
        <v>1680592.0902343751</v>
      </c>
      <c r="BC37" s="9">
        <f>[4]Annual!FT6/10</f>
        <v>1680592.0902343751</v>
      </c>
      <c r="BD37" s="9">
        <f>[4]Annual!FU6/10</f>
        <v>1536541.360546875</v>
      </c>
      <c r="BE37" s="9">
        <f>[4]Annual!FV6/10</f>
        <v>1464515.9730468751</v>
      </c>
      <c r="BF37" s="9">
        <f>[4]Annual!FW6/10</f>
        <v>1680592.0902343751</v>
      </c>
      <c r="BG37" s="9">
        <f>[4]Annual!FX6/10</f>
        <v>1680592.0902343751</v>
      </c>
      <c r="BH37" s="9">
        <f>[4]Annual!FY6/10</f>
        <v>1688387.4019531249</v>
      </c>
    </row>
    <row r="38" spans="2:60" x14ac:dyDescent="0.25">
      <c r="B38">
        <v>2027</v>
      </c>
      <c r="C38" s="187">
        <f t="shared" si="11"/>
        <v>5455728.587890625</v>
      </c>
      <c r="D38" s="187">
        <f t="shared" si="12"/>
        <v>1989000.1434570313</v>
      </c>
      <c r="E38" s="187">
        <f t="shared" si="13"/>
        <v>823131.8069335937</v>
      </c>
      <c r="F38" s="187">
        <f t="shared" si="14"/>
        <v>1483752.905078125</v>
      </c>
      <c r="G38" s="187">
        <f t="shared" si="8"/>
        <v>459175.45332031231</v>
      </c>
      <c r="H38" s="187">
        <f t="shared" si="9"/>
        <v>176507.50927734375</v>
      </c>
      <c r="I38" s="187">
        <f t="shared" si="10"/>
        <v>98775.82373046875</v>
      </c>
      <c r="J38" s="187">
        <f t="shared" si="15"/>
        <v>201562.34531250014</v>
      </c>
      <c r="K38" s="9">
        <f>[4]Annual!$HZ7</f>
        <v>10687634.512109375</v>
      </c>
      <c r="L38" s="9">
        <f>'[5]Washington Emissions'!E20/0.05311</f>
        <v>6509619.5187026327</v>
      </c>
      <c r="N38">
        <v>2027</v>
      </c>
      <c r="O38" s="9">
        <f>[4]Annual!CD7/10</f>
        <v>5914904.0412109373</v>
      </c>
      <c r="P38" s="9">
        <f>[4]Annual!CE7/10</f>
        <v>5637576.8179687504</v>
      </c>
      <c r="Q38" s="9">
        <f>[4]Annual!CF7/10</f>
        <v>5701839.6875</v>
      </c>
      <c r="R38" s="9">
        <f>[4]Annual!CG7/10</f>
        <v>5454238.0687499996</v>
      </c>
      <c r="S38" s="9">
        <f>[4]Annual!CH7/10</f>
        <v>5482737.3392578121</v>
      </c>
      <c r="T38" s="9">
        <f>[4]Annual!CI7/10</f>
        <v>5455728.587890625</v>
      </c>
      <c r="U38" s="9">
        <f>[4]Annual!CJ7/10</f>
        <v>4763897.9226562502</v>
      </c>
      <c r="V38" s="9">
        <f>[4]Annual!CK7/10</f>
        <v>5714705.5953125004</v>
      </c>
      <c r="W38" s="9">
        <f>[4]Annual!CL7/10</f>
        <v>5714705.5953125004</v>
      </c>
      <c r="X38" s="9">
        <f>[4]Annual!CM7/10</f>
        <v>5713703.3369140625</v>
      </c>
      <c r="Y38" s="9"/>
      <c r="Z38">
        <v>2027</v>
      </c>
      <c r="AA38" s="9">
        <f>([4]Annual!DH7)/10</f>
        <v>2165507.6527343751</v>
      </c>
      <c r="AB38" s="9">
        <f>([4]Annual!DI7)/10</f>
        <v>1954912.619140625</v>
      </c>
      <c r="AC38" s="9">
        <f>([4]Annual!DJ7)/10</f>
        <v>1949168.9768554687</v>
      </c>
      <c r="AD38" s="9">
        <f>([4]Annual!DK7)/10</f>
        <v>1912084.0408203125</v>
      </c>
      <c r="AE38" s="9">
        <f>([4]Annual!DL7)/10</f>
        <v>1870031.4532226562</v>
      </c>
      <c r="AF38" s="9">
        <f>([4]Annual!DM7)/10</f>
        <v>1989000.1434570313</v>
      </c>
      <c r="AG38" s="9">
        <f>([4]Annual!DN7)/10</f>
        <v>1743797.6907226562</v>
      </c>
      <c r="AH38" s="9">
        <f>([4]Annual!DO7)/10</f>
        <v>1972286.68671875</v>
      </c>
      <c r="AI38" s="9">
        <f>([4]Annual!DP7)/10</f>
        <v>1972286.68671875</v>
      </c>
      <c r="AJ38" s="9">
        <f>([4]Annual!DQ7)/10</f>
        <v>1971069.7830078125</v>
      </c>
      <c r="AL38">
        <v>2027</v>
      </c>
      <c r="AM38" s="9">
        <f>[4]Annual!FF7/10</f>
        <v>921907.63066406245</v>
      </c>
      <c r="AN38" s="9">
        <f>[4]Annual!FG7/10</f>
        <v>921907.63066406245</v>
      </c>
      <c r="AO38" s="9">
        <f>[4]Annual!FH7/10</f>
        <v>864727.13417968748</v>
      </c>
      <c r="AP38" s="9">
        <f>[4]Annual!FI7/10</f>
        <v>921907.63066406245</v>
      </c>
      <c r="AQ38" s="9">
        <f>[4]Annual!FJ7/10</f>
        <v>921907.63066406245</v>
      </c>
      <c r="AR38" s="9">
        <f>[4]Annual!FK7/10</f>
        <v>823131.8069335937</v>
      </c>
      <c r="AS38" s="9">
        <f>[4]Annual!FL7/10</f>
        <v>773743.90419921873</v>
      </c>
      <c r="AT38" s="9">
        <f>[4]Annual!FM7/10</f>
        <v>921907.63066406245</v>
      </c>
      <c r="AU38" s="9">
        <f>[4]Annual!FN7/10</f>
        <v>921907.63066406245</v>
      </c>
      <c r="AV38" s="9">
        <f>[4]Annual!FO7/10</f>
        <v>921907.63066406245</v>
      </c>
      <c r="AX38">
        <v>2027</v>
      </c>
      <c r="AY38" s="9">
        <f>[4]Annual!FP7/10</f>
        <v>1685315.2503906251</v>
      </c>
      <c r="AZ38" s="9">
        <f>[4]Annual!FQ7/10</f>
        <v>1661803.2515624999</v>
      </c>
      <c r="BA38" s="9">
        <f>[4]Annual!FR7/10</f>
        <v>1638291.241015625</v>
      </c>
      <c r="BB38" s="9">
        <f>[4]Annual!FS7/10</f>
        <v>1661803.2515624999</v>
      </c>
      <c r="BC38" s="9">
        <f>[4]Annual!FT7/10</f>
        <v>1661803.2515624999</v>
      </c>
      <c r="BD38" s="9">
        <f>[4]Annual!FU7/10</f>
        <v>1483752.905078125</v>
      </c>
      <c r="BE38" s="9">
        <f>[4]Annual!FV7/10</f>
        <v>1394727.732421875</v>
      </c>
      <c r="BF38" s="9">
        <f>[4]Annual!FW7/10</f>
        <v>1661803.2515624999</v>
      </c>
      <c r="BG38" s="9">
        <f>[4]Annual!FX7/10</f>
        <v>1661803.2515624999</v>
      </c>
      <c r="BH38" s="9">
        <f>[4]Annual!FY7/10</f>
        <v>1673559.25078125</v>
      </c>
    </row>
    <row r="39" spans="2:60" x14ac:dyDescent="0.25">
      <c r="B39">
        <v>2028</v>
      </c>
      <c r="C39" s="187">
        <f t="shared" si="11"/>
        <v>5363389.7423828123</v>
      </c>
      <c r="D39" s="187">
        <f t="shared" si="12"/>
        <v>1955238.1078125001</v>
      </c>
      <c r="E39" s="187">
        <f t="shared" si="13"/>
        <v>803968.41982421873</v>
      </c>
      <c r="F39" s="187">
        <f t="shared" si="14"/>
        <v>1440148.778515625</v>
      </c>
      <c r="G39" s="187">
        <f t="shared" si="8"/>
        <v>646845.30449218769</v>
      </c>
      <c r="H39" s="187">
        <f t="shared" si="9"/>
        <v>246689.81894531241</v>
      </c>
      <c r="I39" s="187">
        <f t="shared" si="10"/>
        <v>118618.31699218752</v>
      </c>
      <c r="J39" s="187">
        <f t="shared" si="15"/>
        <v>244186.01249999995</v>
      </c>
      <c r="K39" s="9">
        <f>[4]Annual!$HZ8</f>
        <v>10819084.438671876</v>
      </c>
      <c r="L39" s="9">
        <f>'[5]Washington Emissions'!E21/0.05311</f>
        <v>6053946.1523934491</v>
      </c>
      <c r="N39">
        <v>2028</v>
      </c>
      <c r="O39" s="9">
        <f>[4]Annual!CD8/10</f>
        <v>6010235.046875</v>
      </c>
      <c r="P39" s="9">
        <f>[4]Annual!CE8/10</f>
        <v>5640106.6460937504</v>
      </c>
      <c r="Q39" s="9">
        <f>[4]Annual!CF8/10</f>
        <v>5736491.7222656254</v>
      </c>
      <c r="R39" s="9">
        <f>[4]Annual!CG8/10</f>
        <v>5376920.0255859373</v>
      </c>
      <c r="S39" s="9">
        <f>[4]Annual!CH8/10</f>
        <v>5424315.1181640625</v>
      </c>
      <c r="T39" s="9">
        <f>[4]Annual!CI8/10</f>
        <v>5363389.7423828123</v>
      </c>
      <c r="U39" s="9">
        <f>[4]Annual!CJ8/10</f>
        <v>4561439.7281250004</v>
      </c>
      <c r="V39" s="9">
        <f>[4]Annual!CK8/10</f>
        <v>5735600.21875</v>
      </c>
      <c r="W39" s="9">
        <f>[4]Annual!CL8/10</f>
        <v>5735600.21875</v>
      </c>
      <c r="X39" s="9">
        <f>[4]Annual!CM8/10</f>
        <v>5741477.7789062504</v>
      </c>
      <c r="Y39" s="9"/>
      <c r="Z39">
        <v>2028</v>
      </c>
      <c r="AA39" s="9">
        <f>([4]Annual!DH8)/10</f>
        <v>2201927.9267578125</v>
      </c>
      <c r="AB39" s="9">
        <f>([4]Annual!DI8)/10</f>
        <v>1945473.3323242187</v>
      </c>
      <c r="AC39" s="9">
        <f>([4]Annual!DJ8)/10</f>
        <v>1942575.9315429688</v>
      </c>
      <c r="AD39" s="9">
        <f>([4]Annual!DK8)/10</f>
        <v>1884746.5985351563</v>
      </c>
      <c r="AE39" s="9">
        <f>([4]Annual!DL8)/10</f>
        <v>1828040.0451171875</v>
      </c>
      <c r="AF39" s="9">
        <f>([4]Annual!DM8)/10</f>
        <v>1955238.1078125001</v>
      </c>
      <c r="AG39" s="9">
        <f>([4]Annual!DN8)/10</f>
        <v>1669660.6568359374</v>
      </c>
      <c r="AH39" s="9">
        <f>([4]Annual!DO8)/10</f>
        <v>1966654.8903320313</v>
      </c>
      <c r="AI39" s="9">
        <f>([4]Annual!DP8)/10</f>
        <v>1966654.8903320313</v>
      </c>
      <c r="AJ39" s="9">
        <f>([4]Annual!DQ8)/10</f>
        <v>1966084.4655273438</v>
      </c>
      <c r="AL39">
        <v>2028</v>
      </c>
      <c r="AM39" s="9">
        <f>[4]Annual!FF8/10</f>
        <v>922586.73681640625</v>
      </c>
      <c r="AN39" s="9">
        <f>[4]Annual!FG8/10</f>
        <v>922586.73681640625</v>
      </c>
      <c r="AO39" s="9">
        <f>[4]Annual!FH8/10</f>
        <v>853968.04960937495</v>
      </c>
      <c r="AP39" s="9">
        <f>[4]Annual!FI8/10</f>
        <v>922586.73681640625</v>
      </c>
      <c r="AQ39" s="9">
        <f>[4]Annual!FJ8/10</f>
        <v>922586.73681640625</v>
      </c>
      <c r="AR39" s="9">
        <f>[4]Annual!FK8/10</f>
        <v>803968.41982421873</v>
      </c>
      <c r="AS39" s="9">
        <f>[4]Annual!FL8/10</f>
        <v>744659.27783203125</v>
      </c>
      <c r="AT39" s="9">
        <f>[4]Annual!FM8/10</f>
        <v>922586.73681640625</v>
      </c>
      <c r="AU39" s="9">
        <f>[4]Annual!FN8/10</f>
        <v>922586.73681640625</v>
      </c>
      <c r="AV39" s="9">
        <f>[4]Annual!FO8/10</f>
        <v>922586.73681640625</v>
      </c>
      <c r="AX39">
        <v>2028</v>
      </c>
      <c r="AY39" s="9">
        <f>[4]Annual!FP8/10</f>
        <v>1684334.791015625</v>
      </c>
      <c r="AZ39" s="9">
        <f>[4]Annual!FQ8/10</f>
        <v>1652629.7546875</v>
      </c>
      <c r="BA39" s="9">
        <f>[4]Annual!FR8/10</f>
        <v>1620924.7066406249</v>
      </c>
      <c r="BB39" s="9">
        <f>[4]Annual!FS8/10</f>
        <v>1652629.7546875</v>
      </c>
      <c r="BC39" s="9">
        <f>[4]Annual!FT8/10</f>
        <v>1652629.7546875</v>
      </c>
      <c r="BD39" s="9">
        <f>[4]Annual!FU8/10</f>
        <v>1440148.778515625</v>
      </c>
      <c r="BE39" s="9">
        <f>[4]Annual!FV8/10</f>
        <v>1333908.3015625</v>
      </c>
      <c r="BF39" s="9">
        <f>[4]Annual!FW8/10</f>
        <v>1652629.7546875</v>
      </c>
      <c r="BG39" s="9">
        <f>[4]Annual!FX8/10</f>
        <v>1652629.7546875</v>
      </c>
      <c r="BH39" s="9">
        <f>[4]Annual!FY8/10</f>
        <v>1668482.2789062499</v>
      </c>
    </row>
    <row r="40" spans="2:60" x14ac:dyDescent="0.25">
      <c r="B40">
        <v>2029</v>
      </c>
      <c r="C40" s="187">
        <f t="shared" si="11"/>
        <v>5206031.8130859379</v>
      </c>
      <c r="D40" s="187">
        <f t="shared" si="12"/>
        <v>1899537.5465820313</v>
      </c>
      <c r="E40" s="187">
        <f t="shared" si="13"/>
        <v>771998.31074218755</v>
      </c>
      <c r="F40" s="187">
        <f t="shared" si="14"/>
        <v>1379852.6371093751</v>
      </c>
      <c r="G40" s="187">
        <f t="shared" si="8"/>
        <v>825530.23769531213</v>
      </c>
      <c r="H40" s="187">
        <f t="shared" si="9"/>
        <v>314334.1575195312</v>
      </c>
      <c r="I40" s="187">
        <f t="shared" si="10"/>
        <v>136234.98085937498</v>
      </c>
      <c r="J40" s="187">
        <f t="shared" si="15"/>
        <v>283222.001953125</v>
      </c>
      <c r="K40" s="9">
        <f>[4]Annual!$HZ9</f>
        <v>10816741.703906249</v>
      </c>
      <c r="L40" s="9">
        <f>'[5]Washington Emissions'!E22/0.05311</f>
        <v>5630169.9217259092</v>
      </c>
      <c r="N40">
        <v>2029</v>
      </c>
      <c r="O40" s="9">
        <f>[4]Annual!CD9/10</f>
        <v>6031562.05078125</v>
      </c>
      <c r="P40" s="9">
        <f>[4]Annual!CE9/10</f>
        <v>5565086.6140625002</v>
      </c>
      <c r="Q40" s="9">
        <f>[4]Annual!CF9/10</f>
        <v>5695098.9078125004</v>
      </c>
      <c r="R40" s="9">
        <f>[4]Annual!CG9/10</f>
        <v>5214445.4330078121</v>
      </c>
      <c r="S40" s="9">
        <f>[4]Annual!CH9/10</f>
        <v>5294181.4093749998</v>
      </c>
      <c r="T40" s="9">
        <f>[4]Annual!CI9/10</f>
        <v>5206031.8130859379</v>
      </c>
      <c r="U40" s="9">
        <f>[4]Annual!CJ9/10</f>
        <v>4304132.3462890629</v>
      </c>
      <c r="V40" s="9">
        <f>[4]Annual!CK9/10</f>
        <v>5671993.0171875004</v>
      </c>
      <c r="W40" s="9">
        <f>[4]Annual!CL9/10</f>
        <v>5671993.0171875004</v>
      </c>
      <c r="X40" s="9">
        <f>[4]Annual!CM9/10</f>
        <v>5688056.54296875</v>
      </c>
      <c r="Y40" s="9"/>
      <c r="Z40">
        <v>2029</v>
      </c>
      <c r="AA40" s="9">
        <f>([4]Annual!DH9)/10</f>
        <v>2213871.7041015625</v>
      </c>
      <c r="AB40" s="9">
        <f>([4]Annual!DI9)/10</f>
        <v>1914613.9261718751</v>
      </c>
      <c r="AC40" s="9">
        <f>([4]Annual!DJ9)/10</f>
        <v>1915125.1112304688</v>
      </c>
      <c r="AD40" s="9">
        <f>([4]Annual!DK9)/10</f>
        <v>1834459.97734375</v>
      </c>
      <c r="AE40" s="9">
        <f>([4]Annual!DL9)/10</f>
        <v>1765733.8577148437</v>
      </c>
      <c r="AF40" s="9">
        <f>([4]Annual!DM9)/10</f>
        <v>1899537.5465820313</v>
      </c>
      <c r="AG40" s="9">
        <f>([4]Annual!DN9)/10</f>
        <v>1577036.8940429688</v>
      </c>
      <c r="AH40" s="9">
        <f>([4]Annual!DO9)/10</f>
        <v>1938028.3673828125</v>
      </c>
      <c r="AI40" s="9">
        <f>([4]Annual!DP9)/10</f>
        <v>1938028.3673828125</v>
      </c>
      <c r="AJ40" s="9">
        <f>([4]Annual!DQ9)/10</f>
        <v>1938562.864453125</v>
      </c>
      <c r="AL40">
        <v>2029</v>
      </c>
      <c r="AM40" s="9">
        <f>[4]Annual!FF9/10</f>
        <v>908233.29160156252</v>
      </c>
      <c r="AN40" s="9">
        <f>[4]Annual!FG9/10</f>
        <v>908233.29160156252</v>
      </c>
      <c r="AO40" s="9">
        <f>[4]Annual!FH9/10</f>
        <v>829512.56552734377</v>
      </c>
      <c r="AP40" s="9">
        <f>[4]Annual!FI9/10</f>
        <v>908233.29160156252</v>
      </c>
      <c r="AQ40" s="9">
        <f>[4]Annual!FJ9/10</f>
        <v>908233.29160156252</v>
      </c>
      <c r="AR40" s="9">
        <f>[4]Annual!FK9/10</f>
        <v>771998.31074218755</v>
      </c>
      <c r="AS40" s="9">
        <f>[4]Annual!FL9/10</f>
        <v>703880.80947265623</v>
      </c>
      <c r="AT40" s="9">
        <f>[4]Annual!FM9/10</f>
        <v>908233.29160156252</v>
      </c>
      <c r="AU40" s="9">
        <f>[4]Annual!FN9/10</f>
        <v>908233.29160156252</v>
      </c>
      <c r="AV40" s="9">
        <f>[4]Annual!FO9/10</f>
        <v>908233.29160156252</v>
      </c>
      <c r="AX40">
        <v>2029</v>
      </c>
      <c r="AY40" s="9">
        <f>[4]Annual!FP9/10</f>
        <v>1663074.6390625001</v>
      </c>
      <c r="AZ40" s="9">
        <f>[4]Annual!FQ9/10</f>
        <v>1623356.048046875</v>
      </c>
      <c r="BA40" s="9">
        <f>[4]Annual!FR9/10</f>
        <v>1583637.4437500001</v>
      </c>
      <c r="BB40" s="9">
        <f>[4]Annual!FS9/10</f>
        <v>1623356.048046875</v>
      </c>
      <c r="BC40" s="9">
        <f>[4]Annual!FT9/10</f>
        <v>1623356.048046875</v>
      </c>
      <c r="BD40" s="9">
        <f>[4]Annual!FU9/10</f>
        <v>1379852.6371093751</v>
      </c>
      <c r="BE40" s="9">
        <f>[4]Annual!FV9/10</f>
        <v>1258100.927734375</v>
      </c>
      <c r="BF40" s="9">
        <f>[4]Annual!FW9/10</f>
        <v>1623356.048046875</v>
      </c>
      <c r="BG40" s="9">
        <f>[4]Annual!FX9/10</f>
        <v>1623356.048046875</v>
      </c>
      <c r="BH40" s="9">
        <f>[4]Annual!FY9/10</f>
        <v>1643215.34296875</v>
      </c>
    </row>
    <row r="41" spans="2:60" x14ac:dyDescent="0.25">
      <c r="B41">
        <v>2030</v>
      </c>
      <c r="C41" s="187">
        <f t="shared" si="11"/>
        <v>5082013.4865234373</v>
      </c>
      <c r="D41" s="187">
        <f t="shared" si="12"/>
        <v>1855080.8040039062</v>
      </c>
      <c r="E41" s="187">
        <f t="shared" si="13"/>
        <v>747341.8118164062</v>
      </c>
      <c r="F41" s="187">
        <f t="shared" si="14"/>
        <v>1329828.568359375</v>
      </c>
      <c r="G41" s="187">
        <f t="shared" si="8"/>
        <v>1006699.8464843752</v>
      </c>
      <c r="H41" s="187">
        <f t="shared" si="9"/>
        <v>382862.90439453139</v>
      </c>
      <c r="I41" s="187">
        <f t="shared" si="10"/>
        <v>154622.41552734375</v>
      </c>
      <c r="J41" s="187">
        <f t="shared" si="15"/>
        <v>323149.59843749995</v>
      </c>
      <c r="K41" s="9">
        <f>[4]Annual!$HZ10</f>
        <v>10881599.446484376</v>
      </c>
      <c r="L41" s="9">
        <f>'[5]Washington Emissions'!E23/0.05311</f>
        <v>5236058.0272050956</v>
      </c>
      <c r="N41">
        <v>2030</v>
      </c>
      <c r="O41" s="9">
        <f>[4]Annual!CD10/10</f>
        <v>6088713.3330078125</v>
      </c>
      <c r="P41" s="9">
        <f>[4]Annual!CE10/10</f>
        <v>5522572.2310546879</v>
      </c>
      <c r="Q41" s="9">
        <f>[4]Annual!CF10/10</f>
        <v>5684651.4578125002</v>
      </c>
      <c r="R41" s="9">
        <f>[4]Annual!CG10/10</f>
        <v>5093997.1244140621</v>
      </c>
      <c r="S41" s="9">
        <f>[4]Annual!CH10/10</f>
        <v>5197853.5181640629</v>
      </c>
      <c r="T41" s="9">
        <f>[4]Annual!CI10/10</f>
        <v>5082013.4865234373</v>
      </c>
      <c r="U41" s="9">
        <f>[4]Annual!CJ10/10</f>
        <v>4076169.8386718752</v>
      </c>
      <c r="V41" s="9">
        <f>[4]Annual!CK10/10</f>
        <v>5632188.9017578121</v>
      </c>
      <c r="W41" s="9">
        <f>[4]Annual!CL10/10</f>
        <v>5632188.9017578121</v>
      </c>
      <c r="X41" s="9">
        <f>[4]Annual!CM10/10</f>
        <v>5665703.0966796875</v>
      </c>
      <c r="Y41" s="9"/>
      <c r="Z41">
        <v>2030</v>
      </c>
      <c r="AA41" s="9">
        <f>([4]Annual!DH10)/10</f>
        <v>2237943.7083984376</v>
      </c>
      <c r="AB41" s="9">
        <f>([4]Annual!DI10)/10</f>
        <v>1896189.3064453125</v>
      </c>
      <c r="AC41" s="9">
        <f>([4]Annual!DJ10)/10</f>
        <v>1899623.8532226563</v>
      </c>
      <c r="AD41" s="9">
        <f>([4]Annual!DK10)/10</f>
        <v>1798890.7685546875</v>
      </c>
      <c r="AE41" s="9">
        <f>([4]Annual!DL10)/10</f>
        <v>1715916.89453125</v>
      </c>
      <c r="AF41" s="9">
        <f>([4]Annual!DM10)/10</f>
        <v>1855080.8040039062</v>
      </c>
      <c r="AG41" s="9">
        <f>([4]Annual!DN10)/10</f>
        <v>1494307.046875</v>
      </c>
      <c r="AH41" s="9">
        <f>([4]Annual!DO10)/10</f>
        <v>1919914.7904296876</v>
      </c>
      <c r="AI41" s="9">
        <f>([4]Annual!DP10)/10</f>
        <v>1919914.7904296876</v>
      </c>
      <c r="AJ41" s="9">
        <f>([4]Annual!DQ10)/10</f>
        <v>1922837.1306640625</v>
      </c>
      <c r="AL41">
        <v>2030</v>
      </c>
      <c r="AM41" s="9">
        <f>[4]Annual!FF10/10</f>
        <v>901964.22734374995</v>
      </c>
      <c r="AN41" s="9">
        <f>[4]Annual!FG10/10</f>
        <v>901964.22734374995</v>
      </c>
      <c r="AO41" s="9">
        <f>[4]Annual!FH10/10</f>
        <v>812747.25664062495</v>
      </c>
      <c r="AP41" s="9">
        <f>[4]Annual!FI10/10</f>
        <v>901964.22734374995</v>
      </c>
      <c r="AQ41" s="9">
        <f>[4]Annual!FJ10/10</f>
        <v>901964.22734374995</v>
      </c>
      <c r="AR41" s="9">
        <f>[4]Annual!FK10/10</f>
        <v>747341.8118164062</v>
      </c>
      <c r="AS41" s="9">
        <f>[4]Annual!FL10/10</f>
        <v>670030.58222656255</v>
      </c>
      <c r="AT41" s="9">
        <f>[4]Annual!FM10/10</f>
        <v>901964.22734374995</v>
      </c>
      <c r="AU41" s="9">
        <f>[4]Annual!FN10/10</f>
        <v>901964.22734374995</v>
      </c>
      <c r="AV41" s="9">
        <f>[4]Annual!FO10/10</f>
        <v>901964.22734374995</v>
      </c>
      <c r="AX41">
        <v>2030</v>
      </c>
      <c r="AY41" s="9">
        <f>[4]Annual!FP10/10</f>
        <v>1652978.166796875</v>
      </c>
      <c r="AZ41" s="9">
        <f>[4]Annual!FQ10/10</f>
        <v>1604965.5062500001</v>
      </c>
      <c r="BA41" s="9">
        <f>[4]Annual!FR10/10</f>
        <v>1556952.834765625</v>
      </c>
      <c r="BB41" s="9">
        <f>[4]Annual!FS10/10</f>
        <v>1604965.5062500001</v>
      </c>
      <c r="BC41" s="9">
        <f>[4]Annual!FT10/10</f>
        <v>1604965.5062500001</v>
      </c>
      <c r="BD41" s="9">
        <f>[4]Annual!FU10/10</f>
        <v>1329828.568359375</v>
      </c>
      <c r="BE41" s="9">
        <f>[4]Annual!FV10/10</f>
        <v>1192260.0873046876</v>
      </c>
      <c r="BF41" s="9">
        <f>[4]Annual!FW10/10</f>
        <v>1604965.5062500001</v>
      </c>
      <c r="BG41" s="9">
        <f>[4]Annual!FX10/10</f>
        <v>1604965.5062500001</v>
      </c>
      <c r="BH41" s="9">
        <f>[4]Annual!FY10/10</f>
        <v>1628971.84296875</v>
      </c>
    </row>
    <row r="42" spans="2:60" x14ac:dyDescent="0.25">
      <c r="B42">
        <v>2031</v>
      </c>
      <c r="C42" s="187">
        <f t="shared" si="11"/>
        <v>4958642.7775390623</v>
      </c>
      <c r="D42" s="187">
        <f t="shared" si="12"/>
        <v>1810882.1482421875</v>
      </c>
      <c r="E42" s="187">
        <f t="shared" si="13"/>
        <v>722746.38662109373</v>
      </c>
      <c r="F42" s="187">
        <f t="shared" si="14"/>
        <v>1280067.6253906251</v>
      </c>
      <c r="G42" s="187">
        <f t="shared" si="8"/>
        <v>1186533.9365234375</v>
      </c>
      <c r="H42" s="187">
        <f t="shared" si="9"/>
        <v>450961.34082031273</v>
      </c>
      <c r="I42" s="187">
        <f t="shared" si="10"/>
        <v>172691.60966796882</v>
      </c>
      <c r="J42" s="187">
        <f t="shared" si="15"/>
        <v>362000.41093749995</v>
      </c>
      <c r="K42" s="9">
        <f>[4]Annual!$HZ11</f>
        <v>10944526.273046875</v>
      </c>
      <c r="L42" s="9">
        <f>'[5]Washington Emissions'!E24/0.05311</f>
        <v>5141808.9827154037</v>
      </c>
      <c r="N42">
        <v>2031</v>
      </c>
      <c r="O42" s="9">
        <f>[4]Annual!CD11/10</f>
        <v>6145176.7140624998</v>
      </c>
      <c r="P42" s="9">
        <f>[4]Annual!CE11/10</f>
        <v>5478061.7019531252</v>
      </c>
      <c r="Q42" s="9">
        <f>[4]Annual!CF11/10</f>
        <v>5669522.2166015627</v>
      </c>
      <c r="R42" s="9">
        <f>[4]Annual!CG11/10</f>
        <v>4975603.5650390629</v>
      </c>
      <c r="S42" s="9">
        <f>[4]Annual!CH11/10</f>
        <v>5102665.0261718752</v>
      </c>
      <c r="T42" s="9">
        <f>[4]Annual!CI11/10</f>
        <v>4958642.7775390623</v>
      </c>
      <c r="U42" s="9">
        <f>[4]Annual!CJ11/10</f>
        <v>3849578.9923828123</v>
      </c>
      <c r="V42" s="9">
        <f>[4]Annual!CK11/10</f>
        <v>5585954.6421875004</v>
      </c>
      <c r="W42" s="9">
        <f>[4]Annual!CL11/10</f>
        <v>5585954.6421875004</v>
      </c>
      <c r="X42" s="9">
        <f>[4]Annual!CM11/10</f>
        <v>5642924.6394531252</v>
      </c>
      <c r="Y42" s="9"/>
      <c r="Z42">
        <v>2031</v>
      </c>
      <c r="AA42" s="9">
        <f>([4]Annual!DH11)/10</f>
        <v>2261843.4890625002</v>
      </c>
      <c r="AB42" s="9">
        <f>([4]Annual!DI11)/10</f>
        <v>1879169.705078125</v>
      </c>
      <c r="AC42" s="9">
        <f>([4]Annual!DJ11)/10</f>
        <v>1885141.6900390624</v>
      </c>
      <c r="AD42" s="9">
        <f>([4]Annual!DK11)/10</f>
        <v>1765856.8533203125</v>
      </c>
      <c r="AE42" s="9">
        <f>([4]Annual!DL11)/10</f>
        <v>1668842.3104492188</v>
      </c>
      <c r="AF42" s="9">
        <f>([4]Annual!DM11)/10</f>
        <v>1810882.1482421875</v>
      </c>
      <c r="AG42" s="9">
        <f>([4]Annual!DN11)/10</f>
        <v>1412075.0268554688</v>
      </c>
      <c r="AH42" s="9">
        <f>([4]Annual!DO11)/10</f>
        <v>1902261.9339843751</v>
      </c>
      <c r="AI42" s="9">
        <f>([4]Annual!DP11)/10</f>
        <v>1902261.9339843751</v>
      </c>
      <c r="AJ42" s="9">
        <f>([4]Annual!DQ11)/10</f>
        <v>1908704.901171875</v>
      </c>
      <c r="AL42">
        <v>2031</v>
      </c>
      <c r="AM42" s="9">
        <f>[4]Annual!FF11/10</f>
        <v>895437.99628906255</v>
      </c>
      <c r="AN42" s="9">
        <f>[4]Annual!FG11/10</f>
        <v>895437.99628906255</v>
      </c>
      <c r="AO42" s="9">
        <f>[4]Annual!FH11/10</f>
        <v>795972.7692382813</v>
      </c>
      <c r="AP42" s="9">
        <f>[4]Annual!FI11/10</f>
        <v>895437.99628906255</v>
      </c>
      <c r="AQ42" s="9">
        <f>[4]Annual!FJ11/10</f>
        <v>895437.99628906255</v>
      </c>
      <c r="AR42" s="9">
        <f>[4]Annual!FK11/10</f>
        <v>722746.38662109373</v>
      </c>
      <c r="AS42" s="9">
        <f>[4]Annual!FL11/10</f>
        <v>636400.58750000002</v>
      </c>
      <c r="AT42" s="9">
        <f>[4]Annual!FM11/10</f>
        <v>895437.99628906255</v>
      </c>
      <c r="AU42" s="9">
        <f>[4]Annual!FN11/10</f>
        <v>895437.99628906255</v>
      </c>
      <c r="AV42" s="9">
        <f>[4]Annual!FO11/10</f>
        <v>895437.99628906255</v>
      </c>
      <c r="AX42">
        <v>2031</v>
      </c>
      <c r="AY42" s="9">
        <f>[4]Annual!FP11/10</f>
        <v>1642068.036328125</v>
      </c>
      <c r="AZ42" s="9">
        <f>[4]Annual!FQ11/10</f>
        <v>1585924.478515625</v>
      </c>
      <c r="BA42" s="9">
        <f>[4]Annual!FR11/10</f>
        <v>1529780.955859375</v>
      </c>
      <c r="BB42" s="9">
        <f>[4]Annual!FS11/10</f>
        <v>1585924.478515625</v>
      </c>
      <c r="BC42" s="9">
        <f>[4]Annual!FT11/10</f>
        <v>1585924.478515625</v>
      </c>
      <c r="BD42" s="9">
        <f>[4]Annual!FU11/10</f>
        <v>1280067.6253906251</v>
      </c>
      <c r="BE42" s="9">
        <f>[4]Annual!FV11/10</f>
        <v>1127139.175</v>
      </c>
      <c r="BF42" s="9">
        <f>[4]Annual!FW11/10</f>
        <v>1585924.478515625</v>
      </c>
      <c r="BG42" s="9">
        <f>[4]Annual!FX11/10</f>
        <v>1585924.478515625</v>
      </c>
      <c r="BH42" s="9">
        <f>[4]Annual!FY11/10</f>
        <v>1613996.263671875</v>
      </c>
    </row>
    <row r="43" spans="2:60" x14ac:dyDescent="0.25">
      <c r="B43">
        <v>2032</v>
      </c>
      <c r="C43" s="187">
        <f t="shared" si="11"/>
        <v>4865078.3560546879</v>
      </c>
      <c r="D43" s="187">
        <f t="shared" si="12"/>
        <v>1776751.2290039063</v>
      </c>
      <c r="E43" s="187">
        <f t="shared" si="13"/>
        <v>704355.33066406252</v>
      </c>
      <c r="F43" s="187">
        <f t="shared" si="14"/>
        <v>1238891.970703125</v>
      </c>
      <c r="G43" s="187">
        <f t="shared" si="8"/>
        <v>1373235.6666015619</v>
      </c>
      <c r="H43" s="187">
        <f t="shared" si="9"/>
        <v>520856.84208984394</v>
      </c>
      <c r="I43" s="187">
        <f t="shared" si="10"/>
        <v>192096.8977539062</v>
      </c>
      <c r="J43" s="187">
        <f t="shared" si="15"/>
        <v>402408.21640624991</v>
      </c>
      <c r="K43" s="9">
        <f>[4]Annual!$HZ12</f>
        <v>11073674.473828126</v>
      </c>
      <c r="L43" s="9">
        <f>'[5]Washington Emissions'!E25/0.05311</f>
        <v>5049256.421026526</v>
      </c>
      <c r="N43">
        <v>2032</v>
      </c>
      <c r="O43" s="9">
        <f>[4]Annual!CD12/10</f>
        <v>6238314.0226562498</v>
      </c>
      <c r="P43" s="9">
        <f>[4]Annual!CE12/10</f>
        <v>5467959.6466796873</v>
      </c>
      <c r="Q43" s="9">
        <f>[4]Annual!CF12/10</f>
        <v>5683452.3619140629</v>
      </c>
      <c r="R43" s="9">
        <f>[4]Annual!CG12/10</f>
        <v>4894615.8019531248</v>
      </c>
      <c r="S43" s="9">
        <f>[4]Annual!CH12/10</f>
        <v>5040177.7802734375</v>
      </c>
      <c r="T43" s="9">
        <f>[4]Annual!CI12/10</f>
        <v>4865078.3560546879</v>
      </c>
      <c r="U43" s="9">
        <f>[4]Annual!CJ12/10</f>
        <v>3646425.505859375</v>
      </c>
      <c r="V43" s="9">
        <f>[4]Annual!CK12/10</f>
        <v>5574097.1208984377</v>
      </c>
      <c r="W43" s="9">
        <f>[4]Annual!CL12/10</f>
        <v>5574097.1208984377</v>
      </c>
      <c r="X43" s="9">
        <f>[4]Annual!CM12/10</f>
        <v>5654577.5361328125</v>
      </c>
      <c r="Y43" s="9"/>
      <c r="Z43">
        <v>2032</v>
      </c>
      <c r="AA43" s="9">
        <f>([4]Annual!DH12)/10</f>
        <v>2297608.0710937502</v>
      </c>
      <c r="AB43" s="9">
        <f>([4]Annual!DI12)/10</f>
        <v>1874499.776171875</v>
      </c>
      <c r="AC43" s="9">
        <f>([4]Annual!DJ12)/10</f>
        <v>1882153.7144531249</v>
      </c>
      <c r="AD43" s="9">
        <f>([4]Annual!DK12)/10</f>
        <v>1746059.19921875</v>
      </c>
      <c r="AE43" s="9">
        <f>([4]Annual!DL12)/10</f>
        <v>1634329.529296875</v>
      </c>
      <c r="AF43" s="9">
        <f>([4]Annual!DM12)/10</f>
        <v>1776751.2290039063</v>
      </c>
      <c r="AG43" s="9">
        <f>([4]Annual!DN12)/10</f>
        <v>1337720.819140625</v>
      </c>
      <c r="AH43" s="9">
        <f>([4]Annual!DO12)/10</f>
        <v>1896987.5267578126</v>
      </c>
      <c r="AI43" s="9">
        <f>([4]Annual!DP12)/10</f>
        <v>1896987.5267578126</v>
      </c>
      <c r="AJ43" s="9">
        <f>([4]Annual!DQ12)/10</f>
        <v>1906909.2306640625</v>
      </c>
      <c r="AL43">
        <v>2032</v>
      </c>
      <c r="AM43" s="9">
        <f>[4]Annual!FF12/10</f>
        <v>896452.22841796873</v>
      </c>
      <c r="AN43" s="9">
        <f>[4]Annual!FG12/10</f>
        <v>896452.22841796873</v>
      </c>
      <c r="AO43" s="9">
        <f>[4]Annual!FH12/10</f>
        <v>786068.57089843752</v>
      </c>
      <c r="AP43" s="9">
        <f>[4]Annual!FI12/10</f>
        <v>896452.22841796873</v>
      </c>
      <c r="AQ43" s="9">
        <f>[4]Annual!FJ12/10</f>
        <v>896452.22841796873</v>
      </c>
      <c r="AR43" s="9">
        <f>[4]Annual!FK12/10</f>
        <v>704355.33066406252</v>
      </c>
      <c r="AS43" s="9">
        <f>[4]Annual!FL12/10</f>
        <v>608306.87871093745</v>
      </c>
      <c r="AT43" s="9">
        <f>[4]Annual!FM12/10</f>
        <v>896452.22841796873</v>
      </c>
      <c r="AU43" s="9">
        <f>[4]Annual!FN12/10</f>
        <v>896452.22841796873</v>
      </c>
      <c r="AV43" s="9">
        <f>[4]Annual!FO12/10</f>
        <v>896452.22841796873</v>
      </c>
      <c r="AX43">
        <v>2032</v>
      </c>
      <c r="AY43" s="9">
        <f>[4]Annual!FP12/10</f>
        <v>1641300.1871093749</v>
      </c>
      <c r="AZ43" s="9">
        <f>[4]Annual!FQ12/10</f>
        <v>1576771.58984375</v>
      </c>
      <c r="BA43" s="9">
        <f>[4]Annual!FR12/10</f>
        <v>1512243.063671875</v>
      </c>
      <c r="BB43" s="9">
        <f>[4]Annual!FS12/10</f>
        <v>1576771.58984375</v>
      </c>
      <c r="BC43" s="9">
        <f>[4]Annual!FT12/10</f>
        <v>1576771.58984375</v>
      </c>
      <c r="BD43" s="9">
        <f>[4]Annual!FU12/10</f>
        <v>1238891.970703125</v>
      </c>
      <c r="BE43" s="9">
        <f>[4]Annual!FV12/10</f>
        <v>1069952.1558593749</v>
      </c>
      <c r="BF43" s="9">
        <f>[4]Annual!FW12/10</f>
        <v>1576771.58984375</v>
      </c>
      <c r="BG43" s="9">
        <f>[4]Annual!FX12/10</f>
        <v>1576771.58984375</v>
      </c>
      <c r="BH43" s="9">
        <f>[4]Annual!FY12/10</f>
        <v>1609035.87109375</v>
      </c>
    </row>
    <row r="44" spans="2:60" x14ac:dyDescent="0.25">
      <c r="B44">
        <v>2033</v>
      </c>
      <c r="C44" s="187">
        <f t="shared" si="11"/>
        <v>4713463.0451171873</v>
      </c>
      <c r="D44" s="187">
        <f t="shared" si="12"/>
        <v>1723023.118359375</v>
      </c>
      <c r="E44" s="187">
        <f t="shared" si="13"/>
        <v>674543.8577148437</v>
      </c>
      <c r="F44" s="187">
        <f t="shared" si="14"/>
        <v>1183426.1033203125</v>
      </c>
      <c r="G44" s="187">
        <f t="shared" si="8"/>
        <v>1542011.1197265629</v>
      </c>
      <c r="H44" s="187">
        <f t="shared" si="9"/>
        <v>585436.99257812486</v>
      </c>
      <c r="I44" s="187">
        <f t="shared" si="10"/>
        <v>208036.8737304688</v>
      </c>
      <c r="J44" s="187">
        <f t="shared" si="15"/>
        <v>437012.75332031259</v>
      </c>
      <c r="K44" s="9">
        <f>[4]Annual!$HZ13</f>
        <v>11066953.923828125</v>
      </c>
      <c r="L44" s="9">
        <f>'[5]Washington Emissions'!E26/0.05311</f>
        <v>4958369.8054480478</v>
      </c>
      <c r="N44">
        <v>2033</v>
      </c>
      <c r="O44" s="9">
        <f>[4]Annual!CD13/10</f>
        <v>6255474.1648437502</v>
      </c>
      <c r="P44" s="9">
        <f>[4]Annual!CE13/10</f>
        <v>5383241.9742187504</v>
      </c>
      <c r="Q44" s="9">
        <f>[4]Annual!CF13/10</f>
        <v>5619115.2109375</v>
      </c>
      <c r="R44" s="9">
        <f>[4]Annual!CG13/10</f>
        <v>4732557.3507812498</v>
      </c>
      <c r="S44" s="9">
        <f>[4]Annual!CH13/10</f>
        <v>4913207.2005859371</v>
      </c>
      <c r="T44" s="9">
        <f>[4]Annual!CI13/10</f>
        <v>4713463.0451171873</v>
      </c>
      <c r="U44" s="9">
        <f>[4]Annual!CJ13/10</f>
        <v>3400246.0726562501</v>
      </c>
      <c r="V44" s="9">
        <f>[4]Annual!CK13/10</f>
        <v>5488628.4925781246</v>
      </c>
      <c r="W44" s="9">
        <f>[4]Annual!CL13/10</f>
        <v>5488628.4925781246</v>
      </c>
      <c r="X44" s="9">
        <f>[4]Annual!CM13/10</f>
        <v>5590206.9195312504</v>
      </c>
      <c r="Y44" s="9"/>
      <c r="Z44">
        <v>2033</v>
      </c>
      <c r="AA44" s="9">
        <f>([4]Annual!DH13)/10</f>
        <v>2308460.1109374999</v>
      </c>
      <c r="AB44" s="9">
        <f>([4]Annual!DI13)/10</f>
        <v>1850922.208984375</v>
      </c>
      <c r="AC44" s="9">
        <f>([4]Annual!DJ13)/10</f>
        <v>1860569.6177734374</v>
      </c>
      <c r="AD44" s="9">
        <f>([4]Annual!DK13)/10</f>
        <v>1705989.84375</v>
      </c>
      <c r="AE44" s="9">
        <f>([4]Annual!DL13)/10</f>
        <v>1583709.0348632813</v>
      </c>
      <c r="AF44" s="9">
        <f>([4]Annual!DM13)/10</f>
        <v>1723023.118359375</v>
      </c>
      <c r="AG44" s="9">
        <f>([4]Annual!DN13)/10</f>
        <v>1248931.1174804687</v>
      </c>
      <c r="AH44" s="9">
        <f>([4]Annual!DO13)/10</f>
        <v>1873087.4146484374</v>
      </c>
      <c r="AI44" s="9">
        <f>([4]Annual!DP13)/10</f>
        <v>1873087.4146484374</v>
      </c>
      <c r="AJ44" s="9">
        <f>([4]Annual!DQ13)/10</f>
        <v>1885987.3654296875</v>
      </c>
      <c r="AL44">
        <v>2033</v>
      </c>
      <c r="AM44" s="9">
        <f>[4]Annual!FF13/10</f>
        <v>882580.7314453125</v>
      </c>
      <c r="AN44" s="9">
        <f>[4]Annual!FG13/10</f>
        <v>882580.7314453125</v>
      </c>
      <c r="AO44" s="9">
        <f>[4]Annual!FH13/10</f>
        <v>763370.07333984377</v>
      </c>
      <c r="AP44" s="9">
        <f>[4]Annual!FI13/10</f>
        <v>882580.7314453125</v>
      </c>
      <c r="AQ44" s="9">
        <f>[4]Annual!FJ13/10</f>
        <v>882580.7314453125</v>
      </c>
      <c r="AR44" s="9">
        <f>[4]Annual!FK13/10</f>
        <v>674543.8577148437</v>
      </c>
      <c r="AS44" s="9">
        <f>[4]Annual!FL13/10</f>
        <v>570525.4118164063</v>
      </c>
      <c r="AT44" s="9">
        <f>[4]Annual!FM13/10</f>
        <v>882580.7314453125</v>
      </c>
      <c r="AU44" s="9">
        <f>[4]Annual!FN13/10</f>
        <v>882580.7314453125</v>
      </c>
      <c r="AV44" s="9">
        <f>[4]Annual!FO13/10</f>
        <v>882580.7314453125</v>
      </c>
      <c r="AX44">
        <v>2033</v>
      </c>
      <c r="AY44" s="9">
        <f>[4]Annual!FP13/10</f>
        <v>1620438.856640625</v>
      </c>
      <c r="AZ44" s="9">
        <f>[4]Annual!FQ13/10</f>
        <v>1548407.966796875</v>
      </c>
      <c r="BA44" s="9">
        <f>[4]Annual!FR13/10</f>
        <v>1476377.1246093749</v>
      </c>
      <c r="BB44" s="9">
        <f>[4]Annual!FS13/10</f>
        <v>1548407.966796875</v>
      </c>
      <c r="BC44" s="9">
        <f>[4]Annual!FT13/10</f>
        <v>1548407.966796875</v>
      </c>
      <c r="BD44" s="9">
        <f>[4]Annual!FU13/10</f>
        <v>1183426.1033203125</v>
      </c>
      <c r="BE44" s="9">
        <f>[4]Annual!FV13/10</f>
        <v>1000935.1736328125</v>
      </c>
      <c r="BF44" s="9">
        <f>[4]Annual!FW13/10</f>
        <v>1548407.966796875</v>
      </c>
      <c r="BG44" s="9">
        <f>[4]Annual!FX13/10</f>
        <v>1548407.966796875</v>
      </c>
      <c r="BH44" s="9">
        <f>[4]Annual!FY13/10</f>
        <v>1584423.4292968749</v>
      </c>
    </row>
    <row r="45" spans="2:60" x14ac:dyDescent="0.25">
      <c r="B45">
        <v>2034</v>
      </c>
      <c r="C45" s="187">
        <f t="shared" si="11"/>
        <v>4592417.7632812504</v>
      </c>
      <c r="D45" s="187">
        <f t="shared" si="12"/>
        <v>1679595.7765625</v>
      </c>
      <c r="E45" s="187">
        <f t="shared" si="13"/>
        <v>650925.8157226562</v>
      </c>
      <c r="F45" s="187">
        <f t="shared" si="14"/>
        <v>1136597.0958984375</v>
      </c>
      <c r="G45" s="187">
        <f t="shared" si="8"/>
        <v>1717904.830078125</v>
      </c>
      <c r="H45" s="187">
        <f t="shared" si="9"/>
        <v>652034.07343750005</v>
      </c>
      <c r="I45" s="187">
        <f t="shared" si="10"/>
        <v>225320.48271484382</v>
      </c>
      <c r="J45" s="187">
        <f t="shared" si="15"/>
        <v>473121.96308593755</v>
      </c>
      <c r="K45" s="9">
        <f>[4]Annual!$HZ14</f>
        <v>11127917.818359375</v>
      </c>
      <c r="L45" s="9">
        <f>'[5]Washington Emissions'!E27/0.05311</f>
        <v>4869119.1489499835</v>
      </c>
      <c r="N45">
        <v>2034</v>
      </c>
      <c r="O45" s="9">
        <f>[4]Annual!CD14/10</f>
        <v>6310322.5933593754</v>
      </c>
      <c r="P45" s="9">
        <f>[4]Annual!CE14/10</f>
        <v>5338119.9470703127</v>
      </c>
      <c r="Q45" s="9">
        <f>[4]Annual!CF14/10</f>
        <v>5587012.84375</v>
      </c>
      <c r="R45" s="9">
        <f>[4]Annual!CG14/10</f>
        <v>4618981.4951171875</v>
      </c>
      <c r="S45" s="9">
        <f>[4]Annual!CH14/10</f>
        <v>4822169.4208984375</v>
      </c>
      <c r="T45" s="9">
        <f>[4]Annual!CI14/10</f>
        <v>4592417.7632812504</v>
      </c>
      <c r="U45" s="9">
        <f>[4]Annual!CJ14/10</f>
        <v>3178063.5003906251</v>
      </c>
      <c r="V45" s="9">
        <f>[4]Annual!CK14/10</f>
        <v>5441805.0333984373</v>
      </c>
      <c r="W45" s="9">
        <f>[4]Annual!CL14/10</f>
        <v>5441805.0333984373</v>
      </c>
      <c r="X45" s="9">
        <f>[4]Annual!CM14/10</f>
        <v>5565035.6861328129</v>
      </c>
      <c r="Y45" s="9"/>
      <c r="Z45">
        <v>2034</v>
      </c>
      <c r="AA45" s="9">
        <f>([4]Annual!DH14)/10</f>
        <v>2331629.85</v>
      </c>
      <c r="AB45" s="9">
        <f>([4]Annual!DI14)/10</f>
        <v>1842179.7056640624</v>
      </c>
      <c r="AC45" s="9">
        <f>([4]Annual!DJ14)/10</f>
        <v>1852788.64375</v>
      </c>
      <c r="AD45" s="9">
        <f>([4]Annual!DK14)/10</f>
        <v>1682720.5394531251</v>
      </c>
      <c r="AE45" s="9">
        <f>([4]Annual!DL14)/10</f>
        <v>1546878.6470703124</v>
      </c>
      <c r="AF45" s="9">
        <f>([4]Annual!DM14)/10</f>
        <v>1679595.7765625</v>
      </c>
      <c r="AG45" s="9">
        <f>([4]Annual!DN14)/10</f>
        <v>1168187.0505859375</v>
      </c>
      <c r="AH45" s="9">
        <f>([4]Annual!DO14)/10</f>
        <v>1863840.7962890626</v>
      </c>
      <c r="AI45" s="9">
        <f>([4]Annual!DP14)/10</f>
        <v>1863840.7962890626</v>
      </c>
      <c r="AJ45" s="9">
        <f>([4]Annual!DQ14)/10</f>
        <v>1879778.5095703125</v>
      </c>
      <c r="AL45">
        <v>2034</v>
      </c>
      <c r="AM45" s="9">
        <f>[4]Annual!FF14/10</f>
        <v>876246.29843750002</v>
      </c>
      <c r="AN45" s="9">
        <f>[4]Annual!FG14/10</f>
        <v>876246.29843750002</v>
      </c>
      <c r="AO45" s="9">
        <f>[4]Annual!FH14/10</f>
        <v>747532.6588867188</v>
      </c>
      <c r="AP45" s="9">
        <f>[4]Annual!FI14/10</f>
        <v>876246.29843750002</v>
      </c>
      <c r="AQ45" s="9">
        <f>[4]Annual!FJ14/10</f>
        <v>876246.29843750002</v>
      </c>
      <c r="AR45" s="9">
        <f>[4]Annual!FK14/10</f>
        <v>650925.8157226562</v>
      </c>
      <c r="AS45" s="9">
        <f>[4]Annual!FL14/10</f>
        <v>538265.5666992187</v>
      </c>
      <c r="AT45" s="9">
        <f>[4]Annual!FM14/10</f>
        <v>876246.29843750002</v>
      </c>
      <c r="AU45" s="9">
        <f>[4]Annual!FN14/10</f>
        <v>876246.29843750002</v>
      </c>
      <c r="AV45" s="9">
        <f>[4]Annual!FO14/10</f>
        <v>876246.29843750002</v>
      </c>
      <c r="AX45">
        <v>2034</v>
      </c>
      <c r="AY45" s="9">
        <f>[4]Annual!FP14/10</f>
        <v>1609719.0589843751</v>
      </c>
      <c r="AZ45" s="9">
        <f>[4]Annual!FQ14/10</f>
        <v>1530034.5582031249</v>
      </c>
      <c r="BA45" s="9">
        <f>[4]Annual!FR14/10</f>
        <v>1450350.0707031251</v>
      </c>
      <c r="BB45" s="9">
        <f>[4]Annual!FS14/10</f>
        <v>1530034.5582031249</v>
      </c>
      <c r="BC45" s="9">
        <f>[4]Annual!FT14/10</f>
        <v>1530034.5582031249</v>
      </c>
      <c r="BD45" s="9">
        <f>[4]Annual!FU14/10</f>
        <v>1136597.0958984375</v>
      </c>
      <c r="BE45" s="9">
        <f>[4]Annual!FV14/10</f>
        <v>939878.39121093752</v>
      </c>
      <c r="BF45" s="9">
        <f>[4]Annual!FW14/10</f>
        <v>1530034.5582031249</v>
      </c>
      <c r="BG45" s="9">
        <f>[4]Annual!FX14/10</f>
        <v>1530034.5582031249</v>
      </c>
      <c r="BH45" s="9">
        <f>[4]Annual!FY14/10</f>
        <v>1569876.826953125</v>
      </c>
    </row>
    <row r="46" spans="2:60" x14ac:dyDescent="0.25">
      <c r="B46">
        <v>2035</v>
      </c>
      <c r="C46" s="187">
        <f t="shared" si="11"/>
        <v>4472052.603515625</v>
      </c>
      <c r="D46" s="187">
        <f t="shared" si="12"/>
        <v>1636399.7222656249</v>
      </c>
      <c r="E46" s="187">
        <f t="shared" si="13"/>
        <v>627671.30771484377</v>
      </c>
      <c r="F46" s="187">
        <f t="shared" si="14"/>
        <v>1090891.8173828125</v>
      </c>
      <c r="G46" s="187">
        <f t="shared" si="8"/>
        <v>1892453.0101562496</v>
      </c>
      <c r="H46" s="187">
        <f t="shared" si="9"/>
        <v>718304.32480468741</v>
      </c>
      <c r="I46" s="187">
        <f t="shared" si="10"/>
        <v>242368.12890625</v>
      </c>
      <c r="J46" s="187">
        <f t="shared" si="15"/>
        <v>508170.08378906245</v>
      </c>
      <c r="K46" s="9">
        <f>[4]Annual!$HZ15</f>
        <v>11188311.013671875</v>
      </c>
      <c r="L46" s="9">
        <f>'[5]Washington Emissions'!E28/0.05311</f>
        <v>4781475.0042688837</v>
      </c>
      <c r="N46">
        <v>2035</v>
      </c>
      <c r="O46" s="9">
        <f>[4]Annual!CD15/10</f>
        <v>6364505.6136718746</v>
      </c>
      <c r="P46" s="9">
        <f>[4]Annual!CE15/10</f>
        <v>5294700.9724609377</v>
      </c>
      <c r="Q46" s="9">
        <f>[4]Annual!CF15/10</f>
        <v>5551148.5378906252</v>
      </c>
      <c r="R46" s="9">
        <f>[4]Annual!CG15/10</f>
        <v>4508515.0908203125</v>
      </c>
      <c r="S46" s="9">
        <f>[4]Annual!CH15/10</f>
        <v>4733075.1607421879</v>
      </c>
      <c r="T46" s="9">
        <f>[4]Annual!CI15/10</f>
        <v>4472052.603515625</v>
      </c>
      <c r="U46" s="9">
        <f>[4]Annual!CJ15/10</f>
        <v>2957268.7275390625</v>
      </c>
      <c r="V46" s="9">
        <f>[4]Annual!CK15/10</f>
        <v>5396787.4958984377</v>
      </c>
      <c r="W46" s="9">
        <f>[4]Annual!CL15/10</f>
        <v>5396787.4958984377</v>
      </c>
      <c r="X46" s="9">
        <f>[4]Annual!CM15/10</f>
        <v>5541185.53515625</v>
      </c>
      <c r="Y46" s="9"/>
      <c r="Z46">
        <v>2035</v>
      </c>
      <c r="AA46" s="9">
        <f>([4]Annual!DH15)/10</f>
        <v>2354704.0470703123</v>
      </c>
      <c r="AB46" s="9">
        <f>([4]Annual!DI15)/10</f>
        <v>1837840.7005859376</v>
      </c>
      <c r="AC46" s="9">
        <f>([4]Annual!DJ15)/10</f>
        <v>1849147.8277343749</v>
      </c>
      <c r="AD46" s="9">
        <f>([4]Annual!DK15)/10</f>
        <v>1664055.63359375</v>
      </c>
      <c r="AE46" s="9">
        <f>([4]Annual!DL15)/10</f>
        <v>1514076.2236328125</v>
      </c>
      <c r="AF46" s="9">
        <f>([4]Annual!DM15)/10</f>
        <v>1636399.7222656249</v>
      </c>
      <c r="AG46" s="9">
        <f>([4]Annual!DN15)/10</f>
        <v>1087916.7000976563</v>
      </c>
      <c r="AH46" s="9">
        <f>([4]Annual!DO15)/10</f>
        <v>1859056.024609375</v>
      </c>
      <c r="AI46" s="9">
        <f>([4]Annual!DP15)/10</f>
        <v>1859056.024609375</v>
      </c>
      <c r="AJ46" s="9">
        <f>([4]Annual!DQ15)/10</f>
        <v>1877897.9333984375</v>
      </c>
      <c r="AL46">
        <v>2035</v>
      </c>
      <c r="AM46" s="9">
        <f>[4]Annual!FF15/10</f>
        <v>870039.43662109377</v>
      </c>
      <c r="AN46" s="9">
        <f>[4]Annual!FG15/10</f>
        <v>870039.43662109377</v>
      </c>
      <c r="AO46" s="9">
        <f>[4]Annual!FH15/10</f>
        <v>732050.50595703127</v>
      </c>
      <c r="AP46" s="9">
        <f>[4]Annual!FI15/10</f>
        <v>870039.43662109377</v>
      </c>
      <c r="AQ46" s="9">
        <f>[4]Annual!FJ15/10</f>
        <v>870039.43662109377</v>
      </c>
      <c r="AR46" s="9">
        <f>[4]Annual!FK15/10</f>
        <v>627671.30771484377</v>
      </c>
      <c r="AS46" s="9">
        <f>[4]Annual!FL15/10</f>
        <v>506487.24487304688</v>
      </c>
      <c r="AT46" s="9">
        <f>[4]Annual!FM15/10</f>
        <v>870039.43662109377</v>
      </c>
      <c r="AU46" s="9">
        <f>[4]Annual!FN15/10</f>
        <v>870039.43662109377</v>
      </c>
      <c r="AV46" s="9">
        <f>[4]Annual!FO15/10</f>
        <v>870039.43662109377</v>
      </c>
      <c r="AX46">
        <v>2035</v>
      </c>
      <c r="AY46" s="9">
        <f>[4]Annual!FP15/10</f>
        <v>1599061.901171875</v>
      </c>
      <c r="AZ46" s="9">
        <f>[4]Annual!FQ15/10</f>
        <v>1512127.26875</v>
      </c>
      <c r="BA46" s="9">
        <f>[4]Annual!FR15/10</f>
        <v>1425192.6488281251</v>
      </c>
      <c r="BB46" s="9">
        <f>[4]Annual!FS15/10</f>
        <v>1512127.26875</v>
      </c>
      <c r="BC46" s="9">
        <f>[4]Annual!FT15/10</f>
        <v>1512127.26875</v>
      </c>
      <c r="BD46" s="9">
        <f>[4]Annual!FU15/10</f>
        <v>1090891.8173828125</v>
      </c>
      <c r="BE46" s="9">
        <f>[4]Annual!FV15/10</f>
        <v>880274.0791015625</v>
      </c>
      <c r="BF46" s="9">
        <f>[4]Annual!FW15/10</f>
        <v>1512127.26875</v>
      </c>
      <c r="BG46" s="9">
        <f>[4]Annual!FX15/10</f>
        <v>1512127.26875</v>
      </c>
      <c r="BH46" s="9">
        <f>[4]Annual!FY15/10</f>
        <v>1555594.5796874999</v>
      </c>
    </row>
    <row r="47" spans="2:60" x14ac:dyDescent="0.25">
      <c r="B47">
        <v>2036</v>
      </c>
      <c r="C47" s="187">
        <f t="shared" si="11"/>
        <v>4379254.7462890623</v>
      </c>
      <c r="D47" s="187">
        <f t="shared" si="12"/>
        <v>1602479.1137695313</v>
      </c>
      <c r="E47" s="187">
        <f t="shared" si="13"/>
        <v>609811.27773437498</v>
      </c>
      <c r="F47" s="187">
        <f t="shared" si="14"/>
        <v>1052751.2990234375</v>
      </c>
      <c r="G47" s="187">
        <f t="shared" si="8"/>
        <v>2078544.7099609375</v>
      </c>
      <c r="H47" s="187">
        <f t="shared" si="9"/>
        <v>787837.93017578125</v>
      </c>
      <c r="I47" s="187">
        <f t="shared" si="10"/>
        <v>261347.7028320313</v>
      </c>
      <c r="J47" s="187">
        <f t="shared" si="15"/>
        <v>545546.18417968741</v>
      </c>
      <c r="K47" s="9">
        <f>[4]Annual!$HZ16</f>
        <v>11317572.966796875</v>
      </c>
      <c r="L47" s="9">
        <f>'[5]Washington Emissions'!E29/0.05311</f>
        <v>4695408.4541920433</v>
      </c>
      <c r="N47">
        <v>2036</v>
      </c>
      <c r="O47" s="9">
        <f>[4]Annual!CD16/10</f>
        <v>6457799.4562499998</v>
      </c>
      <c r="P47" s="9">
        <f>[4]Annual!CE16/10</f>
        <v>5285612.126953125</v>
      </c>
      <c r="Q47" s="9">
        <f>[4]Annual!CF16/10</f>
        <v>5543284.2208984373</v>
      </c>
      <c r="R47" s="9">
        <f>[4]Annual!CG16/10</f>
        <v>4435906.5591796879</v>
      </c>
      <c r="S47" s="9">
        <f>[4]Annual!CH16/10</f>
        <v>4675316.818359375</v>
      </c>
      <c r="T47" s="9">
        <f>[4]Annual!CI16/10</f>
        <v>4379254.7462890623</v>
      </c>
      <c r="U47" s="9">
        <f>[4]Annual!CJ16/10</f>
        <v>2755023.0531250001</v>
      </c>
      <c r="V47" s="9">
        <f>[4]Annual!CK16/10</f>
        <v>5386082.5246093748</v>
      </c>
      <c r="W47" s="9">
        <f>[4]Annual!CL16/10</f>
        <v>5386082.5246093748</v>
      </c>
      <c r="X47" s="9">
        <f>[4]Annual!CM16/10</f>
        <v>5552369.0150390621</v>
      </c>
      <c r="Y47" s="9"/>
      <c r="Z47">
        <v>2036</v>
      </c>
      <c r="AA47" s="9">
        <f>([4]Annual!DH16)/10</f>
        <v>2390317.0439453125</v>
      </c>
      <c r="AB47" s="9">
        <f>([4]Annual!DI16)/10</f>
        <v>1845195.4566406249</v>
      </c>
      <c r="AC47" s="9">
        <f>([4]Annual!DJ16)/10</f>
        <v>1856276.0017578125</v>
      </c>
      <c r="AD47" s="9">
        <f>([4]Annual!DK16)/10</f>
        <v>1657621.40703125</v>
      </c>
      <c r="AE47" s="9">
        <f>([4]Annual!DL16)/10</f>
        <v>1493171.8177734376</v>
      </c>
      <c r="AF47" s="9">
        <f>([4]Annual!DM16)/10</f>
        <v>1602479.1137695313</v>
      </c>
      <c r="AG47" s="9">
        <f>([4]Annual!DN16)/10</f>
        <v>1013808.0365234375</v>
      </c>
      <c r="AH47" s="9">
        <f>([4]Annual!DO16)/10</f>
        <v>1865996.2201171876</v>
      </c>
      <c r="AI47" s="9">
        <f>([4]Annual!DP16)/10</f>
        <v>1865996.2201171876</v>
      </c>
      <c r="AJ47" s="9">
        <f>([4]Annual!DQ16)/10</f>
        <v>1887830.4808593751</v>
      </c>
      <c r="AL47">
        <v>2036</v>
      </c>
      <c r="AM47" s="9">
        <f>[4]Annual!FF16/10</f>
        <v>871158.98056640627</v>
      </c>
      <c r="AN47" s="9">
        <f>[4]Annual!FG16/10</f>
        <v>871158.98056640627</v>
      </c>
      <c r="AO47" s="9">
        <f>[4]Annual!FH16/10</f>
        <v>722892.10117187502</v>
      </c>
      <c r="AP47" s="9">
        <f>[4]Annual!FI16/10</f>
        <v>871158.98056640627</v>
      </c>
      <c r="AQ47" s="9">
        <f>[4]Annual!FJ16/10</f>
        <v>871158.98056640627</v>
      </c>
      <c r="AR47" s="9">
        <f>[4]Annual!FK16/10</f>
        <v>609811.27773437498</v>
      </c>
      <c r="AS47" s="9">
        <f>[4]Annual!FL16/10</f>
        <v>479137.4261230469</v>
      </c>
      <c r="AT47" s="9">
        <f>[4]Annual!FM16/10</f>
        <v>871158.98056640627</v>
      </c>
      <c r="AU47" s="9">
        <f>[4]Annual!FN16/10</f>
        <v>871158.98056640627</v>
      </c>
      <c r="AV47" s="9">
        <f>[4]Annual!FO16/10</f>
        <v>871158.98056640627</v>
      </c>
      <c r="AX47">
        <v>2036</v>
      </c>
      <c r="AY47" s="9">
        <f>[4]Annual!FP16/10</f>
        <v>1598297.483203125</v>
      </c>
      <c r="AZ47" s="9">
        <f>[4]Annual!FQ16/10</f>
        <v>1503930.428515625</v>
      </c>
      <c r="BA47" s="9">
        <f>[4]Annual!FR16/10</f>
        <v>1409563.375</v>
      </c>
      <c r="BB47" s="9">
        <f>[4]Annual!FS16/10</f>
        <v>1503930.428515625</v>
      </c>
      <c r="BC47" s="9">
        <f>[4]Annual!FT16/10</f>
        <v>1503930.428515625</v>
      </c>
      <c r="BD47" s="9">
        <f>[4]Annual!FU16/10</f>
        <v>1052751.2990234375</v>
      </c>
      <c r="BE47" s="9">
        <f>[4]Annual!FV16/10</f>
        <v>827161.74628906255</v>
      </c>
      <c r="BF47" s="9">
        <f>[4]Annual!FW16/10</f>
        <v>1503930.428515625</v>
      </c>
      <c r="BG47" s="9">
        <f>[4]Annual!FX16/10</f>
        <v>1503930.428515625</v>
      </c>
      <c r="BH47" s="9">
        <f>[4]Annual!FY16/10</f>
        <v>1551113.96796875</v>
      </c>
    </row>
    <row r="48" spans="2:60" x14ac:dyDescent="0.25">
      <c r="B48">
        <v>2037</v>
      </c>
      <c r="C48" s="187">
        <f t="shared" si="11"/>
        <v>4233323.5408203127</v>
      </c>
      <c r="D48" s="187">
        <f t="shared" si="12"/>
        <v>1550709.8682617187</v>
      </c>
      <c r="E48" s="187">
        <f t="shared" si="13"/>
        <v>582229.6838867187</v>
      </c>
      <c r="F48" s="187">
        <f t="shared" si="14"/>
        <v>1002647.4193359375</v>
      </c>
      <c r="G48" s="187">
        <f t="shared" si="8"/>
        <v>2237469.5095703127</v>
      </c>
      <c r="H48" s="187">
        <f t="shared" si="9"/>
        <v>849173.27177734394</v>
      </c>
      <c r="I48" s="187">
        <f t="shared" si="10"/>
        <v>275793.02275390632</v>
      </c>
      <c r="J48" s="187">
        <f t="shared" si="15"/>
        <v>575286.67363281257</v>
      </c>
      <c r="K48" s="9">
        <f>[4]Annual!$HZ17</f>
        <v>11306632.990625</v>
      </c>
      <c r="L48" s="9">
        <f>'[5]Washington Emissions'!E30/0.05311</f>
        <v>4610891.1020165859</v>
      </c>
      <c r="N48">
        <v>2037</v>
      </c>
      <c r="O48" s="9">
        <f>[4]Annual!CD17/10</f>
        <v>6470793.0503906254</v>
      </c>
      <c r="P48" s="9">
        <f>[4]Annual!CE17/10</f>
        <v>5204770.2119140625</v>
      </c>
      <c r="Q48" s="9">
        <f>[4]Annual!CF17/10</f>
        <v>5458602.5783203123</v>
      </c>
      <c r="R48" s="9">
        <f>[4]Annual!CG17/10</f>
        <v>4290958.4406249998</v>
      </c>
      <c r="S48" s="9">
        <f>[4]Annual!CH17/10</f>
        <v>4558159.5265624998</v>
      </c>
      <c r="T48" s="9">
        <f>[4]Annual!CI17/10</f>
        <v>4233323.5408203127</v>
      </c>
      <c r="U48" s="9">
        <f>[4]Annual!CJ17/10</f>
        <v>2519829.7657226562</v>
      </c>
      <c r="V48" s="9">
        <f>[4]Annual!CK17/10</f>
        <v>5303597.2990234373</v>
      </c>
      <c r="W48" s="9">
        <f>[4]Annual!CL17/10</f>
        <v>5303597.2990234373</v>
      </c>
      <c r="X48" s="9">
        <f>[4]Annual!CM17/10</f>
        <v>5488128.4171874998</v>
      </c>
      <c r="Y48" s="9"/>
      <c r="Z48">
        <v>2037</v>
      </c>
      <c r="AA48" s="9">
        <f>([4]Annual!DH17)/10</f>
        <v>2399883.1400390626</v>
      </c>
      <c r="AB48" s="9">
        <f>([4]Annual!DI17)/10</f>
        <v>1830771.9544921876</v>
      </c>
      <c r="AC48" s="9">
        <f>([4]Annual!DJ17)/10</f>
        <v>1841249.44609375</v>
      </c>
      <c r="AD48" s="9">
        <f>([4]Annual!DK17)/10</f>
        <v>1629520.0111328126</v>
      </c>
      <c r="AE48" s="9">
        <f>([4]Annual!DL17)/10</f>
        <v>1455918.1369140625</v>
      </c>
      <c r="AF48" s="9">
        <f>([4]Annual!DM17)/10</f>
        <v>1550709.8682617187</v>
      </c>
      <c r="AG48" s="9">
        <f>([4]Annual!DN17)/10</f>
        <v>928805.2897460938</v>
      </c>
      <c r="AH48" s="9">
        <f>([4]Annual!DO17)/10</f>
        <v>1851162.4339843751</v>
      </c>
      <c r="AI48" s="9">
        <f>([4]Annual!DP17)/10</f>
        <v>1851162.4339843751</v>
      </c>
      <c r="AJ48" s="9">
        <f>([4]Annual!DQ17)/10</f>
        <v>1875370.8701171875</v>
      </c>
      <c r="AL48">
        <v>2037</v>
      </c>
      <c r="AM48" s="9">
        <f>[4]Annual!FF17/10</f>
        <v>858022.70664062502</v>
      </c>
      <c r="AN48" s="9">
        <f>[4]Annual!FG17/10</f>
        <v>858022.70664062502</v>
      </c>
      <c r="AO48" s="9">
        <f>[4]Annual!FH17/10</f>
        <v>702147.43144531245</v>
      </c>
      <c r="AP48" s="9">
        <f>[4]Annual!FI17/10</f>
        <v>858022.70664062502</v>
      </c>
      <c r="AQ48" s="9">
        <f>[4]Annual!FJ17/10</f>
        <v>858022.70664062502</v>
      </c>
      <c r="AR48" s="9">
        <f>[4]Annual!FK17/10</f>
        <v>582229.6838867187</v>
      </c>
      <c r="AS48" s="9">
        <f>[4]Annual!FL17/10</f>
        <v>444333.18403320311</v>
      </c>
      <c r="AT48" s="9">
        <f>[4]Annual!FM17/10</f>
        <v>858022.70664062502</v>
      </c>
      <c r="AU48" s="9">
        <f>[4]Annual!FN17/10</f>
        <v>858022.70664062502</v>
      </c>
      <c r="AV48" s="9">
        <f>[4]Annual!FO17/10</f>
        <v>858022.70664062502</v>
      </c>
      <c r="AX48">
        <v>2037</v>
      </c>
      <c r="AY48" s="9">
        <f>[4]Annual!FP17/10</f>
        <v>1577934.09296875</v>
      </c>
      <c r="AZ48" s="9">
        <f>[4]Annual!FQ17/10</f>
        <v>1477585.6695312499</v>
      </c>
      <c r="BA48" s="9">
        <f>[4]Annual!FR17/10</f>
        <v>1377237.24140625</v>
      </c>
      <c r="BB48" s="9">
        <f>[4]Annual!FS17/10</f>
        <v>1477585.6695312499</v>
      </c>
      <c r="BC48" s="9">
        <f>[4]Annual!FT17/10</f>
        <v>1477585.6695312499</v>
      </c>
      <c r="BD48" s="9">
        <f>[4]Annual!FU17/10</f>
        <v>1002647.4193359375</v>
      </c>
      <c r="BE48" s="9">
        <f>[4]Annual!FV17/10</f>
        <v>765178.28203124995</v>
      </c>
      <c r="BF48" s="9">
        <f>[4]Annual!FW17/10</f>
        <v>1477585.6695312499</v>
      </c>
      <c r="BG48" s="9">
        <f>[4]Annual!FX17/10</f>
        <v>1477585.6695312499</v>
      </c>
      <c r="BH48" s="9">
        <f>[4]Annual!FY17/10</f>
        <v>1527759.881640625</v>
      </c>
    </row>
    <row r="49" spans="2:60" x14ac:dyDescent="0.25">
      <c r="B49">
        <v>2038</v>
      </c>
      <c r="C49" s="187">
        <f t="shared" si="11"/>
        <v>4115029.7531249998</v>
      </c>
      <c r="D49" s="187">
        <f t="shared" si="12"/>
        <v>1508227.50859375</v>
      </c>
      <c r="E49" s="187">
        <f t="shared" si="13"/>
        <v>560022.66943359375</v>
      </c>
      <c r="F49" s="187">
        <f t="shared" si="14"/>
        <v>960027.89687499998</v>
      </c>
      <c r="G49" s="187">
        <f t="shared" si="8"/>
        <v>2407967.724609375</v>
      </c>
      <c r="H49" s="187">
        <f t="shared" si="9"/>
        <v>913155.90625000023</v>
      </c>
      <c r="I49" s="187">
        <f t="shared" si="10"/>
        <v>292185.73359375005</v>
      </c>
      <c r="J49" s="187">
        <f t="shared" si="15"/>
        <v>607434.99921874993</v>
      </c>
      <c r="K49" s="9">
        <f>[4]Annual!$HZ18</f>
        <v>11364052.164843749</v>
      </c>
      <c r="L49" s="9">
        <f>'[5]Washington Emissions'!E31/0.05311</f>
        <v>4527895.0621802881</v>
      </c>
      <c r="N49">
        <v>2038</v>
      </c>
      <c r="O49" s="9">
        <f>[4]Annual!CD18/10</f>
        <v>6522997.4777343748</v>
      </c>
      <c r="P49" s="9">
        <f>[4]Annual!CE18/10</f>
        <v>5156718.005859375</v>
      </c>
      <c r="Q49" s="9">
        <f>[4]Annual!CF18/10</f>
        <v>5405308.5929687498</v>
      </c>
      <c r="R49" s="9">
        <f>[4]Annual!CG18/10</f>
        <v>4168796.2314453125</v>
      </c>
      <c r="S49" s="9">
        <f>[4]Annual!CH18/10</f>
        <v>4470981.9031250002</v>
      </c>
      <c r="T49" s="9">
        <f>[4]Annual!CI18/10</f>
        <v>4115029.7531249998</v>
      </c>
      <c r="U49" s="9">
        <f>[4]Annual!CJ18/10</f>
        <v>2303231.0987304687</v>
      </c>
      <c r="V49" s="9">
        <f>[4]Annual!CK18/10</f>
        <v>5254900.107421875</v>
      </c>
      <c r="W49" s="9">
        <f>[4]Annual!CL18/10</f>
        <v>5254900.107421875</v>
      </c>
      <c r="X49" s="9">
        <f>[4]Annual!CM18/10</f>
        <v>5456749.1783203129</v>
      </c>
      <c r="Y49" s="9"/>
      <c r="Z49">
        <v>2038</v>
      </c>
      <c r="AA49" s="9">
        <f>([4]Annual!DH18)/10</f>
        <v>2421383.4148437502</v>
      </c>
      <c r="AB49" s="9">
        <f>([4]Annual!DI18)/10</f>
        <v>1824428.02421875</v>
      </c>
      <c r="AC49" s="9">
        <f>([4]Annual!DJ18)/10</f>
        <v>1834076.0087890625</v>
      </c>
      <c r="AD49" s="9">
        <f>([4]Annual!DK18)/10</f>
        <v>1607731.7001953125</v>
      </c>
      <c r="AE49" s="9">
        <f>([4]Annual!DL18)/10</f>
        <v>1427505.8522460938</v>
      </c>
      <c r="AF49" s="9">
        <f>([4]Annual!DM18)/10</f>
        <v>1508227.50859375</v>
      </c>
      <c r="AG49" s="9">
        <f>([4]Annual!DN18)/10</f>
        <v>849971.02578124998</v>
      </c>
      <c r="AH49" s="9">
        <f>([4]Annual!DO18)/10</f>
        <v>1844626.662890625</v>
      </c>
      <c r="AI49" s="9">
        <f>([4]Annual!DP18)/10</f>
        <v>1844626.662890625</v>
      </c>
      <c r="AJ49" s="9">
        <f>([4]Annual!DQ18)/10</f>
        <v>1871234.173046875</v>
      </c>
      <c r="AL49">
        <v>2038</v>
      </c>
      <c r="AM49" s="9">
        <f>[4]Annual!FF18/10</f>
        <v>852208.4030273438</v>
      </c>
      <c r="AN49" s="9">
        <f>[4]Annual!FG18/10</f>
        <v>852208.4030273438</v>
      </c>
      <c r="AO49" s="9">
        <f>[4]Annual!FH18/10</f>
        <v>687704.40732421877</v>
      </c>
      <c r="AP49" s="9">
        <f>[4]Annual!FI18/10</f>
        <v>852208.4030273438</v>
      </c>
      <c r="AQ49" s="9">
        <f>[4]Annual!FJ18/10</f>
        <v>852208.4030273438</v>
      </c>
      <c r="AR49" s="9">
        <f>[4]Annual!FK18/10</f>
        <v>560022.66943359375</v>
      </c>
      <c r="AS49" s="9">
        <f>[4]Annual!FL18/10</f>
        <v>413929.79228515626</v>
      </c>
      <c r="AT49" s="9">
        <f>[4]Annual!FM18/10</f>
        <v>852208.4030273438</v>
      </c>
      <c r="AU49" s="9">
        <f>[4]Annual!FN18/10</f>
        <v>852208.4030273438</v>
      </c>
      <c r="AV49" s="9">
        <f>[4]Annual!FO18/10</f>
        <v>852208.4030273438</v>
      </c>
      <c r="AX49">
        <v>2038</v>
      </c>
      <c r="AY49" s="9">
        <f>[4]Annual!FP18/10</f>
        <v>1567462.8960937499</v>
      </c>
      <c r="AZ49" s="9">
        <f>[4]Annual!FQ18/10</f>
        <v>1460912.0203125</v>
      </c>
      <c r="BA49" s="9">
        <f>[4]Annual!FR18/10</f>
        <v>1354361.13203125</v>
      </c>
      <c r="BB49" s="9">
        <f>[4]Annual!FS18/10</f>
        <v>1460912.0203125</v>
      </c>
      <c r="BC49" s="9">
        <f>[4]Annual!FT18/10</f>
        <v>1460912.0203125</v>
      </c>
      <c r="BD49" s="9">
        <f>[4]Annual!FU18/10</f>
        <v>960027.89687499998</v>
      </c>
      <c r="BE49" s="9">
        <f>[4]Annual!FV18/10</f>
        <v>709585.84453124995</v>
      </c>
      <c r="BF49" s="9">
        <f>[4]Annual!FW18/10</f>
        <v>1460912.0203125</v>
      </c>
      <c r="BG49" s="9">
        <f>[4]Annual!FX18/10</f>
        <v>1460912.0203125</v>
      </c>
      <c r="BH49" s="9">
        <f>[4]Annual!FY18/10</f>
        <v>1514187.469921875</v>
      </c>
    </row>
    <row r="50" spans="2:60" x14ac:dyDescent="0.25">
      <c r="B50">
        <v>2039</v>
      </c>
      <c r="C50" s="187">
        <f t="shared" si="11"/>
        <v>3997444.490234375</v>
      </c>
      <c r="D50" s="187">
        <f t="shared" si="12"/>
        <v>1465985.1436523437</v>
      </c>
      <c r="E50" s="187">
        <f t="shared" si="13"/>
        <v>538124.3743164062</v>
      </c>
      <c r="F50" s="187">
        <f t="shared" si="14"/>
        <v>918457.08164062502</v>
      </c>
      <c r="G50" s="187">
        <f t="shared" si="8"/>
        <v>2577121.3484375002</v>
      </c>
      <c r="H50" s="187">
        <f t="shared" si="9"/>
        <v>976255.56103515625</v>
      </c>
      <c r="I50" s="187">
        <f t="shared" si="10"/>
        <v>308363.40703125007</v>
      </c>
      <c r="J50" s="187">
        <f t="shared" si="15"/>
        <v>638595.81953124993</v>
      </c>
      <c r="K50" s="9">
        <f>[4]Annual!$HZ19</f>
        <v>11420347.237890625</v>
      </c>
      <c r="L50" s="9">
        <f>'[5]Washington Emissions'!E32/0.05311</f>
        <v>4446392.951061042</v>
      </c>
      <c r="N50">
        <v>2039</v>
      </c>
      <c r="O50" s="9">
        <f>[4]Annual!CD19/10</f>
        <v>6574565.8386718752</v>
      </c>
      <c r="P50" s="9">
        <f>[4]Annual!CE19/10</f>
        <v>5104685.2234375002</v>
      </c>
      <c r="Q50" s="9">
        <f>[4]Annual!CF19/10</f>
        <v>5348845.8519531246</v>
      </c>
      <c r="R50" s="9">
        <f>[4]Annual!CG19/10</f>
        <v>4027808.4466796876</v>
      </c>
      <c r="S50" s="9">
        <f>[4]Annual!CH19/10</f>
        <v>4381955.5062499996</v>
      </c>
      <c r="T50" s="9">
        <f>[4]Annual!CI19/10</f>
        <v>3997444.490234375</v>
      </c>
      <c r="U50" s="9">
        <f>[4]Annual!CJ19/10</f>
        <v>2088042.0785156251</v>
      </c>
      <c r="V50" s="9">
        <f>[4]Annual!CK19/10</f>
        <v>5203197.05</v>
      </c>
      <c r="W50" s="9">
        <f>[4]Annual!CL19/10</f>
        <v>5203197.05</v>
      </c>
      <c r="X50" s="9">
        <f>[4]Annual!CM19/10</f>
        <v>5420116.2359375004</v>
      </c>
      <c r="Y50" s="9"/>
      <c r="Z50">
        <v>2039</v>
      </c>
      <c r="AA50" s="9">
        <f>([4]Annual!DH19)/10</f>
        <v>2442240.7046874999</v>
      </c>
      <c r="AB50" s="9">
        <f>([4]Annual!DI19)/10</f>
        <v>1818593.2978515625</v>
      </c>
      <c r="AC50" s="9">
        <f>([4]Annual!DJ19)/10</f>
        <v>1828174.3119140626</v>
      </c>
      <c r="AD50" s="9">
        <f>([4]Annual!DK19)/10</f>
        <v>1583542.795703125</v>
      </c>
      <c r="AE50" s="9">
        <f>([4]Annual!DL19)/10</f>
        <v>1399087.033203125</v>
      </c>
      <c r="AF50" s="9">
        <f>([4]Annual!DM19)/10</f>
        <v>1465985.1436523437</v>
      </c>
      <c r="AG50" s="9">
        <f>([4]Annual!DN19)/10</f>
        <v>771616.29052734375</v>
      </c>
      <c r="AH50" s="9">
        <f>([4]Annual!DO19)/10</f>
        <v>1838824.7607421875</v>
      </c>
      <c r="AI50" s="9">
        <f>([4]Annual!DP19)/10</f>
        <v>1838824.7607421875</v>
      </c>
      <c r="AJ50" s="9">
        <f>([4]Annual!DQ19)/10</f>
        <v>1867650.2384765625</v>
      </c>
      <c r="AL50">
        <v>2039</v>
      </c>
      <c r="AM50" s="9">
        <f>[4]Annual!FF19/10</f>
        <v>846487.78134765627</v>
      </c>
      <c r="AN50" s="9">
        <f>[4]Annual!FG19/10</f>
        <v>846487.78134765627</v>
      </c>
      <c r="AO50" s="9">
        <f>[4]Annual!FH19/10</f>
        <v>673532.31093749998</v>
      </c>
      <c r="AP50" s="9">
        <f>[4]Annual!FI19/10</f>
        <v>846487.78134765627</v>
      </c>
      <c r="AQ50" s="9">
        <f>[4]Annual!FJ19/10</f>
        <v>846487.78134765627</v>
      </c>
      <c r="AR50" s="9">
        <f>[4]Annual!FK19/10</f>
        <v>538124.3743164062</v>
      </c>
      <c r="AS50" s="9">
        <f>[4]Annual!FL19/10</f>
        <v>383942.6741699219</v>
      </c>
      <c r="AT50" s="9">
        <f>[4]Annual!FM19/10</f>
        <v>846487.78134765627</v>
      </c>
      <c r="AU50" s="9">
        <f>[4]Annual!FN19/10</f>
        <v>846487.78134765627</v>
      </c>
      <c r="AV50" s="9">
        <f>[4]Annual!FO19/10</f>
        <v>846487.78134765627</v>
      </c>
      <c r="AX50">
        <v>2039</v>
      </c>
      <c r="AY50" s="9">
        <f>[4]Annual!FP19/10</f>
        <v>1557052.901171875</v>
      </c>
      <c r="AZ50" s="9">
        <f>[4]Annual!FQ19/10</f>
        <v>1444763.955859375</v>
      </c>
      <c r="BA50" s="9">
        <f>[4]Annual!FR19/10</f>
        <v>1332475.0347656249</v>
      </c>
      <c r="BB50" s="9">
        <f>[4]Annual!FS19/10</f>
        <v>1444763.955859375</v>
      </c>
      <c r="BC50" s="9">
        <f>[4]Annual!FT19/10</f>
        <v>1444763.955859375</v>
      </c>
      <c r="BD50" s="9">
        <f>[4]Annual!FU19/10</f>
        <v>918457.08164062502</v>
      </c>
      <c r="BE50" s="9">
        <f>[4]Annual!FV19/10</f>
        <v>655303.65058593755</v>
      </c>
      <c r="BF50" s="9">
        <f>[4]Annual!FW19/10</f>
        <v>1444763.955859375</v>
      </c>
      <c r="BG50" s="9">
        <f>[4]Annual!FX19/10</f>
        <v>1444763.955859375</v>
      </c>
      <c r="BH50" s="9">
        <f>[4]Annual!FY19/10</f>
        <v>1500908.440625</v>
      </c>
    </row>
    <row r="51" spans="2:60" x14ac:dyDescent="0.25">
      <c r="B51">
        <v>2040</v>
      </c>
      <c r="C51" s="187">
        <f t="shared" si="11"/>
        <v>3903711.3306640624</v>
      </c>
      <c r="D51" s="187">
        <f t="shared" si="12"/>
        <v>1431751.0958007812</v>
      </c>
      <c r="E51" s="187">
        <f t="shared" si="13"/>
        <v>520831.71396484377</v>
      </c>
      <c r="F51" s="187">
        <f t="shared" si="14"/>
        <v>883304.60429687495</v>
      </c>
      <c r="G51" s="187">
        <f t="shared" si="8"/>
        <v>2761515.295898438</v>
      </c>
      <c r="H51" s="187">
        <f t="shared" si="9"/>
        <v>1043683.9137695315</v>
      </c>
      <c r="I51" s="187">
        <f t="shared" si="10"/>
        <v>327033.87148437498</v>
      </c>
      <c r="J51" s="187">
        <f t="shared" si="15"/>
        <v>672987.47773437505</v>
      </c>
      <c r="K51" s="9">
        <f>[4]Annual!$HZ20</f>
        <v>11544819.29296875</v>
      </c>
      <c r="L51" s="9">
        <f>'[5]Washington Emissions'!E33/0.05311</f>
        <v>4366357.8779419437</v>
      </c>
      <c r="N51">
        <v>2040</v>
      </c>
      <c r="O51" s="9">
        <f>[4]Annual!CD20/10</f>
        <v>6665226.6265625004</v>
      </c>
      <c r="P51" s="9">
        <f>[4]Annual!CE20/10</f>
        <v>5092414.263671875</v>
      </c>
      <c r="Q51" s="9">
        <f>[4]Annual!CF20/10</f>
        <v>5325104.0824218746</v>
      </c>
      <c r="R51" s="9">
        <f>[4]Annual!CG20/10</f>
        <v>3940541.1039062501</v>
      </c>
      <c r="S51" s="9">
        <f>[4]Annual!CH20/10</f>
        <v>4326074.2582031246</v>
      </c>
      <c r="T51" s="9">
        <f>[4]Annual!CI20/10</f>
        <v>3903711.3306640624</v>
      </c>
      <c r="U51" s="9">
        <f>[4]Annual!CJ20/10</f>
        <v>1885714.302734375</v>
      </c>
      <c r="V51" s="9">
        <f>[4]Annual!CK20/10</f>
        <v>5190258.080078125</v>
      </c>
      <c r="W51" s="9">
        <f>[4]Annual!CL20/10</f>
        <v>5190258.080078125</v>
      </c>
      <c r="X51" s="9">
        <f>[4]Annual!CM20/10</f>
        <v>5422744.3744140621</v>
      </c>
      <c r="Y51" s="9"/>
      <c r="Z51">
        <v>2040</v>
      </c>
      <c r="AA51" s="9">
        <f>([4]Annual!DH20)/10</f>
        <v>2475435.0095703127</v>
      </c>
      <c r="AB51" s="9">
        <f>([4]Annual!DI20)/10</f>
        <v>1826446.3958984376</v>
      </c>
      <c r="AC51" s="9">
        <f>([4]Annual!DJ20)/10</f>
        <v>1834957.09453125</v>
      </c>
      <c r="AD51" s="9">
        <f>([4]Annual!DK20)/10</f>
        <v>1575978.94609375</v>
      </c>
      <c r="AE51" s="9">
        <f>([4]Annual!DL20)/10</f>
        <v>1381084.2178710937</v>
      </c>
      <c r="AF51" s="9">
        <f>([4]Annual!DM20)/10</f>
        <v>1431751.0958007812</v>
      </c>
      <c r="AG51" s="9">
        <f>([4]Annual!DN20)/10</f>
        <v>697465.42861328123</v>
      </c>
      <c r="AH51" s="9">
        <f>([4]Annual!DO20)/10</f>
        <v>1846517.0978515625</v>
      </c>
      <c r="AI51" s="9">
        <f>([4]Annual!DP20)/10</f>
        <v>1846517.0978515625</v>
      </c>
      <c r="AJ51" s="9">
        <f>([4]Annual!DQ20)/10</f>
        <v>1877834.0962890624</v>
      </c>
      <c r="AL51">
        <v>2040</v>
      </c>
      <c r="AM51" s="9">
        <f>[4]Annual!FF20/10</f>
        <v>847865.58544921875</v>
      </c>
      <c r="AN51" s="9">
        <f>[4]Annual!FG20/10</f>
        <v>847865.58544921875</v>
      </c>
      <c r="AO51" s="9">
        <f>[4]Annual!FH20/10</f>
        <v>665123.3779296875</v>
      </c>
      <c r="AP51" s="9">
        <f>[4]Annual!FI20/10</f>
        <v>847865.58544921875</v>
      </c>
      <c r="AQ51" s="9">
        <f>[4]Annual!FJ20/10</f>
        <v>847865.58544921875</v>
      </c>
      <c r="AR51" s="9">
        <f>[4]Annual!FK20/10</f>
        <v>520831.71396484377</v>
      </c>
      <c r="AS51" s="9">
        <f>[4]Annual!FL20/10</f>
        <v>357314.78271484375</v>
      </c>
      <c r="AT51" s="9">
        <f>[4]Annual!FM20/10</f>
        <v>847865.58544921875</v>
      </c>
      <c r="AU51" s="9">
        <f>[4]Annual!FN20/10</f>
        <v>847865.58544921875</v>
      </c>
      <c r="AV51" s="9">
        <f>[4]Annual!FO20/10</f>
        <v>847865.58544921875</v>
      </c>
      <c r="AX51">
        <v>2040</v>
      </c>
      <c r="AY51" s="9">
        <f>[4]Annual!FP20/10</f>
        <v>1556292.08203125</v>
      </c>
      <c r="AZ51" s="9">
        <f>[4]Annual!FQ20/10</f>
        <v>1437937.7406250001</v>
      </c>
      <c r="BA51" s="9">
        <f>[4]Annual!FR20/10</f>
        <v>1319583.3689453125</v>
      </c>
      <c r="BB51" s="9">
        <f>[4]Annual!FS20/10</f>
        <v>1437937.7406250001</v>
      </c>
      <c r="BC51" s="9">
        <f>[4]Annual!FT20/10</f>
        <v>1437937.7406250001</v>
      </c>
      <c r="BD51" s="9">
        <f>[4]Annual!FU20/10</f>
        <v>883304.60429687495</v>
      </c>
      <c r="BE51" s="9">
        <f>[4]Annual!FV20/10</f>
        <v>605988.0540039062</v>
      </c>
      <c r="BF51" s="9">
        <f>[4]Annual!FW20/10</f>
        <v>1437937.7406250001</v>
      </c>
      <c r="BG51" s="9">
        <f>[4]Annual!FX20/10</f>
        <v>1437937.7406250001</v>
      </c>
      <c r="BH51" s="9">
        <f>[4]Annual!FY20/10</f>
        <v>1497114.90546875</v>
      </c>
    </row>
    <row r="52" spans="2:60" x14ac:dyDescent="0.25">
      <c r="B52">
        <v>2041</v>
      </c>
      <c r="C52" s="187">
        <f t="shared" si="11"/>
        <v>3763449.62109375</v>
      </c>
      <c r="D52" s="187">
        <f t="shared" si="12"/>
        <v>1381924.0287109376</v>
      </c>
      <c r="E52" s="187">
        <f t="shared" si="13"/>
        <v>495224.96171875001</v>
      </c>
      <c r="F52" s="187">
        <f t="shared" si="14"/>
        <v>838185.21074218745</v>
      </c>
      <c r="G52" s="187">
        <f t="shared" si="8"/>
        <v>2910613.2261718754</v>
      </c>
      <c r="H52" s="187">
        <f t="shared" si="9"/>
        <v>1101269.9470703122</v>
      </c>
      <c r="I52" s="187">
        <f t="shared" si="10"/>
        <v>340094.24462890619</v>
      </c>
      <c r="J52" s="187">
        <f t="shared" si="15"/>
        <v>698229.91855468764</v>
      </c>
      <c r="K52" s="9">
        <f>[4]Annual!$HZ21</f>
        <v>11528991.098046875</v>
      </c>
      <c r="L52" s="9">
        <f>'[5]Washington Emissions'!E34/0.05311</f>
        <v>4287763.4361389885</v>
      </c>
      <c r="N52">
        <v>2041</v>
      </c>
      <c r="O52" s="9">
        <f>[4]Annual!CD21/10</f>
        <v>6674062.8472656254</v>
      </c>
      <c r="P52" s="9">
        <f>[4]Annual!CE21/10</f>
        <v>5017738.7759765629</v>
      </c>
      <c r="Q52" s="9">
        <f>[4]Annual!CF21/10</f>
        <v>5235672.037109375</v>
      </c>
      <c r="R52" s="9">
        <f>[4]Annual!CG21/10</f>
        <v>3799914.0283203125</v>
      </c>
      <c r="S52" s="9">
        <f>[4]Annual!CH21/10</f>
        <v>4219110.9904296873</v>
      </c>
      <c r="T52" s="9">
        <f>[4]Annual!CI21/10</f>
        <v>3763449.62109375</v>
      </c>
      <c r="U52" s="9">
        <f>[4]Annual!CJ21/10</f>
        <v>1661455.6462890625</v>
      </c>
      <c r="V52" s="9">
        <f>[4]Annual!CK21/10</f>
        <v>5114048.5302734375</v>
      </c>
      <c r="W52" s="9">
        <f>[4]Annual!CL21/10</f>
        <v>5114048.5302734375</v>
      </c>
      <c r="X52" s="9">
        <f>[4]Annual!CM21/10</f>
        <v>5357409.0785156246</v>
      </c>
      <c r="Y52" s="9"/>
      <c r="Z52">
        <v>2041</v>
      </c>
      <c r="AA52" s="9">
        <f>([4]Annual!DH21)/10</f>
        <v>2483193.9757812498</v>
      </c>
      <c r="AB52" s="9">
        <f>([4]Annual!DI21)/10</f>
        <v>1817648.4310546876</v>
      </c>
      <c r="AC52" s="9">
        <f>([4]Annual!DJ21)/10</f>
        <v>1825207.3595703125</v>
      </c>
      <c r="AD52" s="9">
        <f>([4]Annual!DK21)/10</f>
        <v>1553900.4083984375</v>
      </c>
      <c r="AE52" s="9">
        <f>([4]Annual!DL21)/10</f>
        <v>1349242.2836914063</v>
      </c>
      <c r="AF52" s="9">
        <f>([4]Annual!DM21)/10</f>
        <v>1381924.0287109376</v>
      </c>
      <c r="AG52" s="9">
        <f>([4]Annual!DN21)/10</f>
        <v>616220.3278320313</v>
      </c>
      <c r="AH52" s="9">
        <f>([4]Annual!DO21)/10</f>
        <v>1837380.4041015625</v>
      </c>
      <c r="AI52" s="9">
        <f>([4]Annual!DP21)/10</f>
        <v>1837380.4041015625</v>
      </c>
      <c r="AJ52" s="9">
        <f>([4]Annual!DQ21)/10</f>
        <v>1870521.4255859375</v>
      </c>
      <c r="AL52">
        <v>2041</v>
      </c>
      <c r="AM52" s="9">
        <f>[4]Annual!FF21/10</f>
        <v>835319.2063476562</v>
      </c>
      <c r="AN52" s="9">
        <f>[4]Annual!FG21/10</f>
        <v>835319.2063476562</v>
      </c>
      <c r="AO52" s="9">
        <f>[4]Annual!FH21/10</f>
        <v>645967.92421874998</v>
      </c>
      <c r="AP52" s="9">
        <f>[4]Annual!FI21/10</f>
        <v>835319.2063476562</v>
      </c>
      <c r="AQ52" s="9">
        <f>[4]Annual!FJ21/10</f>
        <v>835319.2063476562</v>
      </c>
      <c r="AR52" s="9">
        <f>[4]Annual!FK21/10</f>
        <v>495224.96171875001</v>
      </c>
      <c r="AS52" s="9">
        <f>[4]Annual!FL21/10</f>
        <v>325177.83388671873</v>
      </c>
      <c r="AT52" s="9">
        <f>[4]Annual!FM21/10</f>
        <v>835319.2063476562</v>
      </c>
      <c r="AU52" s="9">
        <f>[4]Annual!FN21/10</f>
        <v>835319.2063476562</v>
      </c>
      <c r="AV52" s="9">
        <f>[4]Annual!FO21/10</f>
        <v>835319.2063476562</v>
      </c>
      <c r="AX52">
        <v>2041</v>
      </c>
      <c r="AY52" s="9">
        <f>[4]Annual!FP21/10</f>
        <v>1536415.1292968751</v>
      </c>
      <c r="AZ52" s="9">
        <f>[4]Annual!FQ21/10</f>
        <v>1413806.389453125</v>
      </c>
      <c r="BA52" s="9">
        <f>[4]Annual!FR21/10</f>
        <v>1291197.6263671876</v>
      </c>
      <c r="BB52" s="9">
        <f>[4]Annual!FS21/10</f>
        <v>1413806.389453125</v>
      </c>
      <c r="BC52" s="9">
        <f>[4]Annual!FT21/10</f>
        <v>1413806.389453125</v>
      </c>
      <c r="BD52" s="9">
        <f>[4]Annual!FU21/10</f>
        <v>838185.21074218745</v>
      </c>
      <c r="BE52" s="9">
        <f>[4]Annual!FV21/10</f>
        <v>550374.62392578123</v>
      </c>
      <c r="BF52" s="9">
        <f>[4]Annual!FW21/10</f>
        <v>1413806.389453125</v>
      </c>
      <c r="BG52" s="9">
        <f>[4]Annual!FX21/10</f>
        <v>1413806.389453125</v>
      </c>
      <c r="BH52" s="9">
        <f>[4]Annual!FY21/10</f>
        <v>1475110.75078125</v>
      </c>
    </row>
    <row r="53" spans="2:60" x14ac:dyDescent="0.25">
      <c r="B53">
        <v>2042</v>
      </c>
      <c r="C53" s="187">
        <f t="shared" si="11"/>
        <v>3647955.1589843752</v>
      </c>
      <c r="D53" s="187">
        <f t="shared" si="12"/>
        <v>1340392.9826171875</v>
      </c>
      <c r="E53" s="187">
        <f t="shared" si="13"/>
        <v>474550.04326171876</v>
      </c>
      <c r="F53" s="187">
        <f t="shared" si="14"/>
        <v>799371.14218750002</v>
      </c>
      <c r="G53" s="187">
        <f t="shared" si="8"/>
        <v>3075632.4031250002</v>
      </c>
      <c r="H53" s="187">
        <f t="shared" si="9"/>
        <v>1163726.66875</v>
      </c>
      <c r="I53" s="187">
        <f t="shared" si="10"/>
        <v>355912.53017578128</v>
      </c>
      <c r="J53" s="187">
        <f t="shared" si="15"/>
        <v>726815.42695312493</v>
      </c>
      <c r="K53" s="9">
        <f>[4]Annual!$HZ22</f>
        <v>11584356.344140625</v>
      </c>
      <c r="L53" s="9">
        <f>'[5]Washington Emissions'!E35/0.05311</f>
        <v>4210583.6942884866</v>
      </c>
      <c r="N53">
        <v>2042</v>
      </c>
      <c r="O53" s="9">
        <f>[4]Annual!CD22/10</f>
        <v>6723587.5621093754</v>
      </c>
      <c r="P53" s="9">
        <f>[4]Annual!CE22/10</f>
        <v>4984253.0236328123</v>
      </c>
      <c r="Q53" s="9">
        <f>[4]Annual!CF22/10</f>
        <v>5186568.7900390625</v>
      </c>
      <c r="R53" s="9">
        <f>[4]Annual!CG22/10</f>
        <v>3701342.6123046875</v>
      </c>
      <c r="S53" s="9">
        <f>[4]Annual!CH22/10</f>
        <v>4144040.1746093752</v>
      </c>
      <c r="T53" s="9">
        <f>[4]Annual!CI22/10</f>
        <v>3647955.1589843752</v>
      </c>
      <c r="U53" s="9">
        <f>[4]Annual!CJ22/10</f>
        <v>1450517.986328125</v>
      </c>
      <c r="V53" s="9">
        <f>[4]Annual!CK22/10</f>
        <v>5079148.9384765625</v>
      </c>
      <c r="W53" s="9">
        <f>[4]Annual!CL22/10</f>
        <v>5079148.9384765625</v>
      </c>
      <c r="X53" s="9">
        <f>[4]Annual!CM22/10</f>
        <v>5333643.0980468746</v>
      </c>
      <c r="Y53" s="9"/>
      <c r="Z53">
        <v>2042</v>
      </c>
      <c r="AA53" s="9">
        <f>([4]Annual!DH22)/10</f>
        <v>2504119.6513671875</v>
      </c>
      <c r="AB53" s="9">
        <f>([4]Annual!DI22)/10</f>
        <v>1822070.24296875</v>
      </c>
      <c r="AC53" s="9">
        <f>([4]Annual!DJ22)/10</f>
        <v>1828652.20390625</v>
      </c>
      <c r="AD53" s="9">
        <f>([4]Annual!DK22)/10</f>
        <v>1545276.919921875</v>
      </c>
      <c r="AE53" s="9">
        <f>([4]Annual!DL22)/10</f>
        <v>1328047.1116210937</v>
      </c>
      <c r="AF53" s="9">
        <f>([4]Annual!DM22)/10</f>
        <v>1340392.9826171875</v>
      </c>
      <c r="AG53" s="9">
        <f>([4]Annual!DN22)/10</f>
        <v>539313.28959960933</v>
      </c>
      <c r="AH53" s="9">
        <f>([4]Annual!DO22)/10</f>
        <v>1841495.852734375</v>
      </c>
      <c r="AI53" s="9">
        <f>([4]Annual!DP22)/10</f>
        <v>1841495.852734375</v>
      </c>
      <c r="AJ53" s="9">
        <f>([4]Annual!DQ22)/10</f>
        <v>1876689.010546875</v>
      </c>
      <c r="AL53">
        <v>2042</v>
      </c>
      <c r="AM53" s="9">
        <f>[4]Annual!FF22/10</f>
        <v>830462.57343750005</v>
      </c>
      <c r="AN53" s="9">
        <f>[4]Annual!FG22/10</f>
        <v>830462.57343750005</v>
      </c>
      <c r="AO53" s="9">
        <f>[4]Annual!FH22/10</f>
        <v>633495.2112304687</v>
      </c>
      <c r="AP53" s="9">
        <f>[4]Annual!FI22/10</f>
        <v>830462.57343750005</v>
      </c>
      <c r="AQ53" s="9">
        <f>[4]Annual!FJ22/10</f>
        <v>830462.57343750005</v>
      </c>
      <c r="AR53" s="9">
        <f>[4]Annual!FK22/10</f>
        <v>474550.04326171876</v>
      </c>
      <c r="AS53" s="9">
        <f>[4]Annual!FL22/10</f>
        <v>296593.77709960938</v>
      </c>
      <c r="AT53" s="9">
        <f>[4]Annual!FM22/10</f>
        <v>830462.57343750005</v>
      </c>
      <c r="AU53" s="9">
        <f>[4]Annual!FN22/10</f>
        <v>830462.57343750005</v>
      </c>
      <c r="AV53" s="9">
        <f>[4]Annual!FO22/10</f>
        <v>830462.57343750005</v>
      </c>
      <c r="AX53">
        <v>2042</v>
      </c>
      <c r="AY53" s="9">
        <f>[4]Annual!FP22/10</f>
        <v>1526186.569140625</v>
      </c>
      <c r="AZ53" s="9">
        <f>[4]Annual!FQ22/10</f>
        <v>1398899.505078125</v>
      </c>
      <c r="BA53" s="9">
        <f>[4]Annual!FR22/10</f>
        <v>1271612.4291015626</v>
      </c>
      <c r="BB53" s="9">
        <f>[4]Annual!FS22/10</f>
        <v>1398899.505078125</v>
      </c>
      <c r="BC53" s="9">
        <f>[4]Annual!FT22/10</f>
        <v>1398899.505078125</v>
      </c>
      <c r="BD53" s="9">
        <f>[4]Annual!FU22/10</f>
        <v>799371.14218750002</v>
      </c>
      <c r="BE53" s="9">
        <f>[4]Annual!FV22/10</f>
        <v>499606.96660156251</v>
      </c>
      <c r="BF53" s="9">
        <f>[4]Annual!FW22/10</f>
        <v>1398899.505078125</v>
      </c>
      <c r="BG53" s="9">
        <f>[4]Annual!FX22/10</f>
        <v>1398899.505078125</v>
      </c>
      <c r="BH53" s="9">
        <f>[4]Annual!FY22/10</f>
        <v>1462543.0546875</v>
      </c>
    </row>
    <row r="54" spans="2:60" x14ac:dyDescent="0.25">
      <c r="B54">
        <v>2043</v>
      </c>
      <c r="C54" s="187">
        <f t="shared" si="11"/>
        <v>3533148.5003906251</v>
      </c>
      <c r="D54" s="187">
        <f t="shared" si="12"/>
        <v>1299095.4606445313</v>
      </c>
      <c r="E54" s="187">
        <f t="shared" si="13"/>
        <v>454096.03012695315</v>
      </c>
      <c r="F54" s="187">
        <f t="shared" si="14"/>
        <v>761395.13027343748</v>
      </c>
      <c r="G54" s="187">
        <f t="shared" si="8"/>
        <v>3239284.5644531245</v>
      </c>
      <c r="H54" s="187">
        <f t="shared" si="9"/>
        <v>1226164.6844726561</v>
      </c>
      <c r="I54" s="187">
        <f t="shared" si="10"/>
        <v>371533.09487304685</v>
      </c>
      <c r="J54" s="187">
        <f t="shared" si="15"/>
        <v>754622.91464843752</v>
      </c>
      <c r="K54" s="9">
        <f>[4]Annual!$HZ23</f>
        <v>11639340.499609375</v>
      </c>
      <c r="L54" s="9">
        <f>'[5]Washington Emissions'!E36/0.05311</f>
        <v>4101108.5182369859</v>
      </c>
      <c r="N54">
        <v>2043</v>
      </c>
      <c r="O54" s="9">
        <f>[4]Annual!CD23/10</f>
        <v>6772433.0648437496</v>
      </c>
      <c r="P54" s="9">
        <f>[4]Annual!CE23/10</f>
        <v>4954503.203125</v>
      </c>
      <c r="Q54" s="9">
        <f>[4]Annual!CF23/10</f>
        <v>5142430.8751953123</v>
      </c>
      <c r="R54" s="9">
        <f>[4]Annual!CG23/10</f>
        <v>3606406.0138671873</v>
      </c>
      <c r="S54" s="9">
        <f>[4]Annual!CH23/10</f>
        <v>4071034.4054687498</v>
      </c>
      <c r="T54" s="9">
        <f>[4]Annual!CI23/10</f>
        <v>3533148.5003906251</v>
      </c>
      <c r="U54" s="9">
        <f>[4]Annual!CJ23/10</f>
        <v>1240985.444482422</v>
      </c>
      <c r="V54" s="9">
        <f>[4]Annual!CK23/10</f>
        <v>5048091.4812500002</v>
      </c>
      <c r="W54" s="9">
        <f>[4]Annual!CL23/10</f>
        <v>5048091.4812500002</v>
      </c>
      <c r="X54" s="9">
        <f>[4]Annual!CM23/10</f>
        <v>5312975.7966796877</v>
      </c>
      <c r="Y54" s="9"/>
      <c r="Z54">
        <v>2043</v>
      </c>
      <c r="AA54" s="9">
        <f>([4]Annual!DH23)/10</f>
        <v>2525260.1451171874</v>
      </c>
      <c r="AB54" s="9">
        <f>([4]Annual!DI23)/10</f>
        <v>1829036.3943359375</v>
      </c>
      <c r="AC54" s="9">
        <f>([4]Annual!DJ23)/10</f>
        <v>1834976.00703125</v>
      </c>
      <c r="AD54" s="9">
        <f>([4]Annual!DK23)/10</f>
        <v>1539155.8322265625</v>
      </c>
      <c r="AE54" s="9">
        <f>([4]Annual!DL23)/10</f>
        <v>1308505.0001953125</v>
      </c>
      <c r="AF54" s="9">
        <f>([4]Annual!DM23)/10</f>
        <v>1299095.4606445313</v>
      </c>
      <c r="AG54" s="9">
        <f>([4]Annual!DN23)/10</f>
        <v>462884.69809570315</v>
      </c>
      <c r="AH54" s="9">
        <f>([4]Annual!DO23)/10</f>
        <v>1848180.8021484376</v>
      </c>
      <c r="AI54" s="9">
        <f>([4]Annual!DP23)/10</f>
        <v>1848180.8021484376</v>
      </c>
      <c r="AJ54" s="9">
        <f>([4]Annual!DQ23)/10</f>
        <v>1885334.7091796875</v>
      </c>
      <c r="AL54">
        <v>2043</v>
      </c>
      <c r="AM54" s="9">
        <f>[4]Annual!FF23/10</f>
        <v>825629.125</v>
      </c>
      <c r="AN54" s="9">
        <f>[4]Annual!FG23/10</f>
        <v>825629.125</v>
      </c>
      <c r="AO54" s="9">
        <f>[4]Annual!FH23/10</f>
        <v>621139.42578125</v>
      </c>
      <c r="AP54" s="9">
        <f>[4]Annual!FI23/10</f>
        <v>825629.125</v>
      </c>
      <c r="AQ54" s="9">
        <f>[4]Annual!FJ23/10</f>
        <v>825629.125</v>
      </c>
      <c r="AR54" s="9">
        <f>[4]Annual!FK23/10</f>
        <v>454096.03012695315</v>
      </c>
      <c r="AS54" s="9">
        <f>[4]Annual!FL23/10</f>
        <v>268329.46525878907</v>
      </c>
      <c r="AT54" s="9">
        <f>[4]Annual!FM23/10</f>
        <v>825629.125</v>
      </c>
      <c r="AU54" s="9">
        <f>[4]Annual!FN23/10</f>
        <v>825629.125</v>
      </c>
      <c r="AV54" s="9">
        <f>[4]Annual!FO23/10</f>
        <v>825629.125</v>
      </c>
      <c r="AX54">
        <v>2043</v>
      </c>
      <c r="AY54" s="9">
        <f>[4]Annual!FP23/10</f>
        <v>1516018.044921875</v>
      </c>
      <c r="AZ54" s="9">
        <f>[4]Annual!FQ23/10</f>
        <v>1384354.7730468749</v>
      </c>
      <c r="BA54" s="9">
        <f>[4]Annual!FR23/10</f>
        <v>1252691.51875</v>
      </c>
      <c r="BB54" s="9">
        <f>[4]Annual!FS23/10</f>
        <v>1384354.7730468749</v>
      </c>
      <c r="BC54" s="9">
        <f>[4]Annual!FT23/10</f>
        <v>1384354.7730468749</v>
      </c>
      <c r="BD54" s="9">
        <f>[4]Annual!FU23/10</f>
        <v>761395.13027343748</v>
      </c>
      <c r="BE54" s="9">
        <f>[4]Annual!FV23/10</f>
        <v>449915.30292968749</v>
      </c>
      <c r="BF54" s="9">
        <f>[4]Annual!FW23/10</f>
        <v>1384354.7730468749</v>
      </c>
      <c r="BG54" s="9">
        <f>[4]Annual!FX23/10</f>
        <v>1384354.7730468749</v>
      </c>
      <c r="BH54" s="9">
        <f>[4]Annual!FY23/10</f>
        <v>1450186.412109375</v>
      </c>
    </row>
    <row r="55" spans="2:60" x14ac:dyDescent="0.25">
      <c r="B55">
        <v>2044</v>
      </c>
      <c r="C55" s="187">
        <f t="shared" si="11"/>
        <v>3440335.21875</v>
      </c>
      <c r="D55" s="187">
        <f t="shared" si="12"/>
        <v>1265144.8915039063</v>
      </c>
      <c r="E55" s="187">
        <f t="shared" si="13"/>
        <v>437478.29453125002</v>
      </c>
      <c r="F55" s="187">
        <f t="shared" si="14"/>
        <v>728689.87617187505</v>
      </c>
      <c r="G55" s="187">
        <f t="shared" si="8"/>
        <v>3423111.9304687502</v>
      </c>
      <c r="H55" s="187">
        <f t="shared" si="9"/>
        <v>1294672.5038085938</v>
      </c>
      <c r="I55" s="187">
        <f t="shared" si="10"/>
        <v>390183.34072265623</v>
      </c>
      <c r="J55" s="187">
        <f t="shared" si="15"/>
        <v>786570.51328124991</v>
      </c>
      <c r="K55" s="9">
        <f>[4]Annual!$HZ24</f>
        <v>11766186.651171874</v>
      </c>
      <c r="L55" s="9">
        <f>'[5]Washington Emissions'!E37/0.05311</f>
        <v>3994479.6967628244</v>
      </c>
      <c r="N55">
        <v>2044</v>
      </c>
      <c r="O55" s="9">
        <f>[4]Annual!CD24/10</f>
        <v>6863447.1492187502</v>
      </c>
      <c r="P55" s="9">
        <f>[4]Annual!CE24/10</f>
        <v>4959326.0480468748</v>
      </c>
      <c r="Q55" s="9">
        <f>[4]Annual!CF24/10</f>
        <v>5131790.6937499996</v>
      </c>
      <c r="R55" s="9">
        <f>[4]Annual!CG24/10</f>
        <v>3550429.1005859375</v>
      </c>
      <c r="S55" s="9">
        <f>[4]Annual!CH24/10</f>
        <v>4026438.3662109375</v>
      </c>
      <c r="T55" s="9">
        <f>[4]Annual!CI24/10</f>
        <v>3440335.21875</v>
      </c>
      <c r="U55" s="9">
        <f>[4]Annual!CJ24/10</f>
        <v>1039638.7850585937</v>
      </c>
      <c r="V55" s="9">
        <f>[4]Annual!CK24/10</f>
        <v>5051580.8562500002</v>
      </c>
      <c r="W55" s="9">
        <f>[4]Annual!CL24/10</f>
        <v>5051580.8562500002</v>
      </c>
      <c r="X55" s="9">
        <f>[4]Annual!CM24/10</f>
        <v>5328588.8644531248</v>
      </c>
      <c r="Y55" s="9"/>
      <c r="Z55">
        <v>2044</v>
      </c>
      <c r="AA55" s="9">
        <f>([4]Annual!DH24)/10</f>
        <v>2559817.3953125002</v>
      </c>
      <c r="AB55" s="9">
        <f>([4]Annual!DI24)/10</f>
        <v>1846215.0892578126</v>
      </c>
      <c r="AC55" s="9">
        <f>([4]Annual!DJ24)/10</f>
        <v>1850925.0642578125</v>
      </c>
      <c r="AD55" s="9">
        <f>([4]Annual!DK24)/10</f>
        <v>1543867.5712890625</v>
      </c>
      <c r="AE55" s="9">
        <f>([4]Annual!DL24)/10</f>
        <v>1297388.4651367187</v>
      </c>
      <c r="AF55" s="9">
        <f>([4]Annual!DM24)/10</f>
        <v>1265144.8915039063</v>
      </c>
      <c r="AG55" s="9">
        <f>([4]Annual!DN24)/10</f>
        <v>389015.67041015625</v>
      </c>
      <c r="AH55" s="9">
        <f>([4]Annual!DO24)/10</f>
        <v>1865083.5298828124</v>
      </c>
      <c r="AI55" s="9">
        <f>([4]Annual!DP24)/10</f>
        <v>1865083.5298828124</v>
      </c>
      <c r="AJ55" s="9">
        <f>([4]Annual!DQ24)/10</f>
        <v>1904501.4787109375</v>
      </c>
      <c r="AL55">
        <v>2044</v>
      </c>
      <c r="AM55" s="9">
        <f>[4]Annual!FF24/10</f>
        <v>827661.63525390625</v>
      </c>
      <c r="AN55" s="9">
        <f>[4]Annual!FG24/10</f>
        <v>827661.63525390625</v>
      </c>
      <c r="AO55" s="9">
        <f>[4]Annual!FH24/10</f>
        <v>613983.75019531255</v>
      </c>
      <c r="AP55" s="9">
        <f>[4]Annual!FI24/10</f>
        <v>827661.63525390625</v>
      </c>
      <c r="AQ55" s="9">
        <f>[4]Annual!FJ24/10</f>
        <v>827661.63525390625</v>
      </c>
      <c r="AR55" s="9">
        <f>[4]Annual!FK24/10</f>
        <v>437478.29453125002</v>
      </c>
      <c r="AS55" s="9">
        <f>[4]Annual!FL24/10</f>
        <v>242386.62084960938</v>
      </c>
      <c r="AT55" s="9">
        <f>[4]Annual!FM24/10</f>
        <v>827661.63525390625</v>
      </c>
      <c r="AU55" s="9">
        <f>[4]Annual!FN24/10</f>
        <v>827661.63525390625</v>
      </c>
      <c r="AV55" s="9">
        <f>[4]Annual!FO24/10</f>
        <v>827661.63525390625</v>
      </c>
      <c r="AX55">
        <v>2044</v>
      </c>
      <c r="AY55" s="9">
        <f>[4]Annual!FP24/10</f>
        <v>1515260.389453125</v>
      </c>
      <c r="AZ55" s="9">
        <f>[4]Annual!FQ24/10</f>
        <v>1378602.46171875</v>
      </c>
      <c r="BA55" s="9">
        <f>[4]Annual!FR24/10</f>
        <v>1241944.5630859374</v>
      </c>
      <c r="BB55" s="9">
        <f>[4]Annual!FS24/10</f>
        <v>1378602.46171875</v>
      </c>
      <c r="BC55" s="9">
        <f>[4]Annual!FT24/10</f>
        <v>1378602.46171875</v>
      </c>
      <c r="BD55" s="9">
        <f>[4]Annual!FU24/10</f>
        <v>728689.87617187505</v>
      </c>
      <c r="BE55" s="9">
        <f>[4]Annual!FV24/10</f>
        <v>403733.58056640625</v>
      </c>
      <c r="BF55" s="9">
        <f>[4]Annual!FW24/10</f>
        <v>1378602.46171875</v>
      </c>
      <c r="BG55" s="9">
        <f>[4]Annual!FX24/10</f>
        <v>1378602.46171875</v>
      </c>
      <c r="BH55" s="9">
        <f>[4]Annual!FY24/10</f>
        <v>1446931.4375</v>
      </c>
    </row>
    <row r="56" spans="2:60" x14ac:dyDescent="0.25">
      <c r="B56">
        <v>2045</v>
      </c>
      <c r="C56" s="187">
        <f t="shared" si="11"/>
        <v>3305495.7835937501</v>
      </c>
      <c r="D56" s="187">
        <f t="shared" si="12"/>
        <v>1217165.1557617188</v>
      </c>
      <c r="E56" s="187">
        <f t="shared" si="13"/>
        <v>413867.5650878906</v>
      </c>
      <c r="F56" s="187">
        <f t="shared" si="14"/>
        <v>689187.79140624998</v>
      </c>
      <c r="G56" s="187">
        <f t="shared" si="8"/>
        <v>3562353.8878906253</v>
      </c>
      <c r="H56" s="187">
        <f t="shared" si="9"/>
        <v>1350779.5592773436</v>
      </c>
      <c r="I56" s="187">
        <f t="shared" si="10"/>
        <v>402209.32270507817</v>
      </c>
      <c r="J56" s="187">
        <f t="shared" si="15"/>
        <v>806670.80273437512</v>
      </c>
      <c r="K56" s="9">
        <f>[4]Annual!$HZ25</f>
        <v>11747729.817578126</v>
      </c>
      <c r="L56" s="9">
        <f>'[5]Washington Emissions'!E38/0.05311</f>
        <v>3890623.2246469907</v>
      </c>
      <c r="N56">
        <v>2045</v>
      </c>
      <c r="O56" s="9">
        <f>[4]Annual!CD25/10</f>
        <v>6867849.6714843754</v>
      </c>
      <c r="P56" s="9">
        <f>[4]Annual!CE25/10</f>
        <v>4892553.8533203127</v>
      </c>
      <c r="Q56" s="9">
        <f>[4]Annual!CF25/10</f>
        <v>5054059.4177734377</v>
      </c>
      <c r="R56" s="9">
        <f>[4]Annual!CG25/10</f>
        <v>3420780.7271484374</v>
      </c>
      <c r="S56" s="9">
        <f>[4]Annual!CH25/10</f>
        <v>3927380.4314453127</v>
      </c>
      <c r="T56" s="9">
        <f>[4]Annual!CI25/10</f>
        <v>3305495.7835937501</v>
      </c>
      <c r="U56" s="9">
        <f>[4]Annual!CJ25/10</f>
        <v>826117.7884277344</v>
      </c>
      <c r="V56" s="9">
        <f>[4]Annual!CK25/10</f>
        <v>4983461.3376953127</v>
      </c>
      <c r="W56" s="9">
        <f>[4]Annual!CL25/10</f>
        <v>4983461.3376953127</v>
      </c>
      <c r="X56" s="9">
        <f>[4]Annual!CM25/10</f>
        <v>5267889.3390624998</v>
      </c>
      <c r="Y56" s="9"/>
      <c r="Z56">
        <v>2045</v>
      </c>
      <c r="AA56" s="9">
        <f>([4]Annual!DH25)/10</f>
        <v>2567944.7150390623</v>
      </c>
      <c r="AB56" s="9">
        <f>([4]Annual!DI25)/10</f>
        <v>1843275.5833984376</v>
      </c>
      <c r="AC56" s="9">
        <f>([4]Annual!DJ25)/10</f>
        <v>1847746.0513671874</v>
      </c>
      <c r="AD56" s="9">
        <f>([4]Annual!DK25)/10</f>
        <v>1527965.0236328125</v>
      </c>
      <c r="AE56" s="9">
        <f>([4]Annual!DL25)/10</f>
        <v>1270980.1606445313</v>
      </c>
      <c r="AF56" s="9">
        <f>([4]Annual!DM25)/10</f>
        <v>1217165.1557617188</v>
      </c>
      <c r="AG56" s="9">
        <f>([4]Annual!DN25)/10</f>
        <v>311458.48027343751</v>
      </c>
      <c r="AH56" s="9">
        <f>([4]Annual!DO25)/10</f>
        <v>1861868.9990234375</v>
      </c>
      <c r="AI56" s="9">
        <f>([4]Annual!DP25)/10</f>
        <v>1861868.9990234375</v>
      </c>
      <c r="AJ56" s="9">
        <f>([4]Annual!DQ25)/10</f>
        <v>1902638.0669921874</v>
      </c>
      <c r="AL56">
        <v>2045</v>
      </c>
      <c r="AM56" s="9">
        <f>[4]Annual!FF25/10</f>
        <v>816076.88779296877</v>
      </c>
      <c r="AN56" s="9">
        <f>[4]Annual!FG25/10</f>
        <v>816076.88779296877</v>
      </c>
      <c r="AO56" s="9">
        <f>[4]Annual!FH25/10</f>
        <v>596844.78505859373</v>
      </c>
      <c r="AP56" s="9">
        <f>[4]Annual!FI25/10</f>
        <v>816076.88779296877</v>
      </c>
      <c r="AQ56" s="9">
        <f>[4]Annual!FJ25/10</f>
        <v>816076.88779296877</v>
      </c>
      <c r="AR56" s="9">
        <f>[4]Annual!FK25/10</f>
        <v>413867.5650878906</v>
      </c>
      <c r="AS56" s="9">
        <f>[4]Annual!FL25/10</f>
        <v>212762.90085449218</v>
      </c>
      <c r="AT56" s="9">
        <f>[4]Annual!FM25/10</f>
        <v>816076.88779296877</v>
      </c>
      <c r="AU56" s="9">
        <f>[4]Annual!FN25/10</f>
        <v>816076.88779296877</v>
      </c>
      <c r="AV56" s="9">
        <f>[4]Annual!FO25/10</f>
        <v>816076.88779296877</v>
      </c>
      <c r="AX56">
        <v>2045</v>
      </c>
      <c r="AY56" s="9">
        <f>[4]Annual!FP25/10</f>
        <v>1495858.5941406251</v>
      </c>
      <c r="AZ56" s="9">
        <f>[4]Annual!FQ25/10</f>
        <v>1358961.8265625001</v>
      </c>
      <c r="BA56" s="9">
        <f>[4]Annual!FR25/10</f>
        <v>1222065.0826171874</v>
      </c>
      <c r="BB56" s="9">
        <f>[4]Annual!FS25/10</f>
        <v>1358961.8265625001</v>
      </c>
      <c r="BC56" s="9">
        <f>[4]Annual!FT25/10</f>
        <v>1358961.8265625001</v>
      </c>
      <c r="BD56" s="9">
        <f>[4]Annual!FU25/10</f>
        <v>689187.79140624998</v>
      </c>
      <c r="BE56" s="9">
        <f>[4]Annual!FV25/10</f>
        <v>354300.77089843748</v>
      </c>
      <c r="BF56" s="9">
        <f>[4]Annual!FW25/10</f>
        <v>1358961.8265625001</v>
      </c>
      <c r="BG56" s="9">
        <f>[4]Annual!FX25/10</f>
        <v>1358961.8265625001</v>
      </c>
      <c r="BH56" s="9">
        <f>[4]Annual!FY25/10</f>
        <v>1427410.19921875</v>
      </c>
    </row>
    <row r="57" spans="2:60" x14ac:dyDescent="0.25">
      <c r="B57">
        <v>2046</v>
      </c>
      <c r="C57" s="187">
        <f t="shared" si="11"/>
        <v>3192810.4310546876</v>
      </c>
      <c r="D57" s="187">
        <f t="shared" si="12"/>
        <v>1176594.8965820312</v>
      </c>
      <c r="E57" s="187">
        <f t="shared" si="13"/>
        <v>394082.80673828127</v>
      </c>
      <c r="F57" s="187">
        <f t="shared" si="14"/>
        <v>654760.1555664062</v>
      </c>
      <c r="G57" s="187">
        <f t="shared" si="8"/>
        <v>3721927.2306640628</v>
      </c>
      <c r="H57" s="187">
        <f t="shared" si="9"/>
        <v>1412884.1581054688</v>
      </c>
      <c r="I57" s="187">
        <f t="shared" si="10"/>
        <v>417264.12714843743</v>
      </c>
      <c r="J57" s="187">
        <f t="shared" si="15"/>
        <v>831107.16708984389</v>
      </c>
      <c r="K57" s="9">
        <f>[4]Annual!$HZ26</f>
        <v>11801430.981249999</v>
      </c>
      <c r="L57" s="9">
        <f>'[5]Washington Emissions'!E39/0.05311</f>
        <v>3789467.0208061687</v>
      </c>
      <c r="N57">
        <v>2046</v>
      </c>
      <c r="O57" s="9">
        <f>[4]Annual!CD26/10</f>
        <v>6914737.6617187504</v>
      </c>
      <c r="P57" s="9">
        <f>[4]Annual!CE26/10</f>
        <v>4853016.2861328125</v>
      </c>
      <c r="Q57" s="9">
        <f>[4]Annual!CF26/10</f>
        <v>5008054.189453125</v>
      </c>
      <c r="R57" s="9">
        <f>[4]Annual!CG26/10</f>
        <v>3303493.9994140626</v>
      </c>
      <c r="S57" s="9">
        <f>[4]Annual!CH26/10</f>
        <v>3851740.3880859376</v>
      </c>
      <c r="T57" s="9">
        <f>[4]Annual!CI26/10</f>
        <v>3192810.4310546876</v>
      </c>
      <c r="U57" s="9">
        <f>[4]Annual!CJ26/10</f>
        <v>644668.04069824214</v>
      </c>
      <c r="V57" s="9">
        <f>[4]Annual!CK26/10</f>
        <v>4943441.6212890623</v>
      </c>
      <c r="W57" s="9">
        <f>[4]Annual!CL26/10</f>
        <v>4943441.6212890623</v>
      </c>
      <c r="X57" s="9">
        <f>[4]Annual!CM26/10</f>
        <v>5236256.0798828127</v>
      </c>
      <c r="Y57" s="9"/>
      <c r="Z57">
        <v>2046</v>
      </c>
      <c r="AA57" s="9">
        <f>([4]Annual!DH26)/10</f>
        <v>2589479.0546875</v>
      </c>
      <c r="AB57" s="9">
        <f>([4]Annual!DI26)/10</f>
        <v>1849612.41796875</v>
      </c>
      <c r="AC57" s="9">
        <f>([4]Annual!DJ26)/10</f>
        <v>1854486.7718750001</v>
      </c>
      <c r="AD57" s="9">
        <f>([4]Annual!DK26)/10</f>
        <v>1517664.6851562499</v>
      </c>
      <c r="AE57" s="9">
        <f>([4]Annual!DL26)/10</f>
        <v>1251912.3865234375</v>
      </c>
      <c r="AF57" s="9">
        <f>([4]Annual!DM26)/10</f>
        <v>1176594.8965820312</v>
      </c>
      <c r="AG57" s="9">
        <f>([4]Annual!DN26)/10</f>
        <v>245312.02485351561</v>
      </c>
      <c r="AH57" s="9">
        <f>([4]Annual!DO26)/10</f>
        <v>1868138.85859375</v>
      </c>
      <c r="AI57" s="9">
        <f>([4]Annual!DP26)/10</f>
        <v>1868138.85859375</v>
      </c>
      <c r="AJ57" s="9">
        <f>([4]Annual!DQ26)/10</f>
        <v>1910471.397265625</v>
      </c>
      <c r="AL57">
        <v>2046</v>
      </c>
      <c r="AM57" s="9">
        <f>[4]Annual!FF26/10</f>
        <v>811346.9338867187</v>
      </c>
      <c r="AN57" s="9">
        <f>[4]Annual!FG26/10</f>
        <v>811346.9338867187</v>
      </c>
      <c r="AO57" s="9">
        <f>[4]Annual!FH26/10</f>
        <v>584886.48378906248</v>
      </c>
      <c r="AP57" s="9">
        <f>[4]Annual!FI26/10</f>
        <v>811346.9338867187</v>
      </c>
      <c r="AQ57" s="9">
        <f>[4]Annual!FJ26/10</f>
        <v>811346.9338867187</v>
      </c>
      <c r="AR57" s="9">
        <f>[4]Annual!FK26/10</f>
        <v>394082.80673828127</v>
      </c>
      <c r="AS57" s="9">
        <f>[4]Annual!FL26/10</f>
        <v>185450.73149414064</v>
      </c>
      <c r="AT57" s="9">
        <f>[4]Annual!FM26/10</f>
        <v>811346.9338867187</v>
      </c>
      <c r="AU57" s="9">
        <f>[4]Annual!FN26/10</f>
        <v>811346.9338867187</v>
      </c>
      <c r="AV57" s="9">
        <f>[4]Annual!FO26/10</f>
        <v>811346.9338867187</v>
      </c>
      <c r="AX57">
        <v>2046</v>
      </c>
      <c r="AY57" s="9">
        <f>[4]Annual!FP26/10</f>
        <v>1485867.3226562501</v>
      </c>
      <c r="AZ57" s="9">
        <f>[4]Annual!FQ26/10</f>
        <v>1348035.6382812499</v>
      </c>
      <c r="BA57" s="9">
        <f>[4]Annual!FR26/10</f>
        <v>1210203.9427734376</v>
      </c>
      <c r="BB57" s="9">
        <f>[4]Annual!FS26/10</f>
        <v>1348035.6382812499</v>
      </c>
      <c r="BC57" s="9">
        <f>[4]Annual!FT26/10</f>
        <v>1348035.6382812499</v>
      </c>
      <c r="BD57" s="9">
        <f>[4]Annual!FU26/10</f>
        <v>654760.1555664062</v>
      </c>
      <c r="BE57" s="9">
        <f>[4]Annual!FV26/10</f>
        <v>308122.42885742185</v>
      </c>
      <c r="BF57" s="9">
        <f>[4]Annual!FW26/10</f>
        <v>1348035.6382812499</v>
      </c>
      <c r="BG57" s="9">
        <f>[4]Annual!FX26/10</f>
        <v>1348035.6382812499</v>
      </c>
      <c r="BH57" s="9">
        <f>[4]Annual!FY26/10</f>
        <v>1416951.471484375</v>
      </c>
    </row>
    <row r="58" spans="2:60" x14ac:dyDescent="0.25">
      <c r="B58">
        <v>2047</v>
      </c>
      <c r="C58" s="187">
        <f t="shared" si="11"/>
        <v>3080654.8343750001</v>
      </c>
      <c r="D58" s="187">
        <f t="shared" si="12"/>
        <v>1136225.517578125</v>
      </c>
      <c r="E58" s="187">
        <f t="shared" si="13"/>
        <v>374522.4651855469</v>
      </c>
      <c r="F58" s="187">
        <f t="shared" si="14"/>
        <v>620914.3118164062</v>
      </c>
      <c r="G58" s="187">
        <f t="shared" si="8"/>
        <v>3879942.7515624999</v>
      </c>
      <c r="H58" s="187">
        <f t="shared" si="9"/>
        <v>1474762.767578125</v>
      </c>
      <c r="I58" s="187">
        <f t="shared" si="10"/>
        <v>432141.3053222656</v>
      </c>
      <c r="J58" s="187">
        <f t="shared" si="15"/>
        <v>855020.11279296875</v>
      </c>
      <c r="K58" s="9">
        <f>[4]Annual!$HZ27</f>
        <v>11854184.005078126</v>
      </c>
      <c r="L58" s="9">
        <f>'[5]Washington Emissions'!E40/0.05311</f>
        <v>3690940.8782652076</v>
      </c>
      <c r="N58">
        <v>2047</v>
      </c>
      <c r="O58" s="9">
        <f>[4]Annual!CD27/10</f>
        <v>6960597.5859375</v>
      </c>
      <c r="P58" s="9">
        <f>[4]Annual!CE27/10</f>
        <v>4813120.3136718748</v>
      </c>
      <c r="Q58" s="9">
        <f>[4]Annual!CF27/10</f>
        <v>4963283.0912109371</v>
      </c>
      <c r="R58" s="9">
        <f>[4]Annual!CG27/10</f>
        <v>3186831.1234375001</v>
      </c>
      <c r="S58" s="9">
        <f>[4]Annual!CH27/10</f>
        <v>3776585.9357421873</v>
      </c>
      <c r="T58" s="9">
        <f>[4]Annual!CI27/10</f>
        <v>3080654.8343750001</v>
      </c>
      <c r="U58" s="9">
        <f>[4]Annual!CJ27/10</f>
        <v>562329.39545898442</v>
      </c>
      <c r="V58" s="9">
        <f>[4]Annual!CK27/10</f>
        <v>4903056.3550781254</v>
      </c>
      <c r="W58" s="9">
        <f>[4]Annual!CL27/10</f>
        <v>4903056.3550781254</v>
      </c>
      <c r="X58" s="9">
        <f>[4]Annual!CM27/10</f>
        <v>5203845.7414062498</v>
      </c>
      <c r="Y58" s="9"/>
      <c r="Z58">
        <v>2047</v>
      </c>
      <c r="AA58" s="9">
        <f>([4]Annual!DH27)/10</f>
        <v>2610988.28515625</v>
      </c>
      <c r="AB58" s="9">
        <f>([4]Annual!DI27)/10</f>
        <v>1855981.7013671875</v>
      </c>
      <c r="AC58" s="9">
        <f>([4]Annual!DJ27)/10</f>
        <v>1861261.0271484375</v>
      </c>
      <c r="AD58" s="9">
        <f>([4]Annual!DK27)/10</f>
        <v>1507448.3923828125</v>
      </c>
      <c r="AE58" s="9">
        <f>([4]Annual!DL27)/10</f>
        <v>1233233.1173828125</v>
      </c>
      <c r="AF58" s="9">
        <f>([4]Annual!DM27)/10</f>
        <v>1136225.517578125</v>
      </c>
      <c r="AG58" s="9">
        <f>([4]Annual!DN27)/10</f>
        <v>215706.63730468749</v>
      </c>
      <c r="AH58" s="9">
        <f>([4]Annual!DO27)/10</f>
        <v>1874440.9349609376</v>
      </c>
      <c r="AI58" s="9">
        <f>([4]Annual!DP27)/10</f>
        <v>1874440.9349609376</v>
      </c>
      <c r="AJ58" s="9">
        <f>([4]Annual!DQ27)/10</f>
        <v>1918233.9943359375</v>
      </c>
      <c r="AL58">
        <v>2047</v>
      </c>
      <c r="AM58" s="9">
        <f>[4]Annual!FF27/10</f>
        <v>806663.7705078125</v>
      </c>
      <c r="AN58" s="9">
        <f>[4]Annual!FG27/10</f>
        <v>806663.7705078125</v>
      </c>
      <c r="AO58" s="9">
        <f>[4]Annual!FH27/10</f>
        <v>573076.34482421877</v>
      </c>
      <c r="AP58" s="9">
        <f>[4]Annual!FI27/10</f>
        <v>806663.7705078125</v>
      </c>
      <c r="AQ58" s="9">
        <f>[4]Annual!FJ27/10</f>
        <v>806663.7705078125</v>
      </c>
      <c r="AR58" s="9">
        <f>[4]Annual!FK27/10</f>
        <v>374522.4651855469</v>
      </c>
      <c r="AS58" s="9">
        <f>[4]Annual!FL27/10</f>
        <v>158451.81206054689</v>
      </c>
      <c r="AT58" s="9">
        <f>[4]Annual!FM27/10</f>
        <v>806663.7705078125</v>
      </c>
      <c r="AU58" s="9">
        <f>[4]Annual!FN27/10</f>
        <v>806663.7705078125</v>
      </c>
      <c r="AV58" s="9">
        <f>[4]Annual!FO27/10</f>
        <v>806663.7705078125</v>
      </c>
      <c r="AX58">
        <v>2047</v>
      </c>
      <c r="AY58" s="9">
        <f>[4]Annual!FP27/10</f>
        <v>1475934.424609375</v>
      </c>
      <c r="AZ58" s="9">
        <f>[4]Annual!FQ27/10</f>
        <v>1337353.880078125</v>
      </c>
      <c r="BA58" s="9">
        <f>[4]Annual!FR27/10</f>
        <v>1198773.3763671876</v>
      </c>
      <c r="BB58" s="9">
        <f>[4]Annual!FS27/10</f>
        <v>1337353.880078125</v>
      </c>
      <c r="BC58" s="9">
        <f>[4]Annual!FT27/10</f>
        <v>1337353.880078125</v>
      </c>
      <c r="BD58" s="9">
        <f>[4]Annual!FU27/10</f>
        <v>620914.3118164062</v>
      </c>
      <c r="BE58" s="9">
        <f>[4]Annual!FV27/10</f>
        <v>262694.51323242189</v>
      </c>
      <c r="BF58" s="9">
        <f>[4]Annual!FW27/10</f>
        <v>1337353.880078125</v>
      </c>
      <c r="BG58" s="9">
        <f>[4]Annual!FX27/10</f>
        <v>1337353.880078125</v>
      </c>
      <c r="BH58" s="9">
        <f>[4]Annual!FY27/10</f>
        <v>1406644.140625</v>
      </c>
    </row>
    <row r="59" spans="2:60" x14ac:dyDescent="0.25">
      <c r="B59">
        <v>2048</v>
      </c>
      <c r="C59" s="187">
        <f t="shared" si="11"/>
        <v>2987917.9761718749</v>
      </c>
      <c r="D59" s="187">
        <f t="shared" si="12"/>
        <v>1102298.1478515626</v>
      </c>
      <c r="E59" s="187">
        <f t="shared" si="13"/>
        <v>358129.28999023436</v>
      </c>
      <c r="F59" s="187">
        <f t="shared" si="14"/>
        <v>591310.93642578123</v>
      </c>
      <c r="G59" s="187">
        <f t="shared" si="8"/>
        <v>4062425.4804687505</v>
      </c>
      <c r="H59" s="187">
        <f t="shared" si="9"/>
        <v>1543793.3185546873</v>
      </c>
      <c r="I59" s="187">
        <f t="shared" si="10"/>
        <v>450549.75014648441</v>
      </c>
      <c r="J59" s="187">
        <f t="shared" si="15"/>
        <v>883869.25888671877</v>
      </c>
      <c r="K59" s="9">
        <f>[4]Annual!$HZ28</f>
        <v>11980294.20859375</v>
      </c>
      <c r="L59" s="9">
        <f>'[5]Washington Emissions'!E41/0.05311</f>
        <v>3594976.4154303125</v>
      </c>
      <c r="N59">
        <v>2048</v>
      </c>
      <c r="O59" s="9">
        <f>[4]Annual!CD28/10</f>
        <v>7050343.4566406254</v>
      </c>
      <c r="P59" s="9">
        <f>[4]Annual!CE28/10</f>
        <v>4809435.7527343752</v>
      </c>
      <c r="Q59" s="9">
        <f>[4]Annual!CF28/10</f>
        <v>4954167.1693359371</v>
      </c>
      <c r="R59" s="9">
        <f>[4]Annual!CG28/10</f>
        <v>3113936.5998046873</v>
      </c>
      <c r="S59" s="9">
        <f>[4]Annual!CH28/10</f>
        <v>3729426.4162109373</v>
      </c>
      <c r="T59" s="9">
        <f>[4]Annual!CI28/10</f>
        <v>2987917.9761718749</v>
      </c>
      <c r="U59" s="9">
        <f>[4]Annual!CJ28/10</f>
        <v>563797.79909667966</v>
      </c>
      <c r="V59" s="9">
        <f>[4]Annual!CK28/10</f>
        <v>4898891.3035156252</v>
      </c>
      <c r="W59" s="9">
        <f>[4]Annual!CL28/10</f>
        <v>4898891.3035156252</v>
      </c>
      <c r="X59" s="9">
        <f>[4]Annual!CM28/10</f>
        <v>5209799.3271484375</v>
      </c>
      <c r="Y59" s="9"/>
      <c r="Z59">
        <v>2048</v>
      </c>
      <c r="AA59" s="9">
        <f>([4]Annual!DH28)/10</f>
        <v>2646091.4664062499</v>
      </c>
      <c r="AB59" s="9">
        <f>([4]Annual!DI28)/10</f>
        <v>1872891.50859375</v>
      </c>
      <c r="AC59" s="9">
        <f>([4]Annual!DJ28)/10</f>
        <v>1878027.2220703126</v>
      </c>
      <c r="AD59" s="9">
        <f>([4]Annual!DK28)/10</f>
        <v>1509318.265625</v>
      </c>
      <c r="AE59" s="9">
        <f>([4]Annual!DL28)/10</f>
        <v>1222719.8643554687</v>
      </c>
      <c r="AF59" s="9">
        <f>([4]Annual!DM28)/10</f>
        <v>1102298.1478515626</v>
      </c>
      <c r="AG59" s="9">
        <f>([4]Annual!DN28)/10</f>
        <v>216278.96433105468</v>
      </c>
      <c r="AH59" s="9">
        <f>([4]Annual!DO28)/10</f>
        <v>1891287.34375</v>
      </c>
      <c r="AI59" s="9">
        <f>([4]Annual!DP28)/10</f>
        <v>1891287.34375</v>
      </c>
      <c r="AJ59" s="9">
        <f>([4]Annual!DQ28)/10</f>
        <v>1936920.734375</v>
      </c>
      <c r="AL59">
        <v>2048</v>
      </c>
      <c r="AM59" s="9">
        <f>[4]Annual!FF28/10</f>
        <v>808679.04013671877</v>
      </c>
      <c r="AN59" s="9">
        <f>[4]Annual!FG28/10</f>
        <v>808679.04013671877</v>
      </c>
      <c r="AO59" s="9">
        <f>[4]Annual!FH28/10</f>
        <v>566051.34843749995</v>
      </c>
      <c r="AP59" s="9">
        <f>[4]Annual!FI28/10</f>
        <v>808679.04013671877</v>
      </c>
      <c r="AQ59" s="9">
        <f>[4]Annual!FJ28/10</f>
        <v>808679.04013671877</v>
      </c>
      <c r="AR59" s="9">
        <f>[4]Annual!FK28/10</f>
        <v>358129.28999023436</v>
      </c>
      <c r="AS59" s="9">
        <f>[4]Annual!FL28/10</f>
        <v>132854.41365966797</v>
      </c>
      <c r="AT59" s="9">
        <f>[4]Annual!FM28/10</f>
        <v>808679.04013671877</v>
      </c>
      <c r="AU59" s="9">
        <f>[4]Annual!FN28/10</f>
        <v>808679.04013671877</v>
      </c>
      <c r="AV59" s="9">
        <f>[4]Annual!FO28/10</f>
        <v>808679.04013671877</v>
      </c>
      <c r="AX59">
        <v>2048</v>
      </c>
      <c r="AY59" s="9">
        <f>[4]Annual!FP28/10</f>
        <v>1475180.1953125</v>
      </c>
      <c r="AZ59" s="9">
        <f>[4]Annual!FQ28/10</f>
        <v>1335218.2582031251</v>
      </c>
      <c r="BA59" s="9">
        <f>[4]Annual!FR28/10</f>
        <v>1195256.2974609374</v>
      </c>
      <c r="BB59" s="9">
        <f>[4]Annual!FS28/10</f>
        <v>1335218.2582031251</v>
      </c>
      <c r="BC59" s="9">
        <f>[4]Annual!FT28/10</f>
        <v>1335218.2582031251</v>
      </c>
      <c r="BD59" s="9">
        <f>[4]Annual!FU28/10</f>
        <v>591310.93642578123</v>
      </c>
      <c r="BE59" s="9">
        <f>[4]Annual!FV28/10</f>
        <v>219357.28461914061</v>
      </c>
      <c r="BF59" s="9">
        <f>[4]Annual!FW28/10</f>
        <v>1335218.2582031251</v>
      </c>
      <c r="BG59" s="9">
        <f>[4]Annual!FX28/10</f>
        <v>1335218.2582031251</v>
      </c>
      <c r="BH59" s="9">
        <f>[4]Annual!FY28/10</f>
        <v>1405199.212109375</v>
      </c>
    </row>
    <row r="60" spans="2:60" x14ac:dyDescent="0.25">
      <c r="B60">
        <v>2049</v>
      </c>
      <c r="C60" s="187">
        <f t="shared" si="11"/>
        <v>2858402.8185546873</v>
      </c>
      <c r="D60" s="187">
        <f t="shared" si="12"/>
        <v>1056189.0897460938</v>
      </c>
      <c r="E60" s="187">
        <f t="shared" si="13"/>
        <v>336041.54570312501</v>
      </c>
      <c r="F60" s="187">
        <f t="shared" si="14"/>
        <v>554829.84843749995</v>
      </c>
      <c r="G60" s="187">
        <f t="shared" si="8"/>
        <v>4191675.4345703125</v>
      </c>
      <c r="H60" s="187">
        <f t="shared" si="9"/>
        <v>1597949.1051757811</v>
      </c>
      <c r="I60" s="187">
        <f t="shared" si="10"/>
        <v>461345.18652343744</v>
      </c>
      <c r="J60" s="187">
        <f t="shared" si="15"/>
        <v>901412.70585937495</v>
      </c>
      <c r="K60" s="9">
        <f>[4]Annual!$HZ29</f>
        <v>11957845.741015624</v>
      </c>
      <c r="L60" s="9">
        <f>'[5]Washington Emissions'!E42/0.05311</f>
        <v>3501507.0286291242</v>
      </c>
      <c r="N60">
        <v>2049</v>
      </c>
      <c r="O60" s="9">
        <f>[4]Annual!CD29/10</f>
        <v>7050078.2531249998</v>
      </c>
      <c r="P60" s="9">
        <f>[4]Annual!CE29/10</f>
        <v>4744079.0144531252</v>
      </c>
      <c r="Q60" s="9">
        <f>[4]Annual!CF29/10</f>
        <v>4882603.2996093752</v>
      </c>
      <c r="R60" s="9">
        <f>[4]Annual!CG29/10</f>
        <v>3006390.9089843752</v>
      </c>
      <c r="S60" s="9">
        <f>[4]Annual!CH29/10</f>
        <v>3638476.9818359376</v>
      </c>
      <c r="T60" s="9">
        <f>[4]Annual!CI29/10</f>
        <v>2858402.8185546873</v>
      </c>
      <c r="U60" s="9">
        <f>[4]Annual!CJ29/10</f>
        <v>557926.87197265623</v>
      </c>
      <c r="V60" s="9">
        <f>[4]Annual!CK29/10</f>
        <v>4830338.310546875</v>
      </c>
      <c r="W60" s="9">
        <f>[4]Annual!CL29/10</f>
        <v>4830338.310546875</v>
      </c>
      <c r="X60" s="9">
        <f>[4]Annual!CM29/10</f>
        <v>5146717.02734375</v>
      </c>
      <c r="Y60" s="9"/>
      <c r="Z60">
        <v>2049</v>
      </c>
      <c r="AA60" s="9">
        <f>([4]Annual!DH29)/10</f>
        <v>2654138.1949218749</v>
      </c>
      <c r="AB60" s="9">
        <f>([4]Annual!DI29)/10</f>
        <v>1873188.5146484375</v>
      </c>
      <c r="AC60" s="9">
        <f>([4]Annual!DJ29)/10</f>
        <v>1877470.825390625</v>
      </c>
      <c r="AD60" s="9">
        <f>([4]Annual!DK29)/10</f>
        <v>1499915.7669921876</v>
      </c>
      <c r="AE60" s="9">
        <f>([4]Annual!DL29)/10</f>
        <v>1199898.3895507813</v>
      </c>
      <c r="AF60" s="9">
        <f>([4]Annual!DM29)/10</f>
        <v>1056189.0897460938</v>
      </c>
      <c r="AG60" s="9">
        <f>([4]Annual!DN29)/10</f>
        <v>214845.93481445313</v>
      </c>
      <c r="AH60" s="9">
        <f>([4]Annual!DO29)/10</f>
        <v>1890017.6689453125</v>
      </c>
      <c r="AI60" s="9">
        <f>([4]Annual!DP29)/10</f>
        <v>1890017.6689453125</v>
      </c>
      <c r="AJ60" s="9">
        <f>([4]Annual!DQ29)/10</f>
        <v>1936536.7150390625</v>
      </c>
      <c r="AL60">
        <v>2049</v>
      </c>
      <c r="AM60" s="9">
        <f>[4]Annual!FF29/10</f>
        <v>797386.73222656245</v>
      </c>
      <c r="AN60" s="9">
        <f>[4]Annual!FG29/10</f>
        <v>797386.73222656245</v>
      </c>
      <c r="AO60" s="9">
        <f>[4]Annual!FH29/10</f>
        <v>549820.10976562498</v>
      </c>
      <c r="AP60" s="9">
        <f>[4]Annual!FI29/10</f>
        <v>797386.73222656245</v>
      </c>
      <c r="AQ60" s="9">
        <f>[4]Annual!FJ29/10</f>
        <v>797386.73222656245</v>
      </c>
      <c r="AR60" s="9">
        <f>[4]Annual!FK29/10</f>
        <v>336041.54570312501</v>
      </c>
      <c r="AS60" s="9">
        <f>[4]Annual!FL29/10</f>
        <v>105368.96160888672</v>
      </c>
      <c r="AT60" s="9">
        <f>[4]Annual!FM29/10</f>
        <v>797386.73222656245</v>
      </c>
      <c r="AU60" s="9">
        <f>[4]Annual!FN29/10</f>
        <v>797386.73222656245</v>
      </c>
      <c r="AV60" s="9">
        <f>[4]Annual!FO29/10</f>
        <v>797386.73222656245</v>
      </c>
      <c r="AX60">
        <v>2049</v>
      </c>
      <c r="AY60" s="9">
        <f>[4]Annual!FP29/10</f>
        <v>1456242.5542968749</v>
      </c>
      <c r="AZ60" s="9">
        <f>[4]Annual!FQ29/10</f>
        <v>1316545.3736328124</v>
      </c>
      <c r="BA60" s="9">
        <f>[4]Annual!FR29/10</f>
        <v>1176848.2537109375</v>
      </c>
      <c r="BB60" s="9">
        <f>[4]Annual!FS29/10</f>
        <v>1316545.3736328124</v>
      </c>
      <c r="BC60" s="9">
        <f>[4]Annual!FT29/10</f>
        <v>1316545.3736328124</v>
      </c>
      <c r="BD60" s="9">
        <f>[4]Annual!FU29/10</f>
        <v>554829.84843749995</v>
      </c>
      <c r="BE60" s="9">
        <f>[4]Annual!FV29/10</f>
        <v>173972.06923828126</v>
      </c>
      <c r="BF60" s="9">
        <f>[4]Annual!FW29/10</f>
        <v>1316545.3736328124</v>
      </c>
      <c r="BG60" s="9">
        <f>[4]Annual!FX29/10</f>
        <v>1316545.3736328124</v>
      </c>
      <c r="BH60" s="9">
        <f>[4]Annual!FY29/10</f>
        <v>1386393.9796875</v>
      </c>
    </row>
    <row r="61" spans="2:60" x14ac:dyDescent="0.25">
      <c r="B61">
        <v>2050</v>
      </c>
      <c r="C61" s="187">
        <f t="shared" si="11"/>
        <v>2748559.2813476562</v>
      </c>
      <c r="D61" s="187">
        <f t="shared" si="12"/>
        <v>1016582.0021484375</v>
      </c>
      <c r="E61" s="187">
        <f t="shared" si="13"/>
        <v>317109.82304687501</v>
      </c>
      <c r="F61" s="187">
        <f t="shared" si="14"/>
        <v>522549.34873046877</v>
      </c>
      <c r="G61" s="187">
        <f t="shared" si="8"/>
        <v>4345804.0428710934</v>
      </c>
      <c r="H61" s="187">
        <f t="shared" si="9"/>
        <v>1659350.4822265625</v>
      </c>
      <c r="I61" s="187">
        <f t="shared" si="10"/>
        <v>475664.72675781249</v>
      </c>
      <c r="J61" s="187">
        <f t="shared" si="15"/>
        <v>923933.59033203113</v>
      </c>
      <c r="K61" s="9">
        <f>[4]Annual!$HZ30</f>
        <v>12009553.25</v>
      </c>
      <c r="L61" s="9">
        <f>'[5]Washington Emissions'!E43/0.05311</f>
        <v>3410467.8458847674</v>
      </c>
      <c r="N61">
        <v>2050</v>
      </c>
      <c r="O61" s="9">
        <f>[4]Annual!CD30/10</f>
        <v>7094363.32421875</v>
      </c>
      <c r="P61" s="9">
        <f>[4]Annual!CE30/10</f>
        <v>4706855.2197265625</v>
      </c>
      <c r="Q61" s="9">
        <f>[4]Annual!CF30/10</f>
        <v>4841813.9953124998</v>
      </c>
      <c r="R61" s="9">
        <f>[4]Annual!CG30/10</f>
        <v>2892398.59765625</v>
      </c>
      <c r="S61" s="9">
        <f>[4]Annual!CH30/10</f>
        <v>3573970.6064453125</v>
      </c>
      <c r="T61" s="9">
        <f>[4]Annual!CI30/10</f>
        <v>2748559.2813476562</v>
      </c>
      <c r="U61" s="9">
        <f>[4]Annual!CJ30/10</f>
        <v>555769.19909667969</v>
      </c>
      <c r="V61" s="9">
        <f>[4]Annual!CK30/10</f>
        <v>4783049.9923828123</v>
      </c>
      <c r="W61" s="9">
        <f>[4]Annual!CL30/10</f>
        <v>4783049.9923828123</v>
      </c>
      <c r="X61" s="9">
        <f>[4]Annual!CM30/10</f>
        <v>5106508.4783203127</v>
      </c>
      <c r="Y61" s="9"/>
      <c r="Z61">
        <v>2050</v>
      </c>
      <c r="AA61" s="9">
        <f>([4]Annual!DH30)/10</f>
        <v>2675932.484375</v>
      </c>
      <c r="AB61" s="9">
        <f>([4]Annual!DI30)/10</f>
        <v>1883323.1546875001</v>
      </c>
      <c r="AC61" s="9">
        <f>([4]Annual!DJ30)/10</f>
        <v>1886329.43828125</v>
      </c>
      <c r="AD61" s="9">
        <f>([4]Annual!DK30)/10</f>
        <v>1494058.52265625</v>
      </c>
      <c r="AE61" s="9">
        <f>([4]Annual!DL30)/10</f>
        <v>1185063.9151367187</v>
      </c>
      <c r="AF61" s="9">
        <f>([4]Annual!DM30)/10</f>
        <v>1016582.0021484375</v>
      </c>
      <c r="AG61" s="9">
        <f>([4]Annual!DN30)/10</f>
        <v>214423.08869628905</v>
      </c>
      <c r="AH61" s="9">
        <f>([4]Annual!DO30)/10</f>
        <v>1896403.54296875</v>
      </c>
      <c r="AI61" s="9">
        <f>([4]Annual!DP30)/10</f>
        <v>1896403.54296875</v>
      </c>
      <c r="AJ61" s="9">
        <f>([4]Annual!DQ30)/10</f>
        <v>1944260.9417968751</v>
      </c>
      <c r="AL61">
        <v>2050</v>
      </c>
      <c r="AM61" s="9">
        <f>[4]Annual!FF30/10</f>
        <v>792774.5498046875</v>
      </c>
      <c r="AN61" s="9">
        <f>[4]Annual!FG30/10</f>
        <v>792774.5498046875</v>
      </c>
      <c r="AO61" s="9">
        <f>[4]Annual!FH30/10</f>
        <v>538346.54604492185</v>
      </c>
      <c r="AP61" s="9">
        <f>[4]Annual!FI30/10</f>
        <v>792774.5498046875</v>
      </c>
      <c r="AQ61" s="9">
        <f>[4]Annual!FJ30/10</f>
        <v>792774.5498046875</v>
      </c>
      <c r="AR61" s="9">
        <f>[4]Annual!FK30/10</f>
        <v>317109.82304687501</v>
      </c>
      <c r="AS61" s="9">
        <f>[4]Annual!FL30/10</f>
        <v>79277.455761718753</v>
      </c>
      <c r="AT61" s="9">
        <f>[4]Annual!FM30/10</f>
        <v>792774.5498046875</v>
      </c>
      <c r="AU61" s="9">
        <f>[4]Annual!FN30/10</f>
        <v>792774.5498046875</v>
      </c>
      <c r="AV61" s="9">
        <f>[4]Annual!FO30/10</f>
        <v>792774.5498046875</v>
      </c>
      <c r="AX61">
        <v>2050</v>
      </c>
      <c r="AY61" s="9">
        <f>[4]Annual!FP30/10</f>
        <v>1446482.9390624999</v>
      </c>
      <c r="AZ61" s="9">
        <f>[4]Annual!FQ30/10</f>
        <v>1306373.3402343751</v>
      </c>
      <c r="BA61" s="9">
        <f>[4]Annual!FR30/10</f>
        <v>1166263.7767578126</v>
      </c>
      <c r="BB61" s="9">
        <f>[4]Annual!FS30/10</f>
        <v>1306373.3402343751</v>
      </c>
      <c r="BC61" s="9">
        <f>[4]Annual!FT30/10</f>
        <v>1306373.3402343751</v>
      </c>
      <c r="BD61" s="9">
        <f>[4]Annual!FU30/10</f>
        <v>522549.34873046877</v>
      </c>
      <c r="BE61" s="9">
        <f>[4]Annual!FV30/10</f>
        <v>130637.33718261719</v>
      </c>
      <c r="BF61" s="9">
        <f>[4]Annual!FW30/10</f>
        <v>1306373.3402343751</v>
      </c>
      <c r="BG61" s="9">
        <f>[4]Annual!FX30/10</f>
        <v>1306373.3402343751</v>
      </c>
      <c r="BH61" s="9">
        <f>[4]Annual!FY30/10</f>
        <v>1376428.1156250001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08C2F-D126-430D-8E89-EA4A596D8EDC}">
  <sheetPr>
    <tabColor rgb="FF7030A0"/>
  </sheetPr>
  <dimension ref="A1:V30"/>
  <sheetViews>
    <sheetView workbookViewId="0">
      <selection activeCell="E40" sqref="E40:E42"/>
    </sheetView>
  </sheetViews>
  <sheetFormatPr defaultRowHeight="15" x14ac:dyDescent="0.25"/>
  <cols>
    <col min="2" max="2" width="9" bestFit="1" customWidth="1"/>
    <col min="3" max="3" width="13.5703125" bestFit="1" customWidth="1"/>
    <col min="4" max="4" width="14.5703125" bestFit="1" customWidth="1"/>
    <col min="5" max="6" width="13.5703125" bestFit="1" customWidth="1"/>
    <col min="7" max="8" width="9" bestFit="1" customWidth="1"/>
    <col min="9" max="11" width="13.5703125" bestFit="1" customWidth="1"/>
    <col min="14" max="14" width="13.7109375" bestFit="1" customWidth="1"/>
    <col min="15" max="15" width="14.7109375" bestFit="1" customWidth="1"/>
    <col min="16" max="17" width="13.7109375" bestFit="1" customWidth="1"/>
    <col min="18" max="19" width="9" bestFit="1" customWidth="1"/>
    <col min="20" max="22" width="13.7109375" bestFit="1" customWidth="1"/>
  </cols>
  <sheetData>
    <row r="1" spans="1:22" x14ac:dyDescent="0.25">
      <c r="A1" s="43" t="s">
        <v>243</v>
      </c>
      <c r="B1" s="132" t="s">
        <v>380</v>
      </c>
      <c r="C1" s="132" t="s">
        <v>381</v>
      </c>
      <c r="D1" s="132" t="s">
        <v>382</v>
      </c>
      <c r="E1" s="132" t="s">
        <v>383</v>
      </c>
      <c r="F1" s="132" t="s">
        <v>384</v>
      </c>
      <c r="G1" s="132" t="s">
        <v>385</v>
      </c>
      <c r="H1" s="132" t="s">
        <v>386</v>
      </c>
      <c r="I1" s="132" t="s">
        <v>387</v>
      </c>
      <c r="J1" s="132" t="s">
        <v>388</v>
      </c>
      <c r="K1" s="132" t="s">
        <v>389</v>
      </c>
      <c r="L1" s="43" t="s">
        <v>243</v>
      </c>
      <c r="M1" s="132" t="s">
        <v>390</v>
      </c>
      <c r="N1" s="132" t="s">
        <v>391</v>
      </c>
      <c r="O1" s="132" t="s">
        <v>392</v>
      </c>
      <c r="P1" s="132" t="s">
        <v>393</v>
      </c>
      <c r="Q1" s="132" t="s">
        <v>394</v>
      </c>
      <c r="R1" s="132" t="s">
        <v>395</v>
      </c>
      <c r="S1" s="132" t="s">
        <v>396</v>
      </c>
      <c r="T1" s="132" t="s">
        <v>397</v>
      </c>
      <c r="U1" s="132" t="s">
        <v>398</v>
      </c>
      <c r="V1" s="132" t="s">
        <v>399</v>
      </c>
    </row>
    <row r="2" spans="1:22" x14ac:dyDescent="0.25">
      <c r="A2">
        <v>2022</v>
      </c>
      <c r="B2" s="133">
        <v>0</v>
      </c>
      <c r="C2" s="133">
        <v>0</v>
      </c>
      <c r="D2" s="133">
        <v>2311275.5524149733</v>
      </c>
      <c r="E2" s="133">
        <v>0</v>
      </c>
      <c r="F2" s="133">
        <v>0</v>
      </c>
      <c r="G2" s="133">
        <v>0</v>
      </c>
      <c r="H2" s="133">
        <v>0</v>
      </c>
      <c r="I2" s="133">
        <v>0</v>
      </c>
      <c r="J2" s="133">
        <v>0</v>
      </c>
      <c r="K2" s="133">
        <v>0</v>
      </c>
      <c r="L2">
        <v>2022</v>
      </c>
      <c r="M2">
        <v>0</v>
      </c>
      <c r="N2" s="134">
        <v>237574.11364311917</v>
      </c>
      <c r="O2" s="134">
        <v>563700.80683261086</v>
      </c>
      <c r="P2" s="134">
        <v>237574.11364311917</v>
      </c>
      <c r="Q2" s="134">
        <v>237574.11364311917</v>
      </c>
      <c r="R2" s="134">
        <v>0</v>
      </c>
      <c r="S2" s="134">
        <v>0</v>
      </c>
      <c r="T2" s="134">
        <v>237574.11364311917</v>
      </c>
      <c r="U2" s="134">
        <v>237574.11364311917</v>
      </c>
      <c r="V2" s="134">
        <v>237574.11364311917</v>
      </c>
    </row>
    <row r="3" spans="1:22" x14ac:dyDescent="0.25">
      <c r="A3">
        <v>2023</v>
      </c>
      <c r="B3" s="133">
        <v>0</v>
      </c>
      <c r="C3" s="133">
        <v>214138.7289435672</v>
      </c>
      <c r="D3" s="133">
        <v>8154833.285468624</v>
      </c>
      <c r="E3" s="133">
        <v>4147235.1905460502</v>
      </c>
      <c r="F3" s="133">
        <v>214138.7289435672</v>
      </c>
      <c r="G3" s="133">
        <v>0</v>
      </c>
      <c r="H3" s="133">
        <v>0</v>
      </c>
      <c r="I3" s="133">
        <v>214138.7289435672</v>
      </c>
      <c r="J3" s="133">
        <v>214138.7289435672</v>
      </c>
      <c r="K3" s="133">
        <v>214138.7289435672</v>
      </c>
      <c r="L3">
        <v>2023</v>
      </c>
      <c r="M3">
        <v>0</v>
      </c>
      <c r="N3" s="134">
        <v>125269.77524909649</v>
      </c>
      <c r="O3" s="134">
        <v>735361.77559090569</v>
      </c>
      <c r="P3" s="134">
        <v>667241.91333517281</v>
      </c>
      <c r="Q3" s="134">
        <v>125269.77524909649</v>
      </c>
      <c r="R3" s="134">
        <v>0</v>
      </c>
      <c r="S3" s="134">
        <v>0</v>
      </c>
      <c r="T3" s="134">
        <v>125269.77524909649</v>
      </c>
      <c r="U3" s="134">
        <v>125269.77524909649</v>
      </c>
      <c r="V3" s="134">
        <v>125269.77524909649</v>
      </c>
    </row>
    <row r="4" spans="1:22" x14ac:dyDescent="0.25">
      <c r="A4">
        <v>2024</v>
      </c>
      <c r="B4" s="133">
        <v>0</v>
      </c>
      <c r="C4" s="133">
        <v>425109.41573364404</v>
      </c>
      <c r="D4" s="133">
        <v>10988653.989610948</v>
      </c>
      <c r="E4" s="133">
        <v>8725151.8382149152</v>
      </c>
      <c r="F4" s="133">
        <v>425109.41573364404</v>
      </c>
      <c r="G4" s="133">
        <v>0</v>
      </c>
      <c r="H4" s="133">
        <v>0</v>
      </c>
      <c r="I4" s="133">
        <v>425109.41573364404</v>
      </c>
      <c r="J4" s="133">
        <v>425109.41573364404</v>
      </c>
      <c r="K4" s="133">
        <v>425109.41573364404</v>
      </c>
      <c r="L4">
        <v>2024</v>
      </c>
      <c r="M4">
        <v>0</v>
      </c>
      <c r="N4" s="134">
        <v>175682.87902597553</v>
      </c>
      <c r="O4" s="134">
        <v>1067927.7391062907</v>
      </c>
      <c r="P4" s="134">
        <v>1400273.2168411582</v>
      </c>
      <c r="Q4" s="134">
        <v>175682.87902597553</v>
      </c>
      <c r="R4" s="134">
        <v>0</v>
      </c>
      <c r="S4" s="134">
        <v>0</v>
      </c>
      <c r="T4" s="134">
        <v>175682.87902597553</v>
      </c>
      <c r="U4" s="134">
        <v>175682.87902597553</v>
      </c>
      <c r="V4" s="134">
        <v>175682.87902597553</v>
      </c>
    </row>
    <row r="5" spans="1:22" x14ac:dyDescent="0.25">
      <c r="A5">
        <v>2025</v>
      </c>
      <c r="B5" s="133">
        <v>0</v>
      </c>
      <c r="C5" s="133">
        <v>20195222.569751564</v>
      </c>
      <c r="D5" s="133">
        <v>24849580.753478814</v>
      </c>
      <c r="E5" s="133">
        <v>16968446.390028711</v>
      </c>
      <c r="F5" s="133">
        <v>15125530.140902059</v>
      </c>
      <c r="G5" s="133">
        <v>0</v>
      </c>
      <c r="H5" s="133">
        <v>0</v>
      </c>
      <c r="I5" s="133">
        <v>13386500.974871634</v>
      </c>
      <c r="J5" s="133">
        <v>13386500.974871634</v>
      </c>
      <c r="K5" s="133">
        <v>4704280.8149268441</v>
      </c>
      <c r="L5">
        <v>2025</v>
      </c>
      <c r="M5">
        <v>0</v>
      </c>
      <c r="N5" s="134">
        <v>2728639.7298315596</v>
      </c>
      <c r="O5" s="134">
        <v>2476085.2964543598</v>
      </c>
      <c r="P5" s="134">
        <v>2393577.6813388113</v>
      </c>
      <c r="Q5" s="134">
        <v>1787154.2373666731</v>
      </c>
      <c r="R5" s="134">
        <v>0</v>
      </c>
      <c r="S5" s="134">
        <v>0</v>
      </c>
      <c r="T5" s="134">
        <v>1699639.3163058143</v>
      </c>
      <c r="U5" s="134">
        <v>1699639.3163058143</v>
      </c>
      <c r="V5" s="134">
        <v>677634.41764832009</v>
      </c>
    </row>
    <row r="6" spans="1:22" x14ac:dyDescent="0.25">
      <c r="A6">
        <v>2026</v>
      </c>
      <c r="B6" s="133">
        <v>0</v>
      </c>
      <c r="C6" s="133">
        <v>28917317.115166124</v>
      </c>
      <c r="D6" s="133">
        <v>30047003.365753673</v>
      </c>
      <c r="E6" s="133">
        <v>24080560.651805043</v>
      </c>
      <c r="F6" s="133">
        <v>23177437.833152935</v>
      </c>
      <c r="G6" s="133">
        <v>0</v>
      </c>
      <c r="H6" s="133">
        <v>0</v>
      </c>
      <c r="I6" s="133">
        <v>23361344.469805576</v>
      </c>
      <c r="J6" s="133">
        <v>23361344.469805576</v>
      </c>
      <c r="K6" s="133">
        <v>6202838.6003124081</v>
      </c>
      <c r="L6">
        <v>2026</v>
      </c>
      <c r="M6">
        <v>0</v>
      </c>
      <c r="N6" s="134">
        <v>3915537.4595506787</v>
      </c>
      <c r="O6" s="134">
        <v>3216851.1848184867</v>
      </c>
      <c r="P6" s="134">
        <v>3453464.8794432697</v>
      </c>
      <c r="Q6" s="134">
        <v>2901095.0500333086</v>
      </c>
      <c r="R6" s="134">
        <v>0</v>
      </c>
      <c r="S6" s="134">
        <v>0</v>
      </c>
      <c r="T6" s="134">
        <v>3092609.4977920568</v>
      </c>
      <c r="U6" s="134">
        <v>3092609.4977920568</v>
      </c>
      <c r="V6" s="134">
        <v>914687.16523070214</v>
      </c>
    </row>
    <row r="7" spans="1:22" x14ac:dyDescent="0.25">
      <c r="A7">
        <v>2027</v>
      </c>
      <c r="B7" s="133">
        <v>0</v>
      </c>
      <c r="C7" s="133">
        <v>37594939.087290168</v>
      </c>
      <c r="D7" s="133">
        <v>36581321.278035998</v>
      </c>
      <c r="E7" s="133">
        <v>28171395.849270448</v>
      </c>
      <c r="F7" s="133">
        <v>31422864.024986092</v>
      </c>
      <c r="G7" s="133">
        <v>0</v>
      </c>
      <c r="H7" s="133">
        <v>0</v>
      </c>
      <c r="I7" s="133">
        <v>33466317.674656305</v>
      </c>
      <c r="J7" s="133">
        <v>33466317.674656305</v>
      </c>
      <c r="K7" s="133">
        <v>7765955.9655707134</v>
      </c>
      <c r="L7">
        <v>2027</v>
      </c>
      <c r="M7">
        <v>0</v>
      </c>
      <c r="N7" s="134">
        <v>5113877.7464158293</v>
      </c>
      <c r="O7" s="134">
        <v>4194669.7127625067</v>
      </c>
      <c r="P7" s="134">
        <v>4115012.7104424513</v>
      </c>
      <c r="Q7" s="134">
        <v>4020103.4968749546</v>
      </c>
      <c r="R7" s="134">
        <v>0</v>
      </c>
      <c r="S7" s="134">
        <v>0</v>
      </c>
      <c r="T7" s="134">
        <v>4496883.096208727</v>
      </c>
      <c r="U7" s="134">
        <v>4496883.096208727</v>
      </c>
      <c r="V7" s="134">
        <v>1164808.448527812</v>
      </c>
    </row>
    <row r="8" spans="1:22" x14ac:dyDescent="0.25">
      <c r="A8">
        <v>2028</v>
      </c>
      <c r="B8" s="133">
        <v>0</v>
      </c>
      <c r="C8" s="133">
        <v>46496137.614516497</v>
      </c>
      <c r="D8" s="133">
        <v>43906086.819630027</v>
      </c>
      <c r="E8" s="133">
        <v>31157341.541709833</v>
      </c>
      <c r="F8" s="133">
        <v>39791497.259014189</v>
      </c>
      <c r="G8" s="133">
        <v>0</v>
      </c>
      <c r="H8" s="133">
        <v>0</v>
      </c>
      <c r="I8" s="133">
        <v>43758865.824794032</v>
      </c>
      <c r="J8" s="133">
        <v>43758865.824794032</v>
      </c>
      <c r="K8" s="133">
        <v>9493533.5583464708</v>
      </c>
      <c r="L8">
        <v>2028</v>
      </c>
      <c r="M8">
        <v>0</v>
      </c>
      <c r="N8" s="134">
        <v>6333400.2233187584</v>
      </c>
      <c r="O8" s="134">
        <v>5205972.2050046911</v>
      </c>
      <c r="P8" s="134">
        <v>4593056.8576618284</v>
      </c>
      <c r="Q8" s="134">
        <v>5146012.7575645149</v>
      </c>
      <c r="R8" s="134">
        <v>0</v>
      </c>
      <c r="S8" s="134">
        <v>0</v>
      </c>
      <c r="T8" s="134">
        <v>5922204.4087065272</v>
      </c>
      <c r="U8" s="134">
        <v>5922204.4087065272</v>
      </c>
      <c r="V8" s="134">
        <v>1436579.2560875935</v>
      </c>
    </row>
    <row r="9" spans="1:22" x14ac:dyDescent="0.25">
      <c r="A9">
        <v>2029</v>
      </c>
      <c r="B9" s="133">
        <v>0</v>
      </c>
      <c r="C9" s="133">
        <v>55516789.456933595</v>
      </c>
      <c r="D9" s="133">
        <v>51832281.906233877</v>
      </c>
      <c r="E9" s="133">
        <v>31556896.878421739</v>
      </c>
      <c r="F9" s="133">
        <v>48202135.006936714</v>
      </c>
      <c r="G9" s="133">
        <v>0</v>
      </c>
      <c r="H9" s="133">
        <v>0</v>
      </c>
      <c r="I9" s="133">
        <v>54155147.120078743</v>
      </c>
      <c r="J9" s="133">
        <v>54155147.120078743</v>
      </c>
      <c r="K9" s="133">
        <v>11331530.345428674</v>
      </c>
      <c r="L9">
        <v>2029</v>
      </c>
      <c r="M9">
        <v>0</v>
      </c>
      <c r="N9" s="134">
        <v>7543288.2576385923</v>
      </c>
      <c r="O9" s="134">
        <v>6384959.6115794927</v>
      </c>
      <c r="P9" s="134">
        <v>4651497.8383864164</v>
      </c>
      <c r="Q9" s="134">
        <v>6259189.118355223</v>
      </c>
      <c r="R9" s="134">
        <v>0</v>
      </c>
      <c r="S9" s="134">
        <v>0</v>
      </c>
      <c r="T9" s="134">
        <v>7337757.8344919486</v>
      </c>
      <c r="U9" s="134">
        <v>7337757.8344919486</v>
      </c>
      <c r="V9" s="134">
        <v>1701531.7844058992</v>
      </c>
    </row>
    <row r="10" spans="1:22" x14ac:dyDescent="0.25">
      <c r="A10">
        <v>2030</v>
      </c>
      <c r="B10" s="133">
        <v>0</v>
      </c>
      <c r="C10" s="133">
        <v>65021274.915782653</v>
      </c>
      <c r="D10" s="133">
        <v>61276762.19060313</v>
      </c>
      <c r="E10" s="133">
        <v>32420000.674193859</v>
      </c>
      <c r="F10" s="133">
        <v>48467953.397466868</v>
      </c>
      <c r="G10" s="133">
        <v>0</v>
      </c>
      <c r="H10" s="133">
        <v>0</v>
      </c>
      <c r="I10" s="133">
        <v>65021274.915782653</v>
      </c>
      <c r="J10" s="133">
        <v>65021274.915782653</v>
      </c>
      <c r="K10" s="133">
        <v>12272471.477493655</v>
      </c>
      <c r="L10">
        <v>2030</v>
      </c>
      <c r="M10">
        <v>0</v>
      </c>
      <c r="N10" s="134">
        <v>8843984.2876050305</v>
      </c>
      <c r="O10" s="134">
        <v>7696017.6476275306</v>
      </c>
      <c r="P10" s="134">
        <v>4802804.7525517736</v>
      </c>
      <c r="Q10" s="134">
        <v>6300491.5565537084</v>
      </c>
      <c r="R10" s="134">
        <v>0</v>
      </c>
      <c r="S10" s="134">
        <v>0</v>
      </c>
      <c r="T10" s="134">
        <v>8843984.2876050305</v>
      </c>
      <c r="U10" s="134">
        <v>8843984.2876050305</v>
      </c>
      <c r="V10" s="134">
        <v>1852095.8983843846</v>
      </c>
    </row>
    <row r="11" spans="1:22" x14ac:dyDescent="0.25">
      <c r="A11">
        <v>2031</v>
      </c>
      <c r="B11" s="133">
        <v>0</v>
      </c>
      <c r="C11" s="133">
        <v>65478884.383177675</v>
      </c>
      <c r="D11" s="133">
        <v>71493093.307154909</v>
      </c>
      <c r="E11" s="133">
        <v>32821641.158184469</v>
      </c>
      <c r="F11" s="133">
        <v>48518754.825318635</v>
      </c>
      <c r="G11" s="133">
        <v>0</v>
      </c>
      <c r="H11" s="133">
        <v>0</v>
      </c>
      <c r="I11" s="133">
        <v>65478884.383177675</v>
      </c>
      <c r="J11" s="133">
        <v>65478884.383177675</v>
      </c>
      <c r="K11" s="133">
        <v>12794813.527256744</v>
      </c>
      <c r="L11">
        <v>2031</v>
      </c>
      <c r="M11">
        <v>0</v>
      </c>
      <c r="N11" s="134">
        <v>8916521.9288699273</v>
      </c>
      <c r="O11" s="134">
        <v>9118258.4745219257</v>
      </c>
      <c r="P11" s="134">
        <v>4880209.8179109367</v>
      </c>
      <c r="Q11" s="134">
        <v>6298877.3143551955</v>
      </c>
      <c r="R11" s="134">
        <v>0</v>
      </c>
      <c r="S11" s="134">
        <v>0</v>
      </c>
      <c r="T11" s="134">
        <v>8916521.9288699273</v>
      </c>
      <c r="U11" s="134">
        <v>8916521.9288699273</v>
      </c>
      <c r="V11" s="134">
        <v>1931909.5126238151</v>
      </c>
    </row>
    <row r="12" spans="1:22" x14ac:dyDescent="0.25">
      <c r="A12">
        <v>2032</v>
      </c>
      <c r="B12" s="133">
        <v>0</v>
      </c>
      <c r="C12" s="133">
        <v>67780562.592872575</v>
      </c>
      <c r="D12" s="133">
        <v>84277422.482501358</v>
      </c>
      <c r="E12" s="133">
        <v>34841494.348019846</v>
      </c>
      <c r="F12" s="133">
        <v>49009632.931796521</v>
      </c>
      <c r="G12" s="133">
        <v>0</v>
      </c>
      <c r="H12" s="133">
        <v>0</v>
      </c>
      <c r="I12" s="133">
        <v>67780562.592872575</v>
      </c>
      <c r="J12" s="133">
        <v>67780562.592872575</v>
      </c>
      <c r="K12" s="133">
        <v>15287666.563142687</v>
      </c>
      <c r="L12">
        <v>2032</v>
      </c>
      <c r="M12">
        <v>0</v>
      </c>
      <c r="N12" s="134">
        <v>9347498.0405060258</v>
      </c>
      <c r="O12" s="134">
        <v>10975190.854031404</v>
      </c>
      <c r="P12" s="134">
        <v>5316181.6378244506</v>
      </c>
      <c r="Q12" s="134">
        <v>6420592.441659891</v>
      </c>
      <c r="R12" s="134">
        <v>0</v>
      </c>
      <c r="S12" s="134">
        <v>0</v>
      </c>
      <c r="T12" s="134">
        <v>9347498.0405060258</v>
      </c>
      <c r="U12" s="134">
        <v>9347498.0405060258</v>
      </c>
      <c r="V12" s="134">
        <v>2368217.5624120608</v>
      </c>
    </row>
    <row r="13" spans="1:22" x14ac:dyDescent="0.25">
      <c r="A13">
        <v>2033</v>
      </c>
      <c r="B13" s="133">
        <v>0</v>
      </c>
      <c r="C13" s="133">
        <v>68005450.073553726</v>
      </c>
      <c r="D13" s="133">
        <v>95092626.111910865</v>
      </c>
      <c r="E13" s="133">
        <v>34320540.54170607</v>
      </c>
      <c r="F13" s="133">
        <v>48844602.305517279</v>
      </c>
      <c r="G13" s="133">
        <v>0</v>
      </c>
      <c r="H13" s="133">
        <v>0</v>
      </c>
      <c r="I13" s="133">
        <v>68005450.073553726</v>
      </c>
      <c r="J13" s="133">
        <v>68005450.073553726</v>
      </c>
      <c r="K13" s="133">
        <v>15819476.793535586</v>
      </c>
      <c r="L13">
        <v>2033</v>
      </c>
      <c r="M13">
        <v>0</v>
      </c>
      <c r="N13" s="134">
        <v>9504323.4202241749</v>
      </c>
      <c r="O13" s="134">
        <v>12655503.865207072</v>
      </c>
      <c r="P13" s="134">
        <v>5477663.0045557413</v>
      </c>
      <c r="Q13" s="134">
        <v>6420206.3651399184</v>
      </c>
      <c r="R13" s="134">
        <v>0</v>
      </c>
      <c r="S13" s="134">
        <v>0</v>
      </c>
      <c r="T13" s="134">
        <v>9504323.4202241749</v>
      </c>
      <c r="U13" s="134">
        <v>9504323.4202241749</v>
      </c>
      <c r="V13" s="134">
        <v>2535213.7137811147</v>
      </c>
    </row>
    <row r="14" spans="1:22" x14ac:dyDescent="0.25">
      <c r="A14">
        <v>2034</v>
      </c>
      <c r="B14" s="133">
        <v>0</v>
      </c>
      <c r="C14" s="133">
        <v>65854868.334445752</v>
      </c>
      <c r="D14" s="133">
        <v>103919289.96543922</v>
      </c>
      <c r="E14" s="133">
        <v>31651028.846479133</v>
      </c>
      <c r="F14" s="133">
        <v>48071684.055314049</v>
      </c>
      <c r="G14" s="133">
        <v>0</v>
      </c>
      <c r="H14" s="133">
        <v>0</v>
      </c>
      <c r="I14" s="133">
        <v>65854868.334445752</v>
      </c>
      <c r="J14" s="133">
        <v>65854868.334445752</v>
      </c>
      <c r="K14" s="133">
        <v>13925731.941310782</v>
      </c>
      <c r="L14">
        <v>2034</v>
      </c>
      <c r="M14">
        <v>0</v>
      </c>
      <c r="N14" s="134">
        <v>9302601.5110991187</v>
      </c>
      <c r="O14" s="134">
        <v>13927246.795003982</v>
      </c>
      <c r="P14" s="134">
        <v>5280573.1933063185</v>
      </c>
      <c r="Q14" s="134">
        <v>6318101.7084599165</v>
      </c>
      <c r="R14" s="134">
        <v>0</v>
      </c>
      <c r="S14" s="134">
        <v>0</v>
      </c>
      <c r="T14" s="134">
        <v>9302601.5110991187</v>
      </c>
      <c r="U14" s="134">
        <v>9302601.5110991187</v>
      </c>
      <c r="V14" s="134">
        <v>2339388.5616148794</v>
      </c>
    </row>
    <row r="15" spans="1:22" x14ac:dyDescent="0.25">
      <c r="A15">
        <v>2035</v>
      </c>
      <c r="B15" s="133">
        <v>0</v>
      </c>
      <c r="C15" s="133">
        <v>66186614.908773564</v>
      </c>
      <c r="D15" s="133">
        <v>116662422.53476903</v>
      </c>
      <c r="E15" s="133">
        <v>31943755.255911008</v>
      </c>
      <c r="F15" s="133">
        <v>47841258.867389366</v>
      </c>
      <c r="G15" s="133">
        <v>0</v>
      </c>
      <c r="H15" s="133">
        <v>0</v>
      </c>
      <c r="I15" s="133">
        <v>66186614.908773564</v>
      </c>
      <c r="J15" s="133">
        <v>66186614.908773564</v>
      </c>
      <c r="K15" s="133">
        <v>14459950.773184901</v>
      </c>
      <c r="L15">
        <v>2035</v>
      </c>
      <c r="M15">
        <v>0</v>
      </c>
      <c r="N15" s="134">
        <v>9414963.9089829046</v>
      </c>
      <c r="O15" s="134">
        <v>15759209.143922808</v>
      </c>
      <c r="P15" s="134">
        <v>5397339.7981252912</v>
      </c>
      <c r="Q15" s="134">
        <v>6315997.7919188421</v>
      </c>
      <c r="R15" s="134">
        <v>0</v>
      </c>
      <c r="S15" s="134">
        <v>0</v>
      </c>
      <c r="T15" s="134">
        <v>9414963.9089829046</v>
      </c>
      <c r="U15" s="134">
        <v>9414963.9089829046</v>
      </c>
      <c r="V15" s="134">
        <v>2460728.0029820395</v>
      </c>
    </row>
    <row r="16" spans="1:22" x14ac:dyDescent="0.25">
      <c r="A16">
        <v>2036</v>
      </c>
      <c r="B16" s="133">
        <v>0</v>
      </c>
      <c r="C16" s="133">
        <v>68221769.038436517</v>
      </c>
      <c r="D16" s="133">
        <v>130122707.7257472</v>
      </c>
      <c r="E16" s="133">
        <v>33844771.685875602</v>
      </c>
      <c r="F16" s="133">
        <v>47831383.535125889</v>
      </c>
      <c r="G16" s="133">
        <v>0</v>
      </c>
      <c r="H16" s="133">
        <v>0</v>
      </c>
      <c r="I16" s="133">
        <v>68221769.038436517</v>
      </c>
      <c r="J16" s="133">
        <v>68221769.038436517</v>
      </c>
      <c r="K16" s="133">
        <v>16819868.1585306</v>
      </c>
      <c r="L16">
        <v>2036</v>
      </c>
      <c r="M16">
        <v>0</v>
      </c>
      <c r="N16" s="134">
        <v>9875817.0911016017</v>
      </c>
      <c r="O16" s="134">
        <v>17817796.932351589</v>
      </c>
      <c r="P16" s="134">
        <v>5863303.9143853709</v>
      </c>
      <c r="Q16" s="134">
        <v>6405606.8663118305</v>
      </c>
      <c r="R16" s="134">
        <v>0</v>
      </c>
      <c r="S16" s="134">
        <v>0</v>
      </c>
      <c r="T16" s="134">
        <v>9875817.0911016017</v>
      </c>
      <c r="U16" s="134">
        <v>9875817.0911016017</v>
      </c>
      <c r="V16" s="134">
        <v>2928462.7307936945</v>
      </c>
    </row>
    <row r="17" spans="1:22" x14ac:dyDescent="0.25">
      <c r="A17">
        <v>2037</v>
      </c>
      <c r="B17" s="133">
        <v>0</v>
      </c>
      <c r="C17" s="133">
        <v>64815822.950934954</v>
      </c>
      <c r="D17" s="133">
        <v>136503423.41744679</v>
      </c>
      <c r="E17" s="133">
        <v>32855855.871372491</v>
      </c>
      <c r="F17" s="133">
        <v>44506890.454608314</v>
      </c>
      <c r="G17" s="133">
        <v>0</v>
      </c>
      <c r="H17" s="133">
        <v>0</v>
      </c>
      <c r="I17" s="133">
        <v>64815822.950934954</v>
      </c>
      <c r="J17" s="133">
        <v>64815822.950934954</v>
      </c>
      <c r="K17" s="133">
        <v>16521626.562533975</v>
      </c>
      <c r="L17">
        <v>2037</v>
      </c>
      <c r="M17">
        <v>0</v>
      </c>
      <c r="N17" s="134">
        <v>9524613.4172093999</v>
      </c>
      <c r="O17" s="134">
        <v>18888036.551266368</v>
      </c>
      <c r="P17" s="134">
        <v>5887678.4442605274</v>
      </c>
      <c r="Q17" s="134">
        <v>5991106.849335039</v>
      </c>
      <c r="R17" s="134">
        <v>0</v>
      </c>
      <c r="S17" s="134">
        <v>0</v>
      </c>
      <c r="T17" s="134">
        <v>9524613.4172093999</v>
      </c>
      <c r="U17" s="134">
        <v>9524613.4172093999</v>
      </c>
      <c r="V17" s="134">
        <v>2961914.4064375442</v>
      </c>
    </row>
    <row r="18" spans="1:22" x14ac:dyDescent="0.25">
      <c r="A18">
        <v>2038</v>
      </c>
      <c r="B18" s="133">
        <v>0</v>
      </c>
      <c r="C18" s="133">
        <v>60550519.521039255</v>
      </c>
      <c r="D18" s="133">
        <v>141641193.22155866</v>
      </c>
      <c r="E18" s="133">
        <v>31085119.855711561</v>
      </c>
      <c r="F18" s="133">
        <v>41218262.364471965</v>
      </c>
      <c r="G18" s="133">
        <v>0</v>
      </c>
      <c r="H18" s="133">
        <v>0</v>
      </c>
      <c r="I18" s="133">
        <v>60550519.521039255</v>
      </c>
      <c r="J18" s="133">
        <v>60550519.521039255</v>
      </c>
      <c r="K18" s="133">
        <v>15217695.847268874</v>
      </c>
      <c r="L18">
        <v>2038</v>
      </c>
      <c r="M18">
        <v>0</v>
      </c>
      <c r="N18" s="134">
        <v>9030668.9657806419</v>
      </c>
      <c r="O18" s="134">
        <v>19632642.9990949</v>
      </c>
      <c r="P18" s="134">
        <v>5769048.1013130322</v>
      </c>
      <c r="Q18" s="134">
        <v>5560170.6356303552</v>
      </c>
      <c r="R18" s="134">
        <v>0</v>
      </c>
      <c r="S18" s="134">
        <v>0</v>
      </c>
      <c r="T18" s="134">
        <v>9030668.9657806419</v>
      </c>
      <c r="U18" s="134">
        <v>9030668.9657806419</v>
      </c>
      <c r="V18" s="134">
        <v>2844703.5801365683</v>
      </c>
    </row>
    <row r="19" spans="1:22" x14ac:dyDescent="0.25">
      <c r="A19">
        <v>2039</v>
      </c>
      <c r="B19" s="133">
        <v>0</v>
      </c>
      <c r="C19" s="133">
        <v>57867927.2393433</v>
      </c>
      <c r="D19" s="133">
        <v>145725051.4521735</v>
      </c>
      <c r="E19" s="133">
        <v>31096982.586251698</v>
      </c>
      <c r="F19" s="133">
        <v>38310945.555573024</v>
      </c>
      <c r="G19" s="133">
        <v>0</v>
      </c>
      <c r="H19" s="133">
        <v>0</v>
      </c>
      <c r="I19" s="133">
        <v>57867927.2393433</v>
      </c>
      <c r="J19" s="133">
        <v>57867927.2393433</v>
      </c>
      <c r="K19" s="133">
        <v>15411667.484925754</v>
      </c>
      <c r="L19">
        <v>2039</v>
      </c>
      <c r="M19">
        <v>0</v>
      </c>
      <c r="N19" s="134">
        <v>8726436.3381781112</v>
      </c>
      <c r="O19" s="134">
        <v>20251336.028962228</v>
      </c>
      <c r="P19" s="134">
        <v>5838956.0005275505</v>
      </c>
      <c r="Q19" s="134">
        <v>5173280.2294224137</v>
      </c>
      <c r="R19" s="134">
        <v>0</v>
      </c>
      <c r="S19" s="134">
        <v>0</v>
      </c>
      <c r="T19" s="134">
        <v>8726436.3381781112</v>
      </c>
      <c r="U19" s="134">
        <v>8726436.3381781112</v>
      </c>
      <c r="V19" s="134">
        <v>2919734.1977324849</v>
      </c>
    </row>
    <row r="20" spans="1:22" x14ac:dyDescent="0.25">
      <c r="A20">
        <v>2040</v>
      </c>
      <c r="B20" s="133">
        <v>0</v>
      </c>
      <c r="C20" s="133">
        <v>55500857.418025181</v>
      </c>
      <c r="D20" s="133">
        <v>148840733.62608081</v>
      </c>
      <c r="E20" s="133">
        <v>31404840.002065629</v>
      </c>
      <c r="F20" s="133">
        <v>35364351.768994913</v>
      </c>
      <c r="G20" s="133">
        <v>0</v>
      </c>
      <c r="H20" s="133">
        <v>0</v>
      </c>
      <c r="I20" s="133">
        <v>55500857.418025181</v>
      </c>
      <c r="J20" s="133">
        <v>55500857.418025181</v>
      </c>
      <c r="K20" s="133">
        <v>15968586.135464659</v>
      </c>
      <c r="L20">
        <v>2040</v>
      </c>
      <c r="M20">
        <v>0</v>
      </c>
      <c r="N20" s="134">
        <v>8517178.1732003633</v>
      </c>
      <c r="O20" s="134">
        <v>20787943.912777744</v>
      </c>
      <c r="P20" s="134">
        <v>6002578.0036583375</v>
      </c>
      <c r="Q20" s="134">
        <v>4813090.2038119677</v>
      </c>
      <c r="R20" s="134">
        <v>0</v>
      </c>
      <c r="S20" s="134">
        <v>0</v>
      </c>
      <c r="T20" s="134">
        <v>8517178.1732003633</v>
      </c>
      <c r="U20" s="134">
        <v>8517178.1732003633</v>
      </c>
      <c r="V20" s="134">
        <v>3084459.9871210158</v>
      </c>
    </row>
    <row r="21" spans="1:22" x14ac:dyDescent="0.25">
      <c r="A21">
        <v>2041</v>
      </c>
      <c r="B21" s="133">
        <v>0</v>
      </c>
      <c r="C21" s="133">
        <v>50672227.885218576</v>
      </c>
      <c r="D21" s="133">
        <v>145131777.025379</v>
      </c>
      <c r="E21" s="133">
        <v>29262820.154758338</v>
      </c>
      <c r="F21" s="133">
        <v>31994308.446750849</v>
      </c>
      <c r="G21" s="133">
        <v>0</v>
      </c>
      <c r="H21" s="133">
        <v>0</v>
      </c>
      <c r="I21" s="133">
        <v>50672227.885218576</v>
      </c>
      <c r="J21" s="133">
        <v>50672227.885218576</v>
      </c>
      <c r="K21" s="133">
        <v>14042760.164003439</v>
      </c>
      <c r="L21">
        <v>2041</v>
      </c>
      <c r="M21">
        <v>0</v>
      </c>
      <c r="N21" s="134">
        <v>7819916.2405700479</v>
      </c>
      <c r="O21" s="134">
        <v>20315706.363290992</v>
      </c>
      <c r="P21" s="134">
        <v>5677567.683537351</v>
      </c>
      <c r="Q21" s="134">
        <v>4339759.9976142142</v>
      </c>
      <c r="R21" s="134">
        <v>0</v>
      </c>
      <c r="S21" s="134">
        <v>0</v>
      </c>
      <c r="T21" s="134">
        <v>7819916.2405700479</v>
      </c>
      <c r="U21" s="134">
        <v>7819916.2405700479</v>
      </c>
      <c r="V21" s="134">
        <v>2770537.2011926649</v>
      </c>
    </row>
    <row r="22" spans="1:22" x14ac:dyDescent="0.25">
      <c r="A22">
        <v>2042</v>
      </c>
      <c r="B22" s="133">
        <v>0</v>
      </c>
      <c r="C22" s="133">
        <v>43747319.915527634</v>
      </c>
      <c r="D22" s="133">
        <v>138485393.456765</v>
      </c>
      <c r="E22" s="133">
        <v>25055044.183285583</v>
      </c>
      <c r="F22" s="133">
        <v>31235823.783667758</v>
      </c>
      <c r="G22" s="133">
        <v>0</v>
      </c>
      <c r="H22" s="133">
        <v>0</v>
      </c>
      <c r="I22" s="133">
        <v>43747319.915527634</v>
      </c>
      <c r="J22" s="133">
        <v>43747319.915527634</v>
      </c>
      <c r="K22" s="133">
        <v>9885048.8392074201</v>
      </c>
      <c r="L22">
        <v>2042</v>
      </c>
      <c r="M22">
        <v>0</v>
      </c>
      <c r="N22" s="134">
        <v>6765147.9441664536</v>
      </c>
      <c r="O22" s="134">
        <v>19237365.658576895</v>
      </c>
      <c r="P22" s="134">
        <v>4994604.6931440169</v>
      </c>
      <c r="Q22" s="134">
        <v>4197092.0622990774</v>
      </c>
      <c r="R22" s="134">
        <v>0</v>
      </c>
      <c r="S22" s="134">
        <v>0</v>
      </c>
      <c r="T22" s="134">
        <v>6765147.9441664536</v>
      </c>
      <c r="U22" s="134">
        <v>6765147.9441664536</v>
      </c>
      <c r="V22" s="134">
        <v>2087840.1304034577</v>
      </c>
    </row>
    <row r="23" spans="1:22" x14ac:dyDescent="0.25">
      <c r="A23">
        <v>2043</v>
      </c>
      <c r="B23" s="133">
        <v>0</v>
      </c>
      <c r="C23" s="133">
        <v>45641684.709562413</v>
      </c>
      <c r="D23" s="133">
        <v>138174928.20314261</v>
      </c>
      <c r="E23" s="133">
        <v>26910412.004490126</v>
      </c>
      <c r="F23" s="133">
        <v>31582247.032791894</v>
      </c>
      <c r="G23" s="133">
        <v>0</v>
      </c>
      <c r="H23" s="133">
        <v>0</v>
      </c>
      <c r="I23" s="133">
        <v>45641684.709562413</v>
      </c>
      <c r="J23" s="133">
        <v>45641684.709562413</v>
      </c>
      <c r="K23" s="133">
        <v>11801203.610328395</v>
      </c>
      <c r="L23">
        <v>2043</v>
      </c>
      <c r="M23">
        <v>0</v>
      </c>
      <c r="N23" s="134">
        <v>7104214.4234121116</v>
      </c>
      <c r="O23" s="134">
        <v>19296395.610352457</v>
      </c>
      <c r="P23" s="134">
        <v>5336635.1046687784</v>
      </c>
      <c r="Q23" s="134">
        <v>4249927.2482586456</v>
      </c>
      <c r="R23" s="134">
        <v>0</v>
      </c>
      <c r="S23" s="134">
        <v>0</v>
      </c>
      <c r="T23" s="134">
        <v>7104214.4234121116</v>
      </c>
      <c r="U23" s="134">
        <v>7104214.4234121116</v>
      </c>
      <c r="V23" s="134">
        <v>2433592.122084151</v>
      </c>
    </row>
    <row r="24" spans="1:22" x14ac:dyDescent="0.25">
      <c r="A24">
        <v>2044</v>
      </c>
      <c r="B24" s="133">
        <v>0</v>
      </c>
      <c r="C24" s="133">
        <v>46228138.415311493</v>
      </c>
      <c r="D24" s="133">
        <v>136926022.97976783</v>
      </c>
      <c r="E24" s="133">
        <v>27416933.602480114</v>
      </c>
      <c r="F24" s="133">
        <v>31531600.029951815</v>
      </c>
      <c r="G24" s="133">
        <v>0</v>
      </c>
      <c r="H24" s="133">
        <v>0</v>
      </c>
      <c r="I24" s="133">
        <v>46228138.415311493</v>
      </c>
      <c r="J24" s="133">
        <v>46228138.415311493</v>
      </c>
      <c r="K24" s="133">
        <v>12514100.857260955</v>
      </c>
      <c r="L24">
        <v>2044</v>
      </c>
      <c r="M24">
        <v>0</v>
      </c>
      <c r="N24" s="134">
        <v>7283708.3042276809</v>
      </c>
      <c r="O24" s="134">
        <v>19223757.287661493</v>
      </c>
      <c r="P24" s="134">
        <v>5519341.6114971172</v>
      </c>
      <c r="Q24" s="134">
        <v>4275468.9820106663</v>
      </c>
      <c r="R24" s="134">
        <v>0</v>
      </c>
      <c r="S24" s="134">
        <v>0</v>
      </c>
      <c r="T24" s="134">
        <v>7283708.3042276809</v>
      </c>
      <c r="U24" s="134">
        <v>7283708.3042276809</v>
      </c>
      <c r="V24" s="134">
        <v>2615322.6543620867</v>
      </c>
    </row>
    <row r="25" spans="1:22" x14ac:dyDescent="0.25">
      <c r="A25">
        <v>2045</v>
      </c>
      <c r="B25" s="133">
        <v>0</v>
      </c>
      <c r="C25" s="133">
        <v>45707395.296501584</v>
      </c>
      <c r="D25" s="133">
        <v>131966143.57649668</v>
      </c>
      <c r="E25" s="133">
        <v>26822985.042572837</v>
      </c>
      <c r="F25" s="133">
        <v>31036475.209556613</v>
      </c>
      <c r="G25" s="133">
        <v>0</v>
      </c>
      <c r="H25" s="133">
        <v>0</v>
      </c>
      <c r="I25" s="133">
        <v>45707395.296501584</v>
      </c>
      <c r="J25" s="133">
        <v>45707395.296501584</v>
      </c>
      <c r="K25" s="133">
        <v>12278598.838854462</v>
      </c>
      <c r="L25">
        <v>2045</v>
      </c>
      <c r="M25">
        <v>0</v>
      </c>
      <c r="N25" s="134">
        <v>7187426.1457667584</v>
      </c>
      <c r="O25" s="134">
        <v>18572539.569310039</v>
      </c>
      <c r="P25" s="134">
        <v>5426392.7124120044</v>
      </c>
      <c r="Q25" s="134">
        <v>4180394.8299372029</v>
      </c>
      <c r="R25" s="134">
        <v>0</v>
      </c>
      <c r="S25" s="134">
        <v>0</v>
      </c>
      <c r="T25" s="134">
        <v>7187426.1457667584</v>
      </c>
      <c r="U25" s="134">
        <v>7187426.1457667584</v>
      </c>
      <c r="V25" s="134">
        <v>2564590.9031991377</v>
      </c>
    </row>
    <row r="26" spans="1:22" x14ac:dyDescent="0.25">
      <c r="A26">
        <v>2046</v>
      </c>
      <c r="B26" s="133">
        <v>0</v>
      </c>
      <c r="C26" s="133">
        <v>46359668.004796974</v>
      </c>
      <c r="D26" s="133">
        <v>130180039.5082168</v>
      </c>
      <c r="E26" s="133">
        <v>27402073.686015841</v>
      </c>
      <c r="F26" s="133">
        <v>31090352.388577353</v>
      </c>
      <c r="G26" s="133">
        <v>0</v>
      </c>
      <c r="H26" s="133">
        <v>0</v>
      </c>
      <c r="I26" s="133">
        <v>46359668.004796974</v>
      </c>
      <c r="J26" s="133">
        <v>46359668.004796974</v>
      </c>
      <c r="K26" s="133">
        <v>12998996.582877276</v>
      </c>
      <c r="L26">
        <v>2046</v>
      </c>
      <c r="M26">
        <v>0</v>
      </c>
      <c r="N26" s="134">
        <v>7365929.9264491042</v>
      </c>
      <c r="O26" s="134">
        <v>18401623.353426985</v>
      </c>
      <c r="P26" s="134">
        <v>5608387.8236928508</v>
      </c>
      <c r="Q26" s="134">
        <v>4199036.9690278927</v>
      </c>
      <c r="R26" s="134">
        <v>0</v>
      </c>
      <c r="S26" s="134">
        <v>0</v>
      </c>
      <c r="T26" s="134">
        <v>7365929.9264491042</v>
      </c>
      <c r="U26" s="134">
        <v>7365929.9264491042</v>
      </c>
      <c r="V26" s="134">
        <v>2747640.9831764824</v>
      </c>
    </row>
    <row r="27" spans="1:22" x14ac:dyDescent="0.25">
      <c r="A27">
        <v>2047</v>
      </c>
      <c r="B27" s="133">
        <v>0</v>
      </c>
      <c r="C27" s="133">
        <v>46399973.164335482</v>
      </c>
      <c r="D27" s="133">
        <v>126714463.57739255</v>
      </c>
      <c r="E27" s="133">
        <v>27370095.717900675</v>
      </c>
      <c r="F27" s="133">
        <v>31046157.198647361</v>
      </c>
      <c r="G27" s="133">
        <v>0</v>
      </c>
      <c r="H27" s="133">
        <v>0</v>
      </c>
      <c r="I27" s="133">
        <v>46399973.164335482</v>
      </c>
      <c r="J27" s="133">
        <v>46399973.164335482</v>
      </c>
      <c r="K27" s="133">
        <v>13107673.669093601</v>
      </c>
      <c r="L27">
        <v>2047</v>
      </c>
      <c r="M27">
        <v>0</v>
      </c>
      <c r="N27" s="134">
        <v>7411920.3162550582</v>
      </c>
      <c r="O27" s="134">
        <v>17975517.178187054</v>
      </c>
      <c r="P27" s="134">
        <v>5657863.4991305303</v>
      </c>
      <c r="Q27" s="134">
        <v>4194914.3306271788</v>
      </c>
      <c r="R27" s="134">
        <v>0</v>
      </c>
      <c r="S27" s="134">
        <v>0</v>
      </c>
      <c r="T27" s="134">
        <v>7411920.3162550582</v>
      </c>
      <c r="U27" s="134">
        <v>7411920.3162550582</v>
      </c>
      <c r="V27" s="134">
        <v>2798183.0285218889</v>
      </c>
    </row>
    <row r="28" spans="1:22" x14ac:dyDescent="0.25">
      <c r="A28">
        <v>2048</v>
      </c>
      <c r="B28" s="133">
        <v>0</v>
      </c>
      <c r="C28" s="133">
        <v>47380536.139472738</v>
      </c>
      <c r="D28" s="133">
        <v>125332537.86264862</v>
      </c>
      <c r="E28" s="133">
        <v>27924878.249867886</v>
      </c>
      <c r="F28" s="133">
        <v>31137326.998375617</v>
      </c>
      <c r="G28" s="133">
        <v>0</v>
      </c>
      <c r="H28" s="133">
        <v>0</v>
      </c>
      <c r="I28" s="133">
        <v>47380536.139472738</v>
      </c>
      <c r="J28" s="133">
        <v>47380536.139472738</v>
      </c>
      <c r="K28" s="133">
        <v>14156857.128785646</v>
      </c>
      <c r="L28">
        <v>2048</v>
      </c>
      <c r="M28">
        <v>0</v>
      </c>
      <c r="N28" s="134">
        <v>7657268.9582666187</v>
      </c>
      <c r="O28" s="134">
        <v>17881571.494521793</v>
      </c>
      <c r="P28" s="134">
        <v>5664763.1877832757</v>
      </c>
      <c r="Q28" s="134">
        <v>4220007.6005149111</v>
      </c>
      <c r="R28" s="134">
        <v>0</v>
      </c>
      <c r="S28" s="134">
        <v>0</v>
      </c>
      <c r="T28" s="134">
        <v>7657268.9582666187</v>
      </c>
      <c r="U28" s="134">
        <v>7657268.9582666187</v>
      </c>
      <c r="V28" s="134">
        <v>3048168.537953747</v>
      </c>
    </row>
    <row r="29" spans="1:22" x14ac:dyDescent="0.25">
      <c r="A29">
        <v>2049</v>
      </c>
      <c r="B29" s="133">
        <v>0</v>
      </c>
      <c r="C29" s="133">
        <v>49971537.598821141</v>
      </c>
      <c r="D29" s="133">
        <v>122775080.31895854</v>
      </c>
      <c r="E29" s="133">
        <v>27338198.847876675</v>
      </c>
      <c r="F29" s="133">
        <v>33815077.122399911</v>
      </c>
      <c r="G29" s="133">
        <v>0</v>
      </c>
      <c r="H29" s="133">
        <v>0</v>
      </c>
      <c r="I29" s="133">
        <v>49971537.598821141</v>
      </c>
      <c r="J29" s="133">
        <v>49971537.598821141</v>
      </c>
      <c r="K29" s="133">
        <v>14060208.189230978</v>
      </c>
      <c r="L29">
        <v>2049</v>
      </c>
      <c r="M29">
        <v>0</v>
      </c>
      <c r="N29" s="134">
        <v>8002015.4253490455</v>
      </c>
      <c r="O29" s="134">
        <v>17595451.457523145</v>
      </c>
      <c r="P29" s="134">
        <v>5401767.0242457129</v>
      </c>
      <c r="Q29" s="134">
        <v>4573347.3175736396</v>
      </c>
      <c r="R29" s="134">
        <v>0</v>
      </c>
      <c r="S29" s="134">
        <v>0</v>
      </c>
      <c r="T29" s="134">
        <v>8002015.4253490455</v>
      </c>
      <c r="U29" s="134">
        <v>8002015.4253490455</v>
      </c>
      <c r="V29" s="134">
        <v>3027803.3487637113</v>
      </c>
    </row>
    <row r="30" spans="1:22" x14ac:dyDescent="0.25">
      <c r="A30">
        <v>2050</v>
      </c>
      <c r="B30" s="133">
        <v>0</v>
      </c>
      <c r="C30" s="133">
        <v>51571061.649378777</v>
      </c>
      <c r="D30" s="133">
        <v>122734469.51025721</v>
      </c>
      <c r="E30" s="133">
        <v>27711700.746734519</v>
      </c>
      <c r="F30" s="133">
        <v>34575742.274372511</v>
      </c>
      <c r="G30" s="133">
        <v>0</v>
      </c>
      <c r="H30" s="133">
        <v>0</v>
      </c>
      <c r="I30" s="133">
        <v>52155633.913017146</v>
      </c>
      <c r="J30" s="133">
        <v>52155633.913017146</v>
      </c>
      <c r="K30" s="133">
        <v>14805538.190491863</v>
      </c>
      <c r="L30">
        <v>2050</v>
      </c>
      <c r="M30">
        <v>0</v>
      </c>
      <c r="N30" s="134">
        <v>7393373.4867976271</v>
      </c>
      <c r="O30" s="134">
        <v>17347746.184943166</v>
      </c>
      <c r="P30" s="134">
        <v>5330977.2013664702</v>
      </c>
      <c r="Q30" s="134">
        <v>3739610.0781917502</v>
      </c>
      <c r="R30" s="134">
        <v>0</v>
      </c>
      <c r="S30" s="134">
        <v>0</v>
      </c>
      <c r="T30" s="134">
        <v>7795973.9003233723</v>
      </c>
      <c r="U30" s="134">
        <v>7795973.9003233723</v>
      </c>
      <c r="V30" s="134">
        <v>3118727.7938952446</v>
      </c>
    </row>
  </sheetData>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1215-8E44-47AA-9D6B-C43CEE62A203}">
  <sheetPr>
    <tabColor rgb="FF7030A0"/>
  </sheetPr>
  <dimension ref="A1:BY30"/>
  <sheetViews>
    <sheetView topLeftCell="BC1" workbookViewId="0">
      <selection activeCell="E40" sqref="E40:E42"/>
    </sheetView>
  </sheetViews>
  <sheetFormatPr defaultRowHeight="15" x14ac:dyDescent="0.25"/>
  <cols>
    <col min="2" max="2" width="13.7109375" customWidth="1"/>
    <col min="3" max="3" width="12.42578125" bestFit="1" customWidth="1"/>
    <col min="4" max="4" width="13.5703125" bestFit="1" customWidth="1"/>
    <col min="5" max="6" width="12.42578125" bestFit="1" customWidth="1"/>
    <col min="7" max="7" width="15.28515625" bestFit="1" customWidth="1"/>
    <col min="8" max="8" width="14.28515625" bestFit="1" customWidth="1"/>
    <col min="9" max="11" width="12.42578125" bestFit="1" customWidth="1"/>
    <col min="12" max="13" width="9" bestFit="1" customWidth="1"/>
    <col min="14" max="14" width="11.5703125" customWidth="1"/>
    <col min="15" max="15" width="11.7109375" customWidth="1"/>
    <col min="16" max="16" width="12.28515625" customWidth="1"/>
    <col min="17" max="17" width="11.7109375" customWidth="1"/>
    <col min="20" max="22" width="11.28515625" customWidth="1"/>
    <col min="25" max="26" width="11" customWidth="1"/>
    <col min="27" max="27" width="12.5703125" customWidth="1"/>
    <col min="28" max="33" width="11" customWidth="1"/>
    <col min="35" max="36" width="9" bestFit="1" customWidth="1"/>
    <col min="37" max="37" width="13.5703125" bestFit="1" customWidth="1"/>
    <col min="38" max="44" width="9" bestFit="1" customWidth="1"/>
    <col min="47" max="50" width="13.5703125" bestFit="1" customWidth="1"/>
    <col min="51" max="52" width="9" bestFit="1" customWidth="1"/>
    <col min="53" max="55" width="13.5703125" bestFit="1" customWidth="1"/>
    <col min="57" max="66" width="13.28515625" customWidth="1"/>
  </cols>
  <sheetData>
    <row r="1" spans="1:77" x14ac:dyDescent="0.25">
      <c r="A1" t="s">
        <v>410</v>
      </c>
      <c r="B1" s="69" t="s">
        <v>94</v>
      </c>
      <c r="C1" t="s">
        <v>98</v>
      </c>
      <c r="D1" t="s">
        <v>99</v>
      </c>
      <c r="E1" t="s">
        <v>100</v>
      </c>
      <c r="F1" t="s">
        <v>101</v>
      </c>
      <c r="G1" t="s">
        <v>102</v>
      </c>
      <c r="H1" t="s">
        <v>103</v>
      </c>
      <c r="I1" t="s">
        <v>104</v>
      </c>
      <c r="J1" t="s">
        <v>105</v>
      </c>
      <c r="K1" t="s">
        <v>106</v>
      </c>
      <c r="L1" t="s">
        <v>411</v>
      </c>
      <c r="M1" s="69" t="s">
        <v>94</v>
      </c>
      <c r="N1" t="s">
        <v>98</v>
      </c>
      <c r="O1" t="s">
        <v>99</v>
      </c>
      <c r="P1" t="s">
        <v>100</v>
      </c>
      <c r="Q1" t="s">
        <v>101</v>
      </c>
      <c r="R1" t="s">
        <v>102</v>
      </c>
      <c r="S1" t="s">
        <v>103</v>
      </c>
      <c r="T1" t="s">
        <v>104</v>
      </c>
      <c r="U1" t="s">
        <v>105</v>
      </c>
      <c r="V1" t="s">
        <v>106</v>
      </c>
      <c r="W1" t="s">
        <v>412</v>
      </c>
      <c r="X1" s="69" t="s">
        <v>94</v>
      </c>
      <c r="Y1" t="s">
        <v>98</v>
      </c>
      <c r="Z1" t="s">
        <v>99</v>
      </c>
      <c r="AA1" t="s">
        <v>100</v>
      </c>
      <c r="AB1" t="s">
        <v>101</v>
      </c>
      <c r="AC1" t="s">
        <v>102</v>
      </c>
      <c r="AD1" t="s">
        <v>103</v>
      </c>
      <c r="AE1" t="s">
        <v>104</v>
      </c>
      <c r="AF1" t="s">
        <v>105</v>
      </c>
      <c r="AG1" t="s">
        <v>106</v>
      </c>
      <c r="AH1" t="s">
        <v>413</v>
      </c>
      <c r="AI1" s="69" t="s">
        <v>94</v>
      </c>
      <c r="AJ1" t="s">
        <v>98</v>
      </c>
      <c r="AK1" t="s">
        <v>99</v>
      </c>
      <c r="AL1" t="s">
        <v>100</v>
      </c>
      <c r="AM1" t="s">
        <v>101</v>
      </c>
      <c r="AN1" t="s">
        <v>102</v>
      </c>
      <c r="AO1" t="s">
        <v>103</v>
      </c>
      <c r="AP1" t="s">
        <v>104</v>
      </c>
      <c r="AQ1" t="s">
        <v>105</v>
      </c>
      <c r="AR1" t="s">
        <v>106</v>
      </c>
      <c r="AS1" t="s">
        <v>414</v>
      </c>
      <c r="AT1" s="69" t="s">
        <v>94</v>
      </c>
      <c r="AU1" t="s">
        <v>98</v>
      </c>
      <c r="AV1" t="s">
        <v>99</v>
      </c>
      <c r="AW1" t="s">
        <v>100</v>
      </c>
      <c r="AX1" t="s">
        <v>101</v>
      </c>
      <c r="AY1" t="s">
        <v>102</v>
      </c>
      <c r="AZ1" t="s">
        <v>103</v>
      </c>
      <c r="BA1" t="s">
        <v>104</v>
      </c>
      <c r="BB1" t="s">
        <v>105</v>
      </c>
      <c r="BC1" t="s">
        <v>106</v>
      </c>
      <c r="BD1" t="s">
        <v>415</v>
      </c>
      <c r="BE1" s="69" t="s">
        <v>94</v>
      </c>
      <c r="BF1" t="s">
        <v>98</v>
      </c>
      <c r="BG1" t="s">
        <v>99</v>
      </c>
      <c r="BH1" t="s">
        <v>100</v>
      </c>
      <c r="BI1" t="s">
        <v>101</v>
      </c>
      <c r="BJ1" t="s">
        <v>102</v>
      </c>
      <c r="BK1" t="s">
        <v>103</v>
      </c>
      <c r="BL1" t="s">
        <v>104</v>
      </c>
      <c r="BM1" t="s">
        <v>105</v>
      </c>
      <c r="BN1" t="s">
        <v>106</v>
      </c>
      <c r="BO1" t="s">
        <v>361</v>
      </c>
      <c r="BP1" s="69" t="s">
        <v>94</v>
      </c>
      <c r="BQ1" t="s">
        <v>98</v>
      </c>
      <c r="BR1" t="s">
        <v>99</v>
      </c>
      <c r="BS1" t="s">
        <v>100</v>
      </c>
      <c r="BT1" t="s">
        <v>101</v>
      </c>
      <c r="BU1" t="s">
        <v>102</v>
      </c>
      <c r="BV1" t="s">
        <v>103</v>
      </c>
      <c r="BW1" t="s">
        <v>104</v>
      </c>
      <c r="BX1" t="s">
        <v>105</v>
      </c>
      <c r="BY1" t="s">
        <v>106</v>
      </c>
    </row>
    <row r="2" spans="1:77" x14ac:dyDescent="0.25">
      <c r="A2">
        <v>2022</v>
      </c>
      <c r="B2" s="133">
        <f>('[2]OR Res Incremental EE'!ST2+'[2]OR Com Incremental EE'!SI2)*'[5]Energy Efficiency'!$BR$9</f>
        <v>0</v>
      </c>
      <c r="C2" s="133">
        <f>('[2]OR Res Incremental EE'!SU2+'[2]OR Com Incremental EE'!SJ2)*'[5]Energy Efficiency'!$BR$9</f>
        <v>0</v>
      </c>
      <c r="D2" s="133">
        <f>('[2]OR Res Incremental EE'!SV2+'[2]OR Com Incremental EE'!SK2)*'[5]Energy Efficiency'!$BR$9</f>
        <v>2311275.5524149733</v>
      </c>
      <c r="E2" s="133">
        <f>('[2]OR Res Incremental EE'!SW2+'[2]OR Com Incremental EE'!SL2)*'[5]Energy Efficiency'!$BR$9</f>
        <v>0</v>
      </c>
      <c r="F2" s="133">
        <f>('[2]OR Res Incremental EE'!SX2+'[2]OR Com Incremental EE'!SM2)*'[5]Energy Efficiency'!$BR$9</f>
        <v>0</v>
      </c>
      <c r="G2" s="133">
        <v>0</v>
      </c>
      <c r="H2" s="133">
        <v>0</v>
      </c>
      <c r="I2" s="133">
        <f>('[2]OR Res Incremental EE'!TA2+'[2]OR Com Incremental EE'!SP2)*'[5]Energy Efficiency'!$BR$9</f>
        <v>0</v>
      </c>
      <c r="J2" s="133">
        <f>('[2]OR Res Incremental EE'!TB2+'[2]OR Com Incremental EE'!SQ2)*'[5]Energy Efficiency'!$BR$9</f>
        <v>0</v>
      </c>
      <c r="K2" s="133">
        <f>('[2]OR Res Incremental EE'!TC2+'[2]OR Com Incremental EE'!SR2)*'[5]Energy Efficiency'!$BR$9</f>
        <v>0</v>
      </c>
      <c r="L2" s="133"/>
      <c r="M2" s="133">
        <f>('[2]OR-Res-Existing Cust'!SO36*0.87*'[2]Key Inputs'!$C$74)+('[2]OR-Res-Existing Cust'!SO164*0.67*'[2]Key Inputs'!$C$75)+('[2]OR-Res-Cust Growth'!SQ34*0.87*'[2]Key Inputs'!$C$74)+('[2]OR-Res-Cust Growth'!SQ162*0.87*'[2]Key Inputs'!$C$75)+('[2]OR-Com-Existing Cust'!SO36*0.87*'[2]Key Inputs'!$C$78)+('[2]OR-Com-Cust Growth'!SQ34*0.87*'[2]Key Inputs'!$C$78)</f>
        <v>0</v>
      </c>
      <c r="N2" s="133">
        <f>('[2]OR-Res-Existing Cust'!SP36*0.87*'[2]Key Inputs'!$C$74)+('[2]OR-Res-Existing Cust'!SP164*0.67*'[2]Key Inputs'!$C$75)+('[2]OR-Res-Cust Growth'!SR34*0.87*'[2]Key Inputs'!$C$74)+('[2]OR-Res-Cust Growth'!SR162*0.87*'[2]Key Inputs'!$C$75)+('[2]OR-Com-Existing Cust'!SP36*0.87*'[2]Key Inputs'!$C$78)+('[2]OR-Com-Cust Growth'!SR34*0.87*'[2]Key Inputs'!$C$78)</f>
        <v>0</v>
      </c>
      <c r="O2" s="133">
        <f>('[2]OR-Res-Existing Cust'!SQ36*0.87*'[2]Key Inputs'!$C$74)+('[2]OR-Res-Existing Cust'!SQ164*0.67*'[2]Key Inputs'!$C$75)+('[2]OR-Res-Cust Growth'!SS34*0.87*'[2]Key Inputs'!$C$74)+('[2]OR-Res-Cust Growth'!SS162*0.87*'[2]Key Inputs'!$C$75)+('[2]OR-Com-Existing Cust'!SQ36*0.87*'[2]Key Inputs'!$C$78)+('[2]OR-Com-Cust Growth'!SS34*0.87*'[2]Key Inputs'!$C$78)</f>
        <v>0</v>
      </c>
      <c r="P2" s="133">
        <f>('[2]OR-Res-Existing Cust'!SR36*0.87*'[2]Key Inputs'!$C$74)+('[2]OR-Res-Existing Cust'!SR164*0.67*'[2]Key Inputs'!$C$75)+('[2]OR-Res-Cust Growth'!ST34*0.87*'[2]Key Inputs'!$C$74)+('[2]OR-Res-Cust Growth'!ST162*0.87*'[2]Key Inputs'!$C$75)+('[2]OR-Com-Existing Cust'!SR36*0.87*'[2]Key Inputs'!$C$78)+('[2]OR-Com-Cust Growth'!ST34*0.87*'[2]Key Inputs'!$C$78)</f>
        <v>0</v>
      </c>
      <c r="Q2" s="133">
        <f>('[2]OR-Res-Existing Cust'!SS36*0.87*'[2]Key Inputs'!$C$74)+('[2]OR-Res-Existing Cust'!SS164*0.67*'[2]Key Inputs'!$C$75)+('[2]OR-Res-Cust Growth'!SU34*0.87*'[2]Key Inputs'!$C$74)+('[2]OR-Res-Cust Growth'!SU162*0.87*'[2]Key Inputs'!$C$75)+('[2]OR-Com-Existing Cust'!SS36*0.87*'[2]Key Inputs'!$C$78)+('[2]OR-Com-Cust Growth'!SU34*0.87*'[2]Key Inputs'!$C$78)</f>
        <v>0</v>
      </c>
      <c r="R2" s="133">
        <f>('[2]OR-Res-Existing Cust'!ST36*0.87*'[2]Key Inputs'!$C$74)+('[2]OR-Res-Existing Cust'!ST164*0.67*'[2]Key Inputs'!$C$75)+('[2]OR-Res-Cust Growth'!SV34*0.87*'[2]Key Inputs'!$C$74)+('[2]OR-Res-Cust Growth'!SV162*0.87*'[2]Key Inputs'!$C$75)+('[2]OR-Com-Existing Cust'!ST36*0.87*'[2]Key Inputs'!$C$78)+('[2]OR-Com-Cust Growth'!SV34*0.87*'[2]Key Inputs'!$C$78)</f>
        <v>0</v>
      </c>
      <c r="S2" s="133">
        <f>('[2]OR-Res-Existing Cust'!SU36*0.87*'[2]Key Inputs'!$C$74)+('[2]OR-Res-Existing Cust'!SU164*0.67*'[2]Key Inputs'!$C$75)+('[2]OR-Res-Cust Growth'!SW34*0.87*'[2]Key Inputs'!$C$74)+('[2]OR-Res-Cust Growth'!SW162*0.87*'[2]Key Inputs'!$C$75)+('[2]OR-Com-Existing Cust'!SU36*0.87*'[2]Key Inputs'!$C$78)+('[2]OR-Com-Cust Growth'!SW34*0.87*'[2]Key Inputs'!$C$78)</f>
        <v>0</v>
      </c>
      <c r="T2" s="133">
        <f>('[2]OR-Res-Existing Cust'!SV36*0.87*'[2]Key Inputs'!$C$74)+('[2]OR-Res-Existing Cust'!SV164*0.67*'[2]Key Inputs'!$C$75)+('[2]OR-Res-Cust Growth'!SX34*0.87*'[2]Key Inputs'!$C$74)+('[2]OR-Res-Cust Growth'!SX162*0.87*'[2]Key Inputs'!$C$75)+('[2]OR-Com-Existing Cust'!SV36*0.87*'[2]Key Inputs'!$C$78)+('[2]OR-Com-Cust Growth'!SX34*0.87*'[2]Key Inputs'!$C$78)</f>
        <v>0</v>
      </c>
      <c r="U2" s="133">
        <f>('[2]OR-Res-Existing Cust'!SW36*0.87*'[2]Key Inputs'!$C$74)+('[2]OR-Res-Existing Cust'!SW164*0.67*'[2]Key Inputs'!$C$75)+('[2]OR-Res-Cust Growth'!SY34*0.87*'[2]Key Inputs'!$C$74)+('[2]OR-Res-Cust Growth'!SY162*0.87*'[2]Key Inputs'!$C$75)+('[2]OR-Com-Existing Cust'!SW36*0.87*'[2]Key Inputs'!$C$78)+('[2]OR-Com-Cust Growth'!SY34*0.87*'[2]Key Inputs'!$C$78)</f>
        <v>0</v>
      </c>
      <c r="V2" s="133">
        <f>('[2]OR-Res-Existing Cust'!SX36*0.87*'[2]Key Inputs'!$C$74)+('[2]OR-Res-Existing Cust'!SX164*0.67*'[2]Key Inputs'!$C$75)+('[2]OR-Res-Cust Growth'!SZ34*0.87*'[2]Key Inputs'!$C$74)+('[2]OR-Res-Cust Growth'!SZ162*0.87*'[2]Key Inputs'!$C$75)+('[2]OR-Com-Existing Cust'!SX36*0.87*'[2]Key Inputs'!$C$78)+('[2]OR-Com-Cust Growth'!SZ34*0.87*'[2]Key Inputs'!$C$78)</f>
        <v>0</v>
      </c>
      <c r="X2" s="63">
        <f>(('[2]OR-Res-Existing Cust'!SO100+'[2]OR-Res-Cust Growth'!SQ98)*'[2]Key Inputs'!$C$73)+(('[2]OR-Com-Existing Cust'!SO100+'[2]OR-Com-Cust Growth'!SQ98)*'[2]Key Inputs'!$C$77)</f>
        <v>0</v>
      </c>
      <c r="Y2" s="63">
        <f>(('[2]OR-Res-Existing Cust'!SP100+'[2]OR-Res-Cust Growth'!SR98)*'[2]Key Inputs'!$C$73)+(('[2]OR-Com-Existing Cust'!SP100+'[2]OR-Com-Cust Growth'!SR98)*'[2]Key Inputs'!$C$77)</f>
        <v>0</v>
      </c>
      <c r="Z2" s="63">
        <f>(('[2]OR-Res-Existing Cust'!SQ100+'[2]OR-Res-Cust Growth'!SS98)*'[2]Key Inputs'!$C$73)+(('[2]OR-Com-Existing Cust'!SQ100+'[2]OR-Com-Cust Growth'!SS98)*'[2]Key Inputs'!$C$77)</f>
        <v>0</v>
      </c>
      <c r="AA2" s="63">
        <f>(('[2]OR-Res-Existing Cust'!SR100+'[2]OR-Res-Cust Growth'!ST98)*'[2]Key Inputs'!$C$73)+(('[2]OR-Com-Existing Cust'!SR100+'[2]OR-Com-Cust Growth'!ST98)*'[2]Key Inputs'!$C$77)</f>
        <v>0</v>
      </c>
      <c r="AB2" s="63">
        <f>(('[2]OR-Res-Existing Cust'!SS100+'[2]OR-Res-Cust Growth'!SU98)*'[2]Key Inputs'!$C$73)+(('[2]OR-Com-Existing Cust'!SS100+'[2]OR-Com-Cust Growth'!SU98)*'[2]Key Inputs'!$C$77)</f>
        <v>0</v>
      </c>
      <c r="AC2" s="63">
        <f>(('[2]OR-Res-Existing Cust'!ST100+'[2]OR-Res-Cust Growth'!SV98)*'[2]Key Inputs'!$C$73)+(('[2]OR-Com-Existing Cust'!ST100+'[2]OR-Com-Cust Growth'!SV98)*'[2]Key Inputs'!$C$77)</f>
        <v>0</v>
      </c>
      <c r="AD2" s="63">
        <f>(('[2]OR-Res-Existing Cust'!SU100+'[2]OR-Res-Cust Growth'!SW98)*'[2]Key Inputs'!$C$73)+(('[2]OR-Com-Existing Cust'!SU100+'[2]OR-Com-Cust Growth'!SW98)*'[2]Key Inputs'!$C$77)</f>
        <v>0</v>
      </c>
      <c r="AE2" s="63">
        <f>(('[2]OR-Res-Existing Cust'!SV100+'[2]OR-Res-Cust Growth'!SX98)*'[2]Key Inputs'!$C$73)+(('[2]OR-Com-Existing Cust'!SV100+'[2]OR-Com-Cust Growth'!SX98)*'[2]Key Inputs'!$C$77)</f>
        <v>0</v>
      </c>
      <c r="AF2" s="63">
        <f>(('[2]OR-Res-Existing Cust'!SW100+'[2]OR-Res-Cust Growth'!SY98)*'[2]Key Inputs'!$C$73)+(('[2]OR-Com-Existing Cust'!SW100+'[2]OR-Com-Cust Growth'!SY98)*'[2]Key Inputs'!$C$77)</f>
        <v>0</v>
      </c>
      <c r="AG2" s="63">
        <f>(('[2]OR-Res-Existing Cust'!SX100+'[2]OR-Res-Cust Growth'!SZ98)*'[2]Key Inputs'!$C$73)+(('[2]OR-Com-Existing Cust'!SX100+'[2]OR-Com-Cust Growth'!SZ98)*'[2]Key Inputs'!$C$77)</f>
        <v>0</v>
      </c>
      <c r="AI2" s="152">
        <f>'[6]OR-IndComSales-Annual'!TF4*2.33</f>
        <v>0</v>
      </c>
      <c r="AJ2" s="152">
        <f>'[6]OR-IndComSales-Annual'!TG4*2.33</f>
        <v>0</v>
      </c>
      <c r="AK2" s="152">
        <f>'[6]OR-IndComSales-Annual'!TH4*2.33</f>
        <v>0</v>
      </c>
      <c r="AL2" s="152">
        <f>'[6]OR-IndComSales-Annual'!TI4*2.33</f>
        <v>0</v>
      </c>
      <c r="AM2" s="152">
        <f>'[6]OR-IndComSales-Annual'!TJ4*2.33</f>
        <v>0</v>
      </c>
      <c r="AN2" s="152">
        <f>'[6]OR-IndComSales-Annual'!TK4*2.33</f>
        <v>0</v>
      </c>
      <c r="AO2" s="152">
        <f>'[6]OR-IndComSales-Annual'!TL4*2.33</f>
        <v>0</v>
      </c>
      <c r="AP2" s="152">
        <f>'[6]OR-IndComSales-Annual'!TM4*2.33</f>
        <v>0</v>
      </c>
      <c r="AQ2" s="152">
        <f>'[6]OR-IndComSales-Annual'!TN4*2.33</f>
        <v>0</v>
      </c>
      <c r="AR2" s="152">
        <f>'[6]OR-IndComSales-Annual'!TO4*2.33</f>
        <v>0</v>
      </c>
      <c r="AT2">
        <v>0</v>
      </c>
      <c r="AU2" s="152">
        <f>'[6]OR-Transport-Annual'!TE4*1.79</f>
        <v>0</v>
      </c>
      <c r="AV2" s="152">
        <f>'[6]OR-Transport-Annual'!TF4*1.79</f>
        <v>0</v>
      </c>
      <c r="AW2" s="152">
        <f>'[6]OR-Transport-Annual'!TG4*1.79</f>
        <v>0</v>
      </c>
      <c r="AX2" s="152">
        <f>'[6]OR-Transport-Annual'!TH4*1.79</f>
        <v>0</v>
      </c>
      <c r="AY2" s="152">
        <f>'[6]OR-Transport-Annual'!TI4*1.79</f>
        <v>0</v>
      </c>
      <c r="AZ2" s="152">
        <f>'[6]OR-Transport-Annual'!TJ4*1.79</f>
        <v>0</v>
      </c>
      <c r="BA2" s="152">
        <f>'[6]OR-Transport-Annual'!TK4*1.79</f>
        <v>0</v>
      </c>
      <c r="BB2" s="152">
        <f>'[6]OR-Transport-Annual'!TL4*1.79</f>
        <v>0</v>
      </c>
      <c r="BC2" s="152">
        <f>'[6]OR-Transport-Annual'!TM4*1.79</f>
        <v>0</v>
      </c>
      <c r="BE2" s="133">
        <f>B2+M2+X2+AI2+AT2</f>
        <v>0</v>
      </c>
      <c r="BF2" s="133">
        <f t="shared" ref="BF2:BN17" si="0">C2+N2+Y2+AJ2+AU2</f>
        <v>0</v>
      </c>
      <c r="BG2" s="133">
        <f t="shared" si="0"/>
        <v>2311275.5524149733</v>
      </c>
      <c r="BH2" s="133">
        <f t="shared" si="0"/>
        <v>0</v>
      </c>
      <c r="BI2" s="133">
        <f t="shared" si="0"/>
        <v>0</v>
      </c>
      <c r="BJ2" s="133">
        <f t="shared" si="0"/>
        <v>0</v>
      </c>
      <c r="BK2" s="133">
        <f t="shared" si="0"/>
        <v>0</v>
      </c>
      <c r="BL2" s="133">
        <f t="shared" si="0"/>
        <v>0</v>
      </c>
      <c r="BM2" s="133">
        <f t="shared" si="0"/>
        <v>0</v>
      </c>
      <c r="BN2" s="133">
        <f t="shared" si="0"/>
        <v>0</v>
      </c>
      <c r="BP2" s="153">
        <f>BE2/(([4]Annual!FZ2+[4]Annual!EW2)/10)</f>
        <v>0</v>
      </c>
      <c r="BQ2" s="153">
        <f>BF2/(([4]Annual!GA2+[4]Annual!EX2)/10)</f>
        <v>0</v>
      </c>
      <c r="BR2" s="153">
        <f>BG2/(([4]Annual!GB2+[4]Annual!EY2)/10)</f>
        <v>2.1399727811132824E-2</v>
      </c>
      <c r="BS2" s="153">
        <f>BH2/(([4]Annual!GC2+[4]Annual!EZ2)/10)</f>
        <v>0</v>
      </c>
      <c r="BT2" s="153">
        <f>BI2/(([4]Annual!GD2+[4]Annual!FA2)/10)</f>
        <v>0</v>
      </c>
      <c r="BU2" s="153">
        <f>BJ2/(([4]Annual!GE2+[4]Annual!FB2)/10)</f>
        <v>0</v>
      </c>
      <c r="BV2" s="153">
        <f>BK2/(([4]Annual!GF2+[4]Annual!FC2)/10)</f>
        <v>0</v>
      </c>
      <c r="BW2" s="153">
        <f>BL2/(([4]Annual!GG2+[4]Annual!FD2)/10)</f>
        <v>0</v>
      </c>
      <c r="BX2" s="153">
        <f>BM2/(([4]Annual!GH2+[4]Annual!FE2)/10)</f>
        <v>0</v>
      </c>
      <c r="BY2" s="153">
        <f>BN2/(([4]Annual!GI2+[4]Annual!FF2)/10)</f>
        <v>0</v>
      </c>
    </row>
    <row r="3" spans="1:77" x14ac:dyDescent="0.25">
      <c r="A3">
        <v>2023</v>
      </c>
      <c r="B3" s="133">
        <f>('[2]OR Res Incremental EE'!ST3+'[2]OR Com Incremental EE'!SI3)*'[5]Energy Efficiency'!$BR$9</f>
        <v>214138.7289435672</v>
      </c>
      <c r="C3" s="133">
        <f>('[2]OR Res Incremental EE'!SU3+'[2]OR Com Incremental EE'!SJ3)*'[5]Energy Efficiency'!$BR$9</f>
        <v>214138.7289435672</v>
      </c>
      <c r="D3" s="133">
        <f>('[2]OR Res Incremental EE'!SV3+'[2]OR Com Incremental EE'!SK3)*'[5]Energy Efficiency'!$BR$9</f>
        <v>4619500.0185187822</v>
      </c>
      <c r="E3" s="133">
        <f>('[2]OR Res Incremental EE'!SW3+'[2]OR Com Incremental EE'!SL3)*'[5]Energy Efficiency'!$BR$9</f>
        <v>214138.7289435672</v>
      </c>
      <c r="F3" s="133">
        <f>('[2]OR Res Incremental EE'!SX3+'[2]OR Com Incremental EE'!SM3)*'[5]Energy Efficiency'!$BR$9</f>
        <v>214138.7289435672</v>
      </c>
      <c r="G3" s="133">
        <v>0</v>
      </c>
      <c r="H3" s="133">
        <v>0</v>
      </c>
      <c r="I3" s="133">
        <f>('[2]OR Res Incremental EE'!TA3+'[2]OR Com Incremental EE'!SP3)*'[5]Energy Efficiency'!$BR$9</f>
        <v>214138.7289435672</v>
      </c>
      <c r="J3" s="133">
        <f>('[2]OR Res Incremental EE'!TB3+'[2]OR Com Incremental EE'!SQ3)*'[5]Energy Efficiency'!$BR$9</f>
        <v>214138.7289435672</v>
      </c>
      <c r="K3" s="133">
        <f>('[2]OR Res Incremental EE'!TC3+'[2]OR Com Incremental EE'!SR3)*'[5]Energy Efficiency'!$BR$9</f>
        <v>214138.7289435672</v>
      </c>
      <c r="L3" s="133"/>
      <c r="M3" s="133">
        <f>('[2]OR-Res-Existing Cust'!SO37*0.87*'[2]Key Inputs'!$C$74)+('[2]OR-Res-Existing Cust'!SO165*0.67*'[2]Key Inputs'!$C$75)+('[2]OR-Res-Cust Growth'!SQ35*0.87*'[2]Key Inputs'!$C$74)+('[2]OR-Res-Cust Growth'!SQ163*0.87*'[2]Key Inputs'!$C$75)+('[2]OR-Com-Existing Cust'!SO37*0.87*'[2]Key Inputs'!$C$78)+('[2]OR-Com-Cust Growth'!SQ35*0.87*'[2]Key Inputs'!$C$78)</f>
        <v>0</v>
      </c>
      <c r="N3" s="133">
        <f>('[2]OR-Res-Existing Cust'!SP37*0.87*'[2]Key Inputs'!$C$74)+('[2]OR-Res-Existing Cust'!SP165*0.67*'[2]Key Inputs'!$C$75)+('[2]OR-Res-Cust Growth'!SR35*0.87*'[2]Key Inputs'!$C$74)+('[2]OR-Res-Cust Growth'!SR163*0.87*'[2]Key Inputs'!$C$75)+('[2]OR-Com-Existing Cust'!SP37*0.87*'[2]Key Inputs'!$C$78)+('[2]OR-Com-Cust Growth'!SR35*0.87*'[2]Key Inputs'!$C$78)</f>
        <v>0</v>
      </c>
      <c r="O3" s="133">
        <f>('[2]OR-Res-Existing Cust'!SQ37*0.87*'[2]Key Inputs'!$C$74)+('[2]OR-Res-Existing Cust'!SQ165*0.67*'[2]Key Inputs'!$C$75)+('[2]OR-Res-Cust Growth'!SS35*0.87*'[2]Key Inputs'!$C$74)+('[2]OR-Res-Cust Growth'!SS163*0.87*'[2]Key Inputs'!$C$75)+('[2]OR-Com-Existing Cust'!SQ37*0.87*'[2]Key Inputs'!$C$78)+('[2]OR-Com-Cust Growth'!SS35*0.87*'[2]Key Inputs'!$C$78)</f>
        <v>0</v>
      </c>
      <c r="P3" s="133">
        <f>('[2]OR-Res-Existing Cust'!SR37*0.87*'[2]Key Inputs'!$C$74)+('[2]OR-Res-Existing Cust'!SR165*0.67*'[2]Key Inputs'!$C$75)+('[2]OR-Res-Cust Growth'!ST35*0.87*'[2]Key Inputs'!$C$74)+('[2]OR-Res-Cust Growth'!ST163*0.87*'[2]Key Inputs'!$C$75)+('[2]OR-Com-Existing Cust'!SR37*0.87*'[2]Key Inputs'!$C$78)+('[2]OR-Com-Cust Growth'!ST35*0.87*'[2]Key Inputs'!$C$78)</f>
        <v>2092592.641058933</v>
      </c>
      <c r="Q3" s="133">
        <f>('[2]OR-Res-Existing Cust'!SS37*0.87*'[2]Key Inputs'!$C$74)+('[2]OR-Res-Existing Cust'!SS165*0.67*'[2]Key Inputs'!$C$75)+('[2]OR-Res-Cust Growth'!SU35*0.87*'[2]Key Inputs'!$C$74)+('[2]OR-Res-Cust Growth'!SU163*0.87*'[2]Key Inputs'!$C$75)+('[2]OR-Com-Existing Cust'!SS37*0.87*'[2]Key Inputs'!$C$78)+('[2]OR-Com-Cust Growth'!SU35*0.87*'[2]Key Inputs'!$C$78)</f>
        <v>0</v>
      </c>
      <c r="R3" s="133">
        <f>('[2]OR-Res-Existing Cust'!ST37*0.87*'[2]Key Inputs'!$C$74)+('[2]OR-Res-Existing Cust'!ST165*0.67*'[2]Key Inputs'!$C$75)+('[2]OR-Res-Cust Growth'!SV35*0.87*'[2]Key Inputs'!$C$74)+('[2]OR-Res-Cust Growth'!SV163*0.87*'[2]Key Inputs'!$C$75)+('[2]OR-Com-Existing Cust'!ST37*0.87*'[2]Key Inputs'!$C$78)+('[2]OR-Com-Cust Growth'!SV35*0.87*'[2]Key Inputs'!$C$78)</f>
        <v>0</v>
      </c>
      <c r="S3" s="133">
        <f>('[2]OR-Res-Existing Cust'!SU37*0.87*'[2]Key Inputs'!$C$74)+('[2]OR-Res-Existing Cust'!SU165*0.67*'[2]Key Inputs'!$C$75)+('[2]OR-Res-Cust Growth'!SW35*0.87*'[2]Key Inputs'!$C$74)+('[2]OR-Res-Cust Growth'!SW163*0.87*'[2]Key Inputs'!$C$75)+('[2]OR-Com-Existing Cust'!SU37*0.87*'[2]Key Inputs'!$C$78)+('[2]OR-Com-Cust Growth'!SW35*0.87*'[2]Key Inputs'!$C$78)</f>
        <v>0</v>
      </c>
      <c r="T3" s="133">
        <f>('[2]OR-Res-Existing Cust'!SV37*0.87*'[2]Key Inputs'!$C$74)+('[2]OR-Res-Existing Cust'!SV165*0.67*'[2]Key Inputs'!$C$75)+('[2]OR-Res-Cust Growth'!SX35*0.87*'[2]Key Inputs'!$C$74)+('[2]OR-Res-Cust Growth'!SX163*0.87*'[2]Key Inputs'!$C$75)+('[2]OR-Com-Existing Cust'!SV37*0.87*'[2]Key Inputs'!$C$78)+('[2]OR-Com-Cust Growth'!SX35*0.87*'[2]Key Inputs'!$C$78)</f>
        <v>0</v>
      </c>
      <c r="U3" s="133">
        <f>('[2]OR-Res-Existing Cust'!SW37*0.87*'[2]Key Inputs'!$C$74)+('[2]OR-Res-Existing Cust'!SW165*0.67*'[2]Key Inputs'!$C$75)+('[2]OR-Res-Cust Growth'!SY35*0.87*'[2]Key Inputs'!$C$74)+('[2]OR-Res-Cust Growth'!SY163*0.87*'[2]Key Inputs'!$C$75)+('[2]OR-Com-Existing Cust'!SW37*0.87*'[2]Key Inputs'!$C$78)+('[2]OR-Com-Cust Growth'!SY35*0.87*'[2]Key Inputs'!$C$78)</f>
        <v>0</v>
      </c>
      <c r="V3" s="133">
        <f>('[2]OR-Res-Existing Cust'!SX37*0.87*'[2]Key Inputs'!$C$74)+('[2]OR-Res-Existing Cust'!SX165*0.67*'[2]Key Inputs'!$C$75)+('[2]OR-Res-Cust Growth'!SZ35*0.87*'[2]Key Inputs'!$C$74)+('[2]OR-Res-Cust Growth'!SZ163*0.87*'[2]Key Inputs'!$C$75)+('[2]OR-Com-Existing Cust'!SX37*0.87*'[2]Key Inputs'!$C$78)+('[2]OR-Com-Cust Growth'!SZ35*0.87*'[2]Key Inputs'!$C$78)</f>
        <v>0</v>
      </c>
      <c r="X3" s="63">
        <f>(('[2]OR-Res-Existing Cust'!SO101+'[2]OR-Res-Cust Growth'!SQ99)*'[2]Key Inputs'!$C$73)+(('[2]OR-Com-Existing Cust'!SO101+'[2]OR-Com-Cust Growth'!SQ99)*'[2]Key Inputs'!$C$77)</f>
        <v>0</v>
      </c>
      <c r="Y3" s="63">
        <f>(('[2]OR-Res-Existing Cust'!SP101+'[2]OR-Res-Cust Growth'!SR99)*'[2]Key Inputs'!$C$73)+(('[2]OR-Com-Existing Cust'!SP101+'[2]OR-Com-Cust Growth'!SR99)*'[2]Key Inputs'!$C$77)</f>
        <v>0</v>
      </c>
      <c r="Z3" s="63">
        <f>(('[2]OR-Res-Existing Cust'!SQ101+'[2]OR-Res-Cust Growth'!SS99)*'[2]Key Inputs'!$C$73)+(('[2]OR-Com-Existing Cust'!SQ101+'[2]OR-Com-Cust Growth'!SS99)*'[2]Key Inputs'!$C$77)</f>
        <v>0</v>
      </c>
      <c r="AA3" s="63">
        <f>(('[2]OR-Res-Existing Cust'!SR101+'[2]OR-Res-Cust Growth'!ST99)*'[2]Key Inputs'!$C$73)+(('[2]OR-Com-Existing Cust'!SR101+'[2]OR-Com-Cust Growth'!ST99)*'[2]Key Inputs'!$C$77)</f>
        <v>1840503.82054355</v>
      </c>
      <c r="AB3" s="63">
        <f>(('[2]OR-Res-Existing Cust'!SS101+'[2]OR-Res-Cust Growth'!SU99)*'[2]Key Inputs'!$C$73)+(('[2]OR-Com-Existing Cust'!SS101+'[2]OR-Com-Cust Growth'!SU99)*'[2]Key Inputs'!$C$77)</f>
        <v>0</v>
      </c>
      <c r="AC3" s="63">
        <f>(('[2]OR-Res-Existing Cust'!ST101+'[2]OR-Res-Cust Growth'!SV99)*'[2]Key Inputs'!$C$73)+(('[2]OR-Com-Existing Cust'!ST101+'[2]OR-Com-Cust Growth'!SV99)*'[2]Key Inputs'!$C$77)</f>
        <v>0</v>
      </c>
      <c r="AD3" s="63">
        <f>(('[2]OR-Res-Existing Cust'!SU101+'[2]OR-Res-Cust Growth'!SW99)*'[2]Key Inputs'!$C$73)+(('[2]OR-Com-Existing Cust'!SU101+'[2]OR-Com-Cust Growth'!SW99)*'[2]Key Inputs'!$C$77)</f>
        <v>0</v>
      </c>
      <c r="AE3" s="63">
        <f>(('[2]OR-Res-Existing Cust'!SV101+'[2]OR-Res-Cust Growth'!SX99)*'[2]Key Inputs'!$C$73)+(('[2]OR-Com-Existing Cust'!SV101+'[2]OR-Com-Cust Growth'!SX99)*'[2]Key Inputs'!$C$77)</f>
        <v>0</v>
      </c>
      <c r="AF3" s="63">
        <f>(('[2]OR-Res-Existing Cust'!SW101+'[2]OR-Res-Cust Growth'!SY99)*'[2]Key Inputs'!$C$73)+(('[2]OR-Com-Existing Cust'!SW101+'[2]OR-Com-Cust Growth'!SY99)*'[2]Key Inputs'!$C$77)</f>
        <v>0</v>
      </c>
      <c r="AG3" s="63">
        <f>(('[2]OR-Res-Existing Cust'!SX101+'[2]OR-Res-Cust Growth'!SZ99)*'[2]Key Inputs'!$C$73)+(('[2]OR-Com-Existing Cust'!SX101+'[2]OR-Com-Cust Growth'!SZ99)*'[2]Key Inputs'!$C$77)</f>
        <v>0</v>
      </c>
      <c r="AI3" s="152">
        <f>'[6]OR-IndComSales-Annual'!TF5*2.33</f>
        <v>0</v>
      </c>
      <c r="AJ3" s="152">
        <f>'[6]OR-IndComSales-Annual'!TG5*2.33</f>
        <v>0</v>
      </c>
      <c r="AK3" s="152">
        <f>'[6]OR-IndComSales-Annual'!TH5*2.33</f>
        <v>3535333.2669498418</v>
      </c>
      <c r="AL3" s="152">
        <f>'[6]OR-IndComSales-Annual'!TI5*2.33</f>
        <v>0</v>
      </c>
      <c r="AM3" s="152">
        <f>'[6]OR-IndComSales-Annual'!TJ5*2.33</f>
        <v>0</v>
      </c>
      <c r="AN3" s="152">
        <f>'[6]OR-IndComSales-Annual'!TK5*2.33</f>
        <v>0</v>
      </c>
      <c r="AO3" s="152">
        <f>'[6]OR-IndComSales-Annual'!TL5*2.33</f>
        <v>0</v>
      </c>
      <c r="AP3" s="152">
        <f>'[6]OR-IndComSales-Annual'!TM5*2.33</f>
        <v>0</v>
      </c>
      <c r="AQ3" s="152">
        <f>'[6]OR-IndComSales-Annual'!TN5*2.33</f>
        <v>0</v>
      </c>
      <c r="AR3" s="152">
        <f>'[6]OR-IndComSales-Annual'!TO5*2.33</f>
        <v>0</v>
      </c>
      <c r="AT3">
        <v>0</v>
      </c>
      <c r="AU3" s="152">
        <f>'[6]OR-Transport-Annual'!TE5*1.79</f>
        <v>0</v>
      </c>
      <c r="AV3" s="152">
        <f>'[6]OR-Transport-Annual'!TF5*1.79</f>
        <v>0</v>
      </c>
      <c r="AW3" s="152">
        <f>'[6]OR-Transport-Annual'!TG5*1.79</f>
        <v>0</v>
      </c>
      <c r="AX3" s="152">
        <f>'[6]OR-Transport-Annual'!TH5*1.79</f>
        <v>0</v>
      </c>
      <c r="AY3" s="152">
        <f>'[6]OR-Transport-Annual'!TI5*1.79</f>
        <v>0</v>
      </c>
      <c r="AZ3" s="152">
        <f>'[6]OR-Transport-Annual'!TJ5*1.79</f>
        <v>0</v>
      </c>
      <c r="BA3" s="152">
        <f>'[6]OR-Transport-Annual'!TK5*1.79</f>
        <v>0</v>
      </c>
      <c r="BB3" s="152">
        <f>'[6]OR-Transport-Annual'!TL5*1.79</f>
        <v>0</v>
      </c>
      <c r="BC3" s="152">
        <f>'[6]OR-Transport-Annual'!TM5*1.79</f>
        <v>0</v>
      </c>
      <c r="BE3" s="133">
        <f t="shared" ref="BE3:BN30" si="1">B3+M3+X3+AI3+AT3</f>
        <v>214138.7289435672</v>
      </c>
      <c r="BF3" s="133">
        <f t="shared" si="0"/>
        <v>214138.7289435672</v>
      </c>
      <c r="BG3" s="133">
        <f t="shared" si="0"/>
        <v>8154833.285468624</v>
      </c>
      <c r="BH3" s="133">
        <f t="shared" si="0"/>
        <v>4147235.1905460502</v>
      </c>
      <c r="BI3" s="133">
        <f t="shared" si="0"/>
        <v>214138.7289435672</v>
      </c>
      <c r="BJ3" s="133">
        <f t="shared" si="0"/>
        <v>0</v>
      </c>
      <c r="BK3" s="133">
        <f t="shared" si="0"/>
        <v>0</v>
      </c>
      <c r="BL3" s="133">
        <f t="shared" si="0"/>
        <v>214138.7289435672</v>
      </c>
      <c r="BM3" s="133">
        <f t="shared" si="0"/>
        <v>214138.7289435672</v>
      </c>
      <c r="BN3" s="133">
        <f t="shared" si="0"/>
        <v>214138.7289435672</v>
      </c>
      <c r="BP3" s="153">
        <f>BE3/(([4]Annual!FZ3+[4]Annual!EW3)/10)</f>
        <v>1.9779841639128016E-3</v>
      </c>
      <c r="BQ3" s="153">
        <f>BF3/(([4]Annual!GA3+[4]Annual!EX3)/10)</f>
        <v>1.9847392315418557E-3</v>
      </c>
      <c r="BR3" s="153">
        <f>BG3/(([4]Annual!GB3+[4]Annual!EY3)/10)</f>
        <v>7.5861579230138504E-2</v>
      </c>
      <c r="BS3" s="153">
        <f>BH3/(([4]Annual!GC3+[4]Annual!EZ3)/10)</f>
        <v>3.8470154181816575E-2</v>
      </c>
      <c r="BT3" s="153">
        <f>BI3/(([4]Annual!GD3+[4]Annual!FA3)/10)</f>
        <v>1.9990438800446975E-3</v>
      </c>
      <c r="BU3" s="153">
        <f>BJ3/(([4]Annual!GE3+[4]Annual!FB3)/10)</f>
        <v>0</v>
      </c>
      <c r="BV3" s="153">
        <f>BK3/(([4]Annual!GF3+[4]Annual!FC3)/10)</f>
        <v>0</v>
      </c>
      <c r="BW3" s="153">
        <f>BL3/(([4]Annual!GG3+[4]Annual!FD3)/10)</f>
        <v>1.9847392315418557E-3</v>
      </c>
      <c r="BX3" s="153">
        <f>BM3/(([4]Annual!GH3+[4]Annual!FE3)/10)</f>
        <v>1.9847392315418557E-3</v>
      </c>
      <c r="BY3" s="153">
        <f>BN3/(([4]Annual!GI3+[4]Annual!FF3)/10)</f>
        <v>2.9408336837779335E-3</v>
      </c>
    </row>
    <row r="4" spans="1:77" x14ac:dyDescent="0.25">
      <c r="A4">
        <v>2024</v>
      </c>
      <c r="B4" s="133">
        <f>('[2]OR Res Incremental EE'!ST4+'[2]OR Com Incremental EE'!SI4)*'[5]Energy Efficiency'!$BR$9</f>
        <v>425109.41573364404</v>
      </c>
      <c r="C4" s="133">
        <f>('[2]OR Res Incremental EE'!SU4+'[2]OR Com Incremental EE'!SJ4)*'[5]Energy Efficiency'!$BR$9</f>
        <v>425109.41573364404</v>
      </c>
      <c r="D4" s="133">
        <f>('[2]OR Res Incremental EE'!SV4+'[2]OR Com Incremental EE'!SK4)*'[5]Energy Efficiency'!$BR$9</f>
        <v>7003960.0238909665</v>
      </c>
      <c r="E4" s="133">
        <f>('[2]OR Res Incremental EE'!SW4+'[2]OR Com Incremental EE'!SL4)*'[5]Energy Efficiency'!$BR$9</f>
        <v>425109.41573364404</v>
      </c>
      <c r="F4" s="133">
        <f>('[2]OR Res Incremental EE'!SX4+'[2]OR Com Incremental EE'!SM4)*'[5]Energy Efficiency'!$BR$9</f>
        <v>425109.41573364404</v>
      </c>
      <c r="G4" s="133">
        <v>0</v>
      </c>
      <c r="H4" s="133">
        <v>0</v>
      </c>
      <c r="I4" s="133">
        <f>('[2]OR Res Incremental EE'!TA4+'[2]OR Com Incremental EE'!SP4)*'[5]Energy Efficiency'!$BR$9</f>
        <v>425109.41573364404</v>
      </c>
      <c r="J4" s="133">
        <f>('[2]OR Res Incremental EE'!TB4+'[2]OR Com Incremental EE'!SQ4)*'[5]Energy Efficiency'!$BR$9</f>
        <v>425109.41573364404</v>
      </c>
      <c r="K4" s="133">
        <f>('[2]OR Res Incremental EE'!TC4+'[2]OR Com Incremental EE'!SR4)*'[5]Energy Efficiency'!$BR$9</f>
        <v>425109.41573364404</v>
      </c>
      <c r="L4" s="133"/>
      <c r="M4" s="133">
        <f>('[2]OR-Res-Existing Cust'!SO38*0.87*'[2]Key Inputs'!$C$74)+('[2]OR-Res-Existing Cust'!SO166*0.67*'[2]Key Inputs'!$C$75)+('[2]OR-Res-Cust Growth'!SQ36*0.87*'[2]Key Inputs'!$C$74)+('[2]OR-Res-Cust Growth'!SQ164*0.87*'[2]Key Inputs'!$C$75)+('[2]OR-Com-Existing Cust'!SO38*0.87*'[2]Key Inputs'!$C$78)+('[2]OR-Com-Cust Growth'!SQ36*0.87*'[2]Key Inputs'!$C$78)</f>
        <v>0</v>
      </c>
      <c r="N4" s="133">
        <f>('[2]OR-Res-Existing Cust'!SP38*0.87*'[2]Key Inputs'!$C$74)+('[2]OR-Res-Existing Cust'!SP166*0.67*'[2]Key Inputs'!$C$75)+('[2]OR-Res-Cust Growth'!SR36*0.87*'[2]Key Inputs'!$C$74)+('[2]OR-Res-Cust Growth'!SR164*0.87*'[2]Key Inputs'!$C$75)+('[2]OR-Com-Existing Cust'!SP38*0.87*'[2]Key Inputs'!$C$78)+('[2]OR-Com-Cust Growth'!SR36*0.87*'[2]Key Inputs'!$C$78)</f>
        <v>0</v>
      </c>
      <c r="O4" s="133">
        <f>('[2]OR-Res-Existing Cust'!SQ38*0.87*'[2]Key Inputs'!$C$74)+('[2]OR-Res-Existing Cust'!SQ166*0.67*'[2]Key Inputs'!$C$75)+('[2]OR-Res-Cust Growth'!SS36*0.87*'[2]Key Inputs'!$C$74)+('[2]OR-Res-Cust Growth'!SS164*0.87*'[2]Key Inputs'!$C$75)+('[2]OR-Com-Existing Cust'!SQ38*0.87*'[2]Key Inputs'!$C$78)+('[2]OR-Com-Cust Growth'!SS36*0.87*'[2]Key Inputs'!$C$78)</f>
        <v>0</v>
      </c>
      <c r="P4" s="133">
        <f>('[2]OR-Res-Existing Cust'!SR38*0.87*'[2]Key Inputs'!$C$74)+('[2]OR-Res-Existing Cust'!SR166*0.67*'[2]Key Inputs'!$C$75)+('[2]OR-Res-Cust Growth'!ST36*0.87*'[2]Key Inputs'!$C$74)+('[2]OR-Res-Cust Growth'!ST164*0.87*'[2]Key Inputs'!$C$75)+('[2]OR-Com-Existing Cust'!SR38*0.87*'[2]Key Inputs'!$C$78)+('[2]OR-Com-Cust Growth'!ST36*0.87*'[2]Key Inputs'!$C$78)</f>
        <v>4627206.0069966465</v>
      </c>
      <c r="Q4" s="133">
        <f>('[2]OR-Res-Existing Cust'!SS38*0.87*'[2]Key Inputs'!$C$74)+('[2]OR-Res-Existing Cust'!SS166*0.67*'[2]Key Inputs'!$C$75)+('[2]OR-Res-Cust Growth'!SU36*0.87*'[2]Key Inputs'!$C$74)+('[2]OR-Res-Cust Growth'!SU164*0.87*'[2]Key Inputs'!$C$75)+('[2]OR-Com-Existing Cust'!SS38*0.87*'[2]Key Inputs'!$C$78)+('[2]OR-Com-Cust Growth'!SU36*0.87*'[2]Key Inputs'!$C$78)</f>
        <v>0</v>
      </c>
      <c r="R4" s="133">
        <f>('[2]OR-Res-Existing Cust'!ST38*0.87*'[2]Key Inputs'!$C$74)+('[2]OR-Res-Existing Cust'!ST166*0.67*'[2]Key Inputs'!$C$75)+('[2]OR-Res-Cust Growth'!SV36*0.87*'[2]Key Inputs'!$C$74)+('[2]OR-Res-Cust Growth'!SV164*0.87*'[2]Key Inputs'!$C$75)+('[2]OR-Com-Existing Cust'!ST38*0.87*'[2]Key Inputs'!$C$78)+('[2]OR-Com-Cust Growth'!SV36*0.87*'[2]Key Inputs'!$C$78)</f>
        <v>0</v>
      </c>
      <c r="S4" s="133">
        <f>('[2]OR-Res-Existing Cust'!SU38*0.87*'[2]Key Inputs'!$C$74)+('[2]OR-Res-Existing Cust'!SU166*0.67*'[2]Key Inputs'!$C$75)+('[2]OR-Res-Cust Growth'!SW36*0.87*'[2]Key Inputs'!$C$74)+('[2]OR-Res-Cust Growth'!SW164*0.87*'[2]Key Inputs'!$C$75)+('[2]OR-Com-Existing Cust'!SU38*0.87*'[2]Key Inputs'!$C$78)+('[2]OR-Com-Cust Growth'!SW36*0.87*'[2]Key Inputs'!$C$78)</f>
        <v>0</v>
      </c>
      <c r="T4" s="133">
        <f>('[2]OR-Res-Existing Cust'!SV38*0.87*'[2]Key Inputs'!$C$74)+('[2]OR-Res-Existing Cust'!SV166*0.67*'[2]Key Inputs'!$C$75)+('[2]OR-Res-Cust Growth'!SX36*0.87*'[2]Key Inputs'!$C$74)+('[2]OR-Res-Cust Growth'!SX164*0.87*'[2]Key Inputs'!$C$75)+('[2]OR-Com-Existing Cust'!SV38*0.87*'[2]Key Inputs'!$C$78)+('[2]OR-Com-Cust Growth'!SX36*0.87*'[2]Key Inputs'!$C$78)</f>
        <v>0</v>
      </c>
      <c r="U4" s="133">
        <f>('[2]OR-Res-Existing Cust'!SW38*0.87*'[2]Key Inputs'!$C$74)+('[2]OR-Res-Existing Cust'!SW166*0.67*'[2]Key Inputs'!$C$75)+('[2]OR-Res-Cust Growth'!SY36*0.87*'[2]Key Inputs'!$C$74)+('[2]OR-Res-Cust Growth'!SY164*0.87*'[2]Key Inputs'!$C$75)+('[2]OR-Com-Existing Cust'!SW38*0.87*'[2]Key Inputs'!$C$78)+('[2]OR-Com-Cust Growth'!SY36*0.87*'[2]Key Inputs'!$C$78)</f>
        <v>0</v>
      </c>
      <c r="V4" s="133">
        <f>('[2]OR-Res-Existing Cust'!SX38*0.87*'[2]Key Inputs'!$C$74)+('[2]OR-Res-Existing Cust'!SX166*0.67*'[2]Key Inputs'!$C$75)+('[2]OR-Res-Cust Growth'!SZ36*0.87*'[2]Key Inputs'!$C$74)+('[2]OR-Res-Cust Growth'!SZ164*0.87*'[2]Key Inputs'!$C$75)+('[2]OR-Com-Existing Cust'!SX38*0.87*'[2]Key Inputs'!$C$78)+('[2]OR-Com-Cust Growth'!SZ36*0.87*'[2]Key Inputs'!$C$78)</f>
        <v>0</v>
      </c>
      <c r="X4" s="63">
        <f>(('[2]OR-Res-Existing Cust'!SO102+'[2]OR-Res-Cust Growth'!SQ100)*'[2]Key Inputs'!$C$73)+(('[2]OR-Com-Existing Cust'!SO102+'[2]OR-Com-Cust Growth'!SQ100)*'[2]Key Inputs'!$C$77)</f>
        <v>0</v>
      </c>
      <c r="Y4" s="63">
        <f>(('[2]OR-Res-Existing Cust'!SP102+'[2]OR-Res-Cust Growth'!SR100)*'[2]Key Inputs'!$C$73)+(('[2]OR-Com-Existing Cust'!SP102+'[2]OR-Com-Cust Growth'!SR100)*'[2]Key Inputs'!$C$77)</f>
        <v>0</v>
      </c>
      <c r="Z4" s="63">
        <f>(('[2]OR-Res-Existing Cust'!SQ102+'[2]OR-Res-Cust Growth'!SS100)*'[2]Key Inputs'!$C$73)+(('[2]OR-Com-Existing Cust'!SQ102+'[2]OR-Com-Cust Growth'!SS100)*'[2]Key Inputs'!$C$77)</f>
        <v>0</v>
      </c>
      <c r="AA4" s="63">
        <f>(('[2]OR-Res-Existing Cust'!SR102+'[2]OR-Res-Cust Growth'!ST100)*'[2]Key Inputs'!$C$73)+(('[2]OR-Com-Existing Cust'!SR102+'[2]OR-Com-Cust Growth'!ST100)*'[2]Key Inputs'!$C$77)</f>
        <v>3672836.4154846249</v>
      </c>
      <c r="AB4" s="63">
        <f>(('[2]OR-Res-Existing Cust'!SS102+'[2]OR-Res-Cust Growth'!SU100)*'[2]Key Inputs'!$C$73)+(('[2]OR-Com-Existing Cust'!SS102+'[2]OR-Com-Cust Growth'!SU100)*'[2]Key Inputs'!$C$77)</f>
        <v>0</v>
      </c>
      <c r="AC4" s="63">
        <f>(('[2]OR-Res-Existing Cust'!ST102+'[2]OR-Res-Cust Growth'!SV100)*'[2]Key Inputs'!$C$73)+(('[2]OR-Com-Existing Cust'!ST102+'[2]OR-Com-Cust Growth'!SV100)*'[2]Key Inputs'!$C$77)</f>
        <v>0</v>
      </c>
      <c r="AD4" s="63">
        <f>(('[2]OR-Res-Existing Cust'!SU102+'[2]OR-Res-Cust Growth'!SW100)*'[2]Key Inputs'!$C$73)+(('[2]OR-Com-Existing Cust'!SU102+'[2]OR-Com-Cust Growth'!SW100)*'[2]Key Inputs'!$C$77)</f>
        <v>0</v>
      </c>
      <c r="AE4" s="63">
        <f>(('[2]OR-Res-Existing Cust'!SV102+'[2]OR-Res-Cust Growth'!SX100)*'[2]Key Inputs'!$C$73)+(('[2]OR-Com-Existing Cust'!SV102+'[2]OR-Com-Cust Growth'!SX100)*'[2]Key Inputs'!$C$77)</f>
        <v>0</v>
      </c>
      <c r="AF4" s="63">
        <f>(('[2]OR-Res-Existing Cust'!SW102+'[2]OR-Res-Cust Growth'!SY100)*'[2]Key Inputs'!$C$73)+(('[2]OR-Com-Existing Cust'!SW102+'[2]OR-Com-Cust Growth'!SY100)*'[2]Key Inputs'!$C$77)</f>
        <v>0</v>
      </c>
      <c r="AG4" s="63">
        <f>(('[2]OR-Res-Existing Cust'!SX102+'[2]OR-Res-Cust Growth'!SZ100)*'[2]Key Inputs'!$C$73)+(('[2]OR-Com-Existing Cust'!SX102+'[2]OR-Com-Cust Growth'!SZ100)*'[2]Key Inputs'!$C$77)</f>
        <v>0</v>
      </c>
      <c r="AI4" s="152">
        <f>'[6]OR-IndComSales-Annual'!TF6*2.33</f>
        <v>0</v>
      </c>
      <c r="AJ4" s="152">
        <f>'[6]OR-IndComSales-Annual'!TG6*2.33</f>
        <v>0</v>
      </c>
      <c r="AK4" s="152">
        <f>'[6]OR-IndComSales-Annual'!TH6*2.33</f>
        <v>3984693.9657199802</v>
      </c>
      <c r="AL4" s="152">
        <f>'[6]OR-IndComSales-Annual'!TI6*2.33</f>
        <v>0</v>
      </c>
      <c r="AM4" s="152">
        <f>'[6]OR-IndComSales-Annual'!TJ6*2.33</f>
        <v>0</v>
      </c>
      <c r="AN4" s="152">
        <f>'[6]OR-IndComSales-Annual'!TK6*2.33</f>
        <v>0</v>
      </c>
      <c r="AO4" s="152">
        <f>'[6]OR-IndComSales-Annual'!TL6*2.33</f>
        <v>0</v>
      </c>
      <c r="AP4" s="152">
        <f>'[6]OR-IndComSales-Annual'!TM6*2.33</f>
        <v>0</v>
      </c>
      <c r="AQ4" s="152">
        <f>'[6]OR-IndComSales-Annual'!TN6*2.33</f>
        <v>0</v>
      </c>
      <c r="AR4" s="152">
        <f>'[6]OR-IndComSales-Annual'!TO6*2.33</f>
        <v>0</v>
      </c>
      <c r="AT4">
        <v>0</v>
      </c>
      <c r="AU4" s="152">
        <f>'[6]OR-Transport-Annual'!TE6*1.79</f>
        <v>0</v>
      </c>
      <c r="AV4" s="152">
        <f>'[6]OR-Transport-Annual'!TF6*1.79</f>
        <v>0</v>
      </c>
      <c r="AW4" s="152">
        <f>'[6]OR-Transport-Annual'!TG6*1.79</f>
        <v>0</v>
      </c>
      <c r="AX4" s="152">
        <f>'[6]OR-Transport-Annual'!TH6*1.79</f>
        <v>0</v>
      </c>
      <c r="AY4" s="152">
        <f>'[6]OR-Transport-Annual'!TI6*1.79</f>
        <v>0</v>
      </c>
      <c r="AZ4" s="152">
        <f>'[6]OR-Transport-Annual'!TJ6*1.79</f>
        <v>0</v>
      </c>
      <c r="BA4" s="152">
        <f>'[6]OR-Transport-Annual'!TK6*1.79</f>
        <v>0</v>
      </c>
      <c r="BB4" s="152">
        <f>'[6]OR-Transport-Annual'!TL6*1.79</f>
        <v>0</v>
      </c>
      <c r="BC4" s="152">
        <f>'[6]OR-Transport-Annual'!TM6*1.79</f>
        <v>0</v>
      </c>
      <c r="BE4" s="133">
        <f t="shared" si="1"/>
        <v>425109.41573364404</v>
      </c>
      <c r="BF4" s="133">
        <f t="shared" si="0"/>
        <v>425109.41573364404</v>
      </c>
      <c r="BG4" s="133">
        <f t="shared" si="0"/>
        <v>10988653.989610948</v>
      </c>
      <c r="BH4" s="133">
        <f t="shared" si="0"/>
        <v>8725151.8382149152</v>
      </c>
      <c r="BI4" s="133">
        <f t="shared" si="0"/>
        <v>425109.41573364404</v>
      </c>
      <c r="BJ4" s="133">
        <f t="shared" si="0"/>
        <v>0</v>
      </c>
      <c r="BK4" s="133">
        <f t="shared" si="0"/>
        <v>0</v>
      </c>
      <c r="BL4" s="133">
        <f t="shared" si="0"/>
        <v>425109.41573364404</v>
      </c>
      <c r="BM4" s="133">
        <f t="shared" si="0"/>
        <v>425109.41573364404</v>
      </c>
      <c r="BN4" s="133">
        <f t="shared" si="0"/>
        <v>425109.41573364404</v>
      </c>
      <c r="BP4" s="153">
        <f>BE4/(([4]Annual!FZ4+[4]Annual!EW4)/10)</f>
        <v>3.9041226029461629E-3</v>
      </c>
      <c r="BQ4" s="153">
        <f>BF4/(([4]Annual!GA4+[4]Annual!EX4)/10)</f>
        <v>3.9285337467699676E-3</v>
      </c>
      <c r="BR4" s="153">
        <f>BG4/(([4]Annual!GB4+[4]Annual!EY4)/10)</f>
        <v>0.10230465413075177</v>
      </c>
      <c r="BS4" s="153">
        <f>BH4/(([4]Annual!GC4+[4]Annual!EZ4)/10)</f>
        <v>8.093258778672037E-2</v>
      </c>
      <c r="BT4" s="153">
        <f>BI4/(([4]Annual!GD4+[4]Annual!FA4)/10)</f>
        <v>3.9853246516344913E-3</v>
      </c>
      <c r="BU4" s="153">
        <f>BJ4/(([4]Annual!GE4+[4]Annual!FB4)/10)</f>
        <v>0</v>
      </c>
      <c r="BV4" s="153">
        <f>BK4/(([4]Annual!GF4+[4]Annual!FC4)/10)</f>
        <v>0</v>
      </c>
      <c r="BW4" s="153">
        <f>BL4/(([4]Annual!GG4+[4]Annual!FD4)/10)</f>
        <v>3.9285337467699676E-3</v>
      </c>
      <c r="BX4" s="153">
        <f>BM4/(([4]Annual!GH4+[4]Annual!FE4)/10)</f>
        <v>3.9285337467699676E-3</v>
      </c>
      <c r="BY4" s="153">
        <f>BN4/(([4]Annual!GI4+[4]Annual!FF4)/10)</f>
        <v>5.8089727875431547E-3</v>
      </c>
    </row>
    <row r="5" spans="1:77" x14ac:dyDescent="0.25">
      <c r="A5">
        <v>2025</v>
      </c>
      <c r="B5" s="133">
        <f>('[2]OR Res Incremental EE'!ST5+'[2]OR Com Incremental EE'!SI5)*'[5]Energy Efficiency'!$BR$9</f>
        <v>610581.15368089522</v>
      </c>
      <c r="C5" s="133">
        <f>('[2]OR Res Incremental EE'!SU5+'[2]OR Com Incremental EE'!SJ5)*'[5]Energy Efficiency'!$BR$9</f>
        <v>610581.15368089522</v>
      </c>
      <c r="D5" s="133">
        <f>('[2]OR Res Incremental EE'!SV5+'[2]OR Com Incremental EE'!SK5)*'[5]Energy Efficiency'!$BR$9</f>
        <v>9024521.970730301</v>
      </c>
      <c r="E5" s="133">
        <f>('[2]OR Res Incremental EE'!SW5+'[2]OR Com Incremental EE'!SL5)*'[5]Energy Efficiency'!$BR$9</f>
        <v>610581.15368089522</v>
      </c>
      <c r="F5" s="133">
        <f>('[2]OR Res Incremental EE'!SX5+'[2]OR Com Incremental EE'!SM5)*'[5]Energy Efficiency'!$BR$9</f>
        <v>308033.85394931672</v>
      </c>
      <c r="G5" s="133">
        <v>0</v>
      </c>
      <c r="H5" s="133">
        <v>0</v>
      </c>
      <c r="I5" s="133">
        <f>('[2]OR Res Incremental EE'!TA5+'[2]OR Com Incremental EE'!SP5)*'[5]Energy Efficiency'!$BR$9</f>
        <v>610581.15368089522</v>
      </c>
      <c r="J5" s="133">
        <f>('[2]OR Res Incremental EE'!TB5+'[2]OR Com Incremental EE'!SQ5)*'[5]Energy Efficiency'!$BR$9</f>
        <v>610581.15368089522</v>
      </c>
      <c r="K5" s="133">
        <f>('[2]OR Res Incremental EE'!TC5+'[2]OR Com Incremental EE'!SR5)*'[5]Energy Efficiency'!$BR$9</f>
        <v>610581.15368089522</v>
      </c>
      <c r="L5" s="133"/>
      <c r="M5" s="133">
        <f>('[2]OR-Res-Existing Cust'!SO39*0.87*'[2]Key Inputs'!$C$74)+('[2]OR-Res-Existing Cust'!SO167*0.67*'[2]Key Inputs'!$C$75)+('[2]OR-Res-Cust Growth'!SQ37*0.87*'[2]Key Inputs'!$C$74)+('[2]OR-Res-Cust Growth'!SQ165*0.87*'[2]Key Inputs'!$C$75)+('[2]OR-Com-Existing Cust'!SO39*0.87*'[2]Key Inputs'!$C$78)+('[2]OR-Com-Cust Growth'!SQ37*0.87*'[2]Key Inputs'!$C$78)</f>
        <v>0</v>
      </c>
      <c r="N5" s="133">
        <f>('[2]OR-Res-Existing Cust'!SP39*0.87*'[2]Key Inputs'!$C$74)+('[2]OR-Res-Existing Cust'!SP167*0.67*'[2]Key Inputs'!$C$75)+('[2]OR-Res-Cust Growth'!SR37*0.87*'[2]Key Inputs'!$C$74)+('[2]OR-Res-Cust Growth'!SR165*0.87*'[2]Key Inputs'!$C$75)+('[2]OR-Com-Existing Cust'!SP39*0.87*'[2]Key Inputs'!$C$78)+('[2]OR-Com-Cust Growth'!SR37*0.87*'[2]Key Inputs'!$C$78)</f>
        <v>12916913.879995141</v>
      </c>
      <c r="O5" s="133">
        <f>('[2]OR-Res-Existing Cust'!SQ39*0.87*'[2]Key Inputs'!$C$74)+('[2]OR-Res-Existing Cust'!SQ167*0.67*'[2]Key Inputs'!$C$75)+('[2]OR-Res-Cust Growth'!SS37*0.87*'[2]Key Inputs'!$C$74)+('[2]OR-Res-Cust Growth'!SS165*0.87*'[2]Key Inputs'!$C$75)+('[2]OR-Com-Existing Cust'!SQ39*0.87*'[2]Key Inputs'!$C$78)+('[2]OR-Com-Cust Growth'!SS37*0.87*'[2]Key Inputs'!$C$78)</f>
        <v>4866422.0335485144</v>
      </c>
      <c r="P5" s="133">
        <f>('[2]OR-Res-Existing Cust'!SR39*0.87*'[2]Key Inputs'!$C$74)+('[2]OR-Res-Existing Cust'!SR167*0.67*'[2]Key Inputs'!$C$75)+('[2]OR-Res-Cust Growth'!ST37*0.87*'[2]Key Inputs'!$C$74)+('[2]OR-Res-Cust Growth'!ST165*0.87*'[2]Key Inputs'!$C$75)+('[2]OR-Com-Existing Cust'!SR39*0.87*'[2]Key Inputs'!$C$78)+('[2]OR-Com-Cust Growth'!ST37*0.87*'[2]Key Inputs'!$C$78)</f>
        <v>7508587.9612385556</v>
      </c>
      <c r="Q5" s="133">
        <f>('[2]OR-Res-Existing Cust'!SS39*0.87*'[2]Key Inputs'!$C$74)+('[2]OR-Res-Existing Cust'!SS167*0.67*'[2]Key Inputs'!$C$75)+('[2]OR-Res-Cust Growth'!SU37*0.87*'[2]Key Inputs'!$C$74)+('[2]OR-Res-Cust Growth'!SU165*0.87*'[2]Key Inputs'!$C$75)+('[2]OR-Com-Existing Cust'!SS39*0.87*'[2]Key Inputs'!$C$78)+('[2]OR-Com-Cust Growth'!SU37*0.87*'[2]Key Inputs'!$C$78)</f>
        <v>8411761.1032520067</v>
      </c>
      <c r="R5" s="133">
        <f>('[2]OR-Res-Existing Cust'!ST39*0.87*'[2]Key Inputs'!$C$74)+('[2]OR-Res-Existing Cust'!ST167*0.67*'[2]Key Inputs'!$C$75)+('[2]OR-Res-Cust Growth'!SV37*0.87*'[2]Key Inputs'!$C$74)+('[2]OR-Res-Cust Growth'!SV165*0.87*'[2]Key Inputs'!$C$75)+('[2]OR-Com-Existing Cust'!ST39*0.87*'[2]Key Inputs'!$C$78)+('[2]OR-Com-Cust Growth'!SV37*0.87*'[2]Key Inputs'!$C$78)</f>
        <v>0</v>
      </c>
      <c r="S5" s="133">
        <f>('[2]OR-Res-Existing Cust'!SU39*0.87*'[2]Key Inputs'!$C$74)+('[2]OR-Res-Existing Cust'!SU167*0.67*'[2]Key Inputs'!$C$75)+('[2]OR-Res-Cust Growth'!SW37*0.87*'[2]Key Inputs'!$C$74)+('[2]OR-Res-Cust Growth'!SW165*0.87*'[2]Key Inputs'!$C$75)+('[2]OR-Com-Existing Cust'!SU39*0.87*'[2]Key Inputs'!$C$78)+('[2]OR-Com-Cust Growth'!SW37*0.87*'[2]Key Inputs'!$C$78)</f>
        <v>0</v>
      </c>
      <c r="T5" s="133">
        <f>('[2]OR-Res-Existing Cust'!SV39*0.87*'[2]Key Inputs'!$C$74)+('[2]OR-Res-Existing Cust'!SV167*0.67*'[2]Key Inputs'!$C$75)+('[2]OR-Res-Cust Growth'!SX37*0.87*'[2]Key Inputs'!$C$74)+('[2]OR-Res-Cust Growth'!SX165*0.87*'[2]Key Inputs'!$C$75)+('[2]OR-Com-Existing Cust'!SV39*0.87*'[2]Key Inputs'!$C$78)+('[2]OR-Com-Cust Growth'!SX37*0.87*'[2]Key Inputs'!$C$78)</f>
        <v>9162619.8993758634</v>
      </c>
      <c r="U5" s="133">
        <f>('[2]OR-Res-Existing Cust'!SW39*0.87*'[2]Key Inputs'!$C$74)+('[2]OR-Res-Existing Cust'!SW167*0.67*'[2]Key Inputs'!$C$75)+('[2]OR-Res-Cust Growth'!SY37*0.87*'[2]Key Inputs'!$C$74)+('[2]OR-Res-Cust Growth'!SY165*0.87*'[2]Key Inputs'!$C$75)+('[2]OR-Com-Existing Cust'!SW39*0.87*'[2]Key Inputs'!$C$78)+('[2]OR-Com-Cust Growth'!SY37*0.87*'[2]Key Inputs'!$C$78)</f>
        <v>9162619.8993758634</v>
      </c>
      <c r="V5" s="133">
        <f>('[2]OR-Res-Existing Cust'!SX39*0.87*'[2]Key Inputs'!$C$74)+('[2]OR-Res-Existing Cust'!SX167*0.67*'[2]Key Inputs'!$C$75)+('[2]OR-Res-Cust Growth'!SZ37*0.87*'[2]Key Inputs'!$C$74)+('[2]OR-Res-Cust Growth'!SZ165*0.87*'[2]Key Inputs'!$C$75)+('[2]OR-Com-Existing Cust'!SX39*0.87*'[2]Key Inputs'!$C$78)+('[2]OR-Com-Cust Growth'!SZ37*0.87*'[2]Key Inputs'!$C$78)</f>
        <v>1501717.5922477113</v>
      </c>
      <c r="X5" s="63">
        <f>(('[2]OR-Res-Existing Cust'!SO103+'[2]OR-Res-Cust Growth'!SQ101)*'[2]Key Inputs'!$C$73)+(('[2]OR-Com-Existing Cust'!SO103+'[2]OR-Com-Cust Growth'!SQ101)*'[2]Key Inputs'!$C$77)</f>
        <v>0</v>
      </c>
      <c r="Y5" s="63">
        <f>(('[2]OR-Res-Existing Cust'!SP103+'[2]OR-Res-Cust Growth'!SR101)*'[2]Key Inputs'!$C$73)+(('[2]OR-Com-Existing Cust'!SP103+'[2]OR-Com-Cust Growth'!SR101)*'[2]Key Inputs'!$C$77)</f>
        <v>3927305.4894875749</v>
      </c>
      <c r="Z5" s="63">
        <f>(('[2]OR-Res-Existing Cust'!SQ103+'[2]OR-Res-Cust Growth'!SS101)*'[2]Key Inputs'!$C$73)+(('[2]OR-Com-Existing Cust'!SQ103+'[2]OR-Com-Cust Growth'!SS101)*'[2]Key Inputs'!$C$77)</f>
        <v>1326567.986654178</v>
      </c>
      <c r="AA5" s="63">
        <f>(('[2]OR-Res-Existing Cust'!SR103+'[2]OR-Res-Cust Growth'!ST101)*'[2]Key Inputs'!$C$73)+(('[2]OR-Com-Existing Cust'!SR103+'[2]OR-Com-Cust Growth'!ST101)*'[2]Key Inputs'!$C$77)</f>
        <v>6108855.2285213051</v>
      </c>
      <c r="AB5" s="63">
        <f>(('[2]OR-Res-Existing Cust'!SS103+'[2]OR-Res-Cust Growth'!SU101)*'[2]Key Inputs'!$C$73)+(('[2]OR-Com-Existing Cust'!SS103+'[2]OR-Com-Cust Growth'!SU101)*'[2]Key Inputs'!$C$77)</f>
        <v>3665313.1371127828</v>
      </c>
      <c r="AC5" s="63">
        <f>(('[2]OR-Res-Existing Cust'!ST103+'[2]OR-Res-Cust Growth'!SV101)*'[2]Key Inputs'!$C$73)+(('[2]OR-Com-Existing Cust'!ST103+'[2]OR-Com-Cust Growth'!SV101)*'[2]Key Inputs'!$C$77)</f>
        <v>0</v>
      </c>
      <c r="AD5" s="63">
        <f>(('[2]OR-Res-Existing Cust'!SU103+'[2]OR-Res-Cust Growth'!SW101)*'[2]Key Inputs'!$C$73)+(('[2]OR-Com-Existing Cust'!SU103+'[2]OR-Com-Cust Growth'!SW101)*'[2]Key Inputs'!$C$77)</f>
        <v>0</v>
      </c>
      <c r="AE5" s="63">
        <f>(('[2]OR-Res-Existing Cust'!SV103+'[2]OR-Res-Cust Growth'!SX101)*'[2]Key Inputs'!$C$73)+(('[2]OR-Com-Existing Cust'!SV103+'[2]OR-Com-Cust Growth'!SX101)*'[2]Key Inputs'!$C$77)</f>
        <v>872877.87522692233</v>
      </c>
      <c r="AF5" s="63">
        <f>(('[2]OR-Res-Existing Cust'!SW103+'[2]OR-Res-Cust Growth'!SY101)*'[2]Key Inputs'!$C$73)+(('[2]OR-Com-Existing Cust'!SW103+'[2]OR-Com-Cust Growth'!SY101)*'[2]Key Inputs'!$C$77)</f>
        <v>872877.87522692233</v>
      </c>
      <c r="AG5" s="63">
        <f>(('[2]OR-Res-Existing Cust'!SX103+'[2]OR-Res-Cust Growth'!SZ101)*'[2]Key Inputs'!$C$73)+(('[2]OR-Com-Existing Cust'!SX103+'[2]OR-Com-Cust Growth'!SZ101)*'[2]Key Inputs'!$C$77)</f>
        <v>1221771.0457042612</v>
      </c>
      <c r="AI5" s="152">
        <f>'[6]OR-IndComSales-Annual'!TF7*2.33</f>
        <v>0</v>
      </c>
      <c r="AJ5" s="152">
        <f>'[6]OR-IndComSales-Annual'!TG7*2.33</f>
        <v>0</v>
      </c>
      <c r="AK5" s="152">
        <f>'[6]OR-IndComSales-Annual'!TH7*2.33</f>
        <v>4151224.6693699136</v>
      </c>
      <c r="AL5" s="152">
        <f>'[6]OR-IndComSales-Annual'!TI7*2.33</f>
        <v>0</v>
      </c>
      <c r="AM5" s="152">
        <f>'[6]OR-IndComSales-Annual'!TJ7*2.33</f>
        <v>0</v>
      </c>
      <c r="AN5" s="152">
        <f>'[6]OR-IndComSales-Annual'!TK7*2.33</f>
        <v>0</v>
      </c>
      <c r="AO5" s="152">
        <f>'[6]OR-IndComSales-Annual'!TL7*2.33</f>
        <v>0</v>
      </c>
      <c r="AP5" s="152">
        <f>'[6]OR-IndComSales-Annual'!TM7*2.33</f>
        <v>0</v>
      </c>
      <c r="AQ5" s="152">
        <f>'[6]OR-IndComSales-Annual'!TN7*2.33</f>
        <v>0</v>
      </c>
      <c r="AR5" s="152">
        <f>'[6]OR-IndComSales-Annual'!TO7*2.33</f>
        <v>0</v>
      </c>
      <c r="AT5">
        <v>0</v>
      </c>
      <c r="AU5" s="152">
        <f>'[6]OR-Transport-Annual'!TE7*1.79</f>
        <v>2740422.0465879538</v>
      </c>
      <c r="AV5" s="152">
        <f>'[6]OR-Transport-Annual'!TF7*1.79</f>
        <v>5480844.0931759076</v>
      </c>
      <c r="AW5" s="152">
        <f>'[6]OR-Transport-Annual'!TG7*1.79</f>
        <v>2740422.0465879538</v>
      </c>
      <c r="AX5" s="152">
        <f>'[6]OR-Transport-Annual'!TH7*1.79</f>
        <v>2740422.0465879538</v>
      </c>
      <c r="AY5" s="152">
        <f>'[6]OR-Transport-Annual'!TI7*1.79</f>
        <v>0</v>
      </c>
      <c r="AZ5" s="152">
        <f>'[6]OR-Transport-Annual'!TJ7*1.79</f>
        <v>0</v>
      </c>
      <c r="BA5" s="152">
        <f>'[6]OR-Transport-Annual'!TK7*1.79</f>
        <v>2740422.0465879538</v>
      </c>
      <c r="BB5" s="152">
        <f>'[6]OR-Transport-Annual'!TL7*1.79</f>
        <v>2740422.0465879538</v>
      </c>
      <c r="BC5" s="152">
        <f>'[6]OR-Transport-Annual'!TM7*1.79</f>
        <v>1370211.0232939769</v>
      </c>
      <c r="BE5" s="133">
        <f t="shared" si="1"/>
        <v>610581.15368089522</v>
      </c>
      <c r="BF5" s="133">
        <f t="shared" si="0"/>
        <v>20195222.569751564</v>
      </c>
      <c r="BG5" s="133">
        <f t="shared" si="0"/>
        <v>24849580.753478814</v>
      </c>
      <c r="BH5" s="133">
        <f t="shared" si="0"/>
        <v>16968446.390028711</v>
      </c>
      <c r="BI5" s="133">
        <f t="shared" si="0"/>
        <v>15125530.140902059</v>
      </c>
      <c r="BJ5" s="133">
        <f t="shared" si="0"/>
        <v>0</v>
      </c>
      <c r="BK5" s="133">
        <f t="shared" si="0"/>
        <v>0</v>
      </c>
      <c r="BL5" s="133">
        <f t="shared" si="0"/>
        <v>13386500.974871634</v>
      </c>
      <c r="BM5" s="133">
        <f t="shared" si="0"/>
        <v>13386500.974871634</v>
      </c>
      <c r="BN5" s="133">
        <f t="shared" si="0"/>
        <v>4704280.8149268441</v>
      </c>
      <c r="BP5" s="153">
        <f>BE5/(([4]Annual!FZ5+[4]Annual!EW5)/10)</f>
        <v>5.6498937383685881E-3</v>
      </c>
      <c r="BQ5" s="153">
        <f>BF5/(([4]Annual!GA5+[4]Annual!EX5)/10)</f>
        <v>0.18922373550632479</v>
      </c>
      <c r="BR5" s="153">
        <f>BG5/(([4]Annual!GB5+[4]Annual!EY5)/10)</f>
        <v>0.23484446570319856</v>
      </c>
      <c r="BS5" s="153">
        <f>BH5/(([4]Annual!GC5+[4]Annual!EZ5)/10)</f>
        <v>0.15991332531876248</v>
      </c>
      <c r="BT5" s="153">
        <f>BI5/(([4]Annual!GD5+[4]Annual!FA5)/10)</f>
        <v>0.1450837709678601</v>
      </c>
      <c r="BU5" s="153">
        <f>BJ5/(([4]Annual!GE5+[4]Annual!FB5)/10)</f>
        <v>0</v>
      </c>
      <c r="BV5" s="153">
        <f>BK5/(([4]Annual!GF5+[4]Annual!FC5)/10)</f>
        <v>0</v>
      </c>
      <c r="BW5" s="153">
        <f>BL5/(([4]Annual!GG5+[4]Annual!FD5)/10)</f>
        <v>0.12507153591327788</v>
      </c>
      <c r="BX5" s="153">
        <f>BM5/(([4]Annual!GH5+[4]Annual!FE5)/10)</f>
        <v>0.12498214905546512</v>
      </c>
      <c r="BY5" s="153">
        <f>BN5/(([4]Annual!GI5+[4]Annual!FF5)/10)</f>
        <v>6.4820211351486162E-2</v>
      </c>
    </row>
    <row r="6" spans="1:77" x14ac:dyDescent="0.25">
      <c r="A6">
        <v>2026</v>
      </c>
      <c r="B6" s="133">
        <f>('[2]OR Res Incremental EE'!ST6+'[2]OR Com Incremental EE'!SI6)*'[5]Energy Efficiency'!$BR$9</f>
        <v>826055.00088100007</v>
      </c>
      <c r="C6" s="133">
        <f>('[2]OR Res Incremental EE'!SU6+'[2]OR Com Incremental EE'!SJ6)*'[5]Energy Efficiency'!$BR$9</f>
        <v>826055.00088100007</v>
      </c>
      <c r="D6" s="133">
        <f>('[2]OR Res Incremental EE'!SV6+'[2]OR Com Incremental EE'!SK6)*'[5]Energy Efficiency'!$BR$9</f>
        <v>11145377.496010499</v>
      </c>
      <c r="E6" s="133">
        <f>('[2]OR Res Incremental EE'!SW6+'[2]OR Com Incremental EE'!SL6)*'[5]Energy Efficiency'!$BR$9</f>
        <v>826055.00088100007</v>
      </c>
      <c r="F6" s="133">
        <f>('[2]OR Res Incremental EE'!SX6+'[2]OR Com Incremental EE'!SM6)*'[5]Energy Efficiency'!$BR$9</f>
        <v>310148.07444329991</v>
      </c>
      <c r="G6" s="133">
        <v>0</v>
      </c>
      <c r="H6" s="133">
        <v>0</v>
      </c>
      <c r="I6" s="133">
        <f>('[2]OR Res Incremental EE'!TA6+'[2]OR Com Incremental EE'!SP6)*'[5]Energy Efficiency'!$BR$9</f>
        <v>826055.00088100007</v>
      </c>
      <c r="J6" s="133">
        <f>('[2]OR Res Incremental EE'!TB6+'[2]OR Com Incremental EE'!SQ6)*'[5]Energy Efficiency'!$BR$9</f>
        <v>826055.00088100007</v>
      </c>
      <c r="K6" s="133">
        <f>('[2]OR Res Incremental EE'!TC6+'[2]OR Com Incremental EE'!SR6)*'[5]Energy Efficiency'!$BR$9</f>
        <v>826055.00088100007</v>
      </c>
      <c r="L6" s="133"/>
      <c r="M6" s="133">
        <f>('[2]OR-Res-Existing Cust'!SO40*0.87*'[2]Key Inputs'!$C$74)+('[2]OR-Res-Existing Cust'!SO168*0.67*'[2]Key Inputs'!$C$75)+('[2]OR-Res-Cust Growth'!SQ38*0.87*'[2]Key Inputs'!$C$74)+('[2]OR-Res-Cust Growth'!SQ166*0.87*'[2]Key Inputs'!$C$75)+('[2]OR-Com-Existing Cust'!SO40*0.87*'[2]Key Inputs'!$C$78)+('[2]OR-Com-Cust Growth'!SQ38*0.87*'[2]Key Inputs'!$C$78)</f>
        <v>0</v>
      </c>
      <c r="N6" s="133">
        <f>('[2]OR-Res-Existing Cust'!SP40*0.87*'[2]Key Inputs'!$C$74)+('[2]OR-Res-Existing Cust'!SP168*0.67*'[2]Key Inputs'!$C$75)+('[2]OR-Res-Cust Growth'!SR38*0.87*'[2]Key Inputs'!$C$74)+('[2]OR-Res-Cust Growth'!SR166*0.87*'[2]Key Inputs'!$C$75)+('[2]OR-Com-Existing Cust'!SP40*0.87*'[2]Key Inputs'!$C$78)+('[2]OR-Com-Cust Growth'!SR38*0.87*'[2]Key Inputs'!$C$78)</f>
        <v>21466097.378513493</v>
      </c>
      <c r="O6" s="133">
        <f>('[2]OR-Res-Existing Cust'!SQ40*0.87*'[2]Key Inputs'!$C$74)+('[2]OR-Res-Existing Cust'!SQ168*0.67*'[2]Key Inputs'!$C$75)+('[2]OR-Res-Cust Growth'!SS38*0.87*'[2]Key Inputs'!$C$74)+('[2]OR-Res-Cust Growth'!SS166*0.87*'[2]Key Inputs'!$C$75)+('[2]OR-Com-Existing Cust'!SQ40*0.87*'[2]Key Inputs'!$C$78)+('[2]OR-Com-Cust Growth'!SS38*0.87*'[2]Key Inputs'!$C$78)</f>
        <v>8274693.1241165074</v>
      </c>
      <c r="P6" s="133">
        <f>('[2]OR-Res-Existing Cust'!SR40*0.87*'[2]Key Inputs'!$C$74)+('[2]OR-Res-Existing Cust'!SR168*0.67*'[2]Key Inputs'!$C$75)+('[2]OR-Res-Cust Growth'!ST38*0.87*'[2]Key Inputs'!$C$74)+('[2]OR-Res-Cust Growth'!ST166*0.87*'[2]Key Inputs'!$C$75)+('[2]OR-Com-Existing Cust'!SR40*0.87*'[2]Key Inputs'!$C$78)+('[2]OR-Com-Cust Growth'!ST38*0.87*'[2]Key Inputs'!$C$78)</f>
        <v>11690468.523333339</v>
      </c>
      <c r="Q6" s="133">
        <f>('[2]OR-Res-Existing Cust'!SS40*0.87*'[2]Key Inputs'!$C$74)+('[2]OR-Res-Existing Cust'!SS168*0.67*'[2]Key Inputs'!$C$75)+('[2]OR-Res-Cust Growth'!SU38*0.87*'[2]Key Inputs'!$C$74)+('[2]OR-Res-Cust Growth'!SU166*0.87*'[2]Key Inputs'!$C$75)+('[2]OR-Com-Existing Cust'!SS40*0.87*'[2]Key Inputs'!$C$78)+('[2]OR-Com-Cust Growth'!SU38*0.87*'[2]Key Inputs'!$C$78)</f>
        <v>16789909.969180156</v>
      </c>
      <c r="R6" s="133">
        <f>('[2]OR-Res-Existing Cust'!ST40*0.87*'[2]Key Inputs'!$C$74)+('[2]OR-Res-Existing Cust'!ST168*0.67*'[2]Key Inputs'!$C$75)+('[2]OR-Res-Cust Growth'!SV38*0.87*'[2]Key Inputs'!$C$74)+('[2]OR-Res-Cust Growth'!SV166*0.87*'[2]Key Inputs'!$C$75)+('[2]OR-Com-Existing Cust'!ST40*0.87*'[2]Key Inputs'!$C$78)+('[2]OR-Com-Cust Growth'!SV38*0.87*'[2]Key Inputs'!$C$78)</f>
        <v>0</v>
      </c>
      <c r="S6" s="133">
        <f>('[2]OR-Res-Existing Cust'!SU40*0.87*'[2]Key Inputs'!$C$74)+('[2]OR-Res-Existing Cust'!SU168*0.67*'[2]Key Inputs'!$C$75)+('[2]OR-Res-Cust Growth'!SW38*0.87*'[2]Key Inputs'!$C$74)+('[2]OR-Res-Cust Growth'!SW166*0.87*'[2]Key Inputs'!$C$75)+('[2]OR-Com-Existing Cust'!SU40*0.87*'[2]Key Inputs'!$C$78)+('[2]OR-Com-Cust Growth'!SW38*0.87*'[2]Key Inputs'!$C$78)</f>
        <v>0</v>
      </c>
      <c r="T6" s="133">
        <f>('[2]OR-Res-Existing Cust'!SV40*0.87*'[2]Key Inputs'!$C$74)+('[2]OR-Res-Existing Cust'!SV168*0.67*'[2]Key Inputs'!$C$75)+('[2]OR-Res-Cust Growth'!SX38*0.87*'[2]Key Inputs'!$C$74)+('[2]OR-Res-Cust Growth'!SX166*0.87*'[2]Key Inputs'!$C$75)+('[2]OR-Com-Existing Cust'!SV40*0.87*'[2]Key Inputs'!$C$78)+('[2]OR-Com-Cust Growth'!SX38*0.87*'[2]Key Inputs'!$C$78)</f>
        <v>18348639.105624601</v>
      </c>
      <c r="U6" s="133">
        <f>('[2]OR-Res-Existing Cust'!SW40*0.87*'[2]Key Inputs'!$C$74)+('[2]OR-Res-Existing Cust'!SW168*0.67*'[2]Key Inputs'!$C$75)+('[2]OR-Res-Cust Growth'!SY38*0.87*'[2]Key Inputs'!$C$74)+('[2]OR-Res-Cust Growth'!SY166*0.87*'[2]Key Inputs'!$C$75)+('[2]OR-Com-Existing Cust'!SW40*0.87*'[2]Key Inputs'!$C$78)+('[2]OR-Com-Cust Growth'!SY38*0.87*'[2]Key Inputs'!$C$78)</f>
        <v>18348639.105624601</v>
      </c>
      <c r="V6" s="133">
        <f>('[2]OR-Res-Existing Cust'!SX40*0.87*'[2]Key Inputs'!$C$74)+('[2]OR-Res-Existing Cust'!SX168*0.67*'[2]Key Inputs'!$C$75)+('[2]OR-Res-Cust Growth'!SZ38*0.87*'[2]Key Inputs'!$C$74)+('[2]OR-Res-Cust Growth'!SZ166*0.87*'[2]Key Inputs'!$C$75)+('[2]OR-Com-Existing Cust'!SX40*0.87*'[2]Key Inputs'!$C$78)+('[2]OR-Com-Cust Growth'!SZ38*0.87*'[2]Key Inputs'!$C$78)</f>
        <v>2338093.7046666681</v>
      </c>
      <c r="X6" s="63">
        <f>(('[2]OR-Res-Existing Cust'!SO104+'[2]OR-Res-Cust Growth'!SQ102)*'[2]Key Inputs'!$C$73)+(('[2]OR-Com-Existing Cust'!SO104+'[2]OR-Com-Cust Growth'!SQ102)*'[2]Key Inputs'!$C$77)</f>
        <v>0</v>
      </c>
      <c r="Y6" s="63">
        <f>(('[2]OR-Res-Existing Cust'!SP104+'[2]OR-Res-Cust Growth'!SR102)*'[2]Key Inputs'!$C$73)+(('[2]OR-Com-Existing Cust'!SP104+'[2]OR-Com-Cust Growth'!SR102)*'[2]Key Inputs'!$C$77)</f>
        <v>4205556.5049496321</v>
      </c>
      <c r="Z6" s="63">
        <f>(('[2]OR-Res-Existing Cust'!SQ104+'[2]OR-Res-Cust Growth'!SS102)*'[2]Key Inputs'!$C$73)+(('[2]OR-Com-Existing Cust'!SQ104+'[2]OR-Com-Cust Growth'!SS102)*'[2]Key Inputs'!$C$77)</f>
        <v>1438371.1647326872</v>
      </c>
      <c r="AA6" s="63">
        <f>(('[2]OR-Res-Existing Cust'!SR104+'[2]OR-Res-Cust Growth'!ST102)*'[2]Key Inputs'!$C$73)+(('[2]OR-Com-Existing Cust'!SR104+'[2]OR-Com-Cust Growth'!ST102)*'[2]Key Inputs'!$C$77)</f>
        <v>9144428.8967687096</v>
      </c>
      <c r="AB6" s="63">
        <f>(('[2]OR-Res-Existing Cust'!SS104+'[2]OR-Res-Cust Growth'!SU102)*'[2]Key Inputs'!$C$73)+(('[2]OR-Com-Existing Cust'!SS104+'[2]OR-Com-Cust Growth'!SU102)*'[2]Key Inputs'!$C$77)</f>
        <v>3657771.5587074836</v>
      </c>
      <c r="AC6" s="63">
        <f>(('[2]OR-Res-Existing Cust'!ST104+'[2]OR-Res-Cust Growth'!SV102)*'[2]Key Inputs'!$C$73)+(('[2]OR-Com-Existing Cust'!ST104+'[2]OR-Com-Cust Growth'!SV102)*'[2]Key Inputs'!$C$77)</f>
        <v>0</v>
      </c>
      <c r="AD6" s="63">
        <f>(('[2]OR-Res-Existing Cust'!SU104+'[2]OR-Res-Cust Growth'!SW102)*'[2]Key Inputs'!$C$73)+(('[2]OR-Com-Existing Cust'!SU104+'[2]OR-Com-Cust Growth'!SW102)*'[2]Key Inputs'!$C$77)</f>
        <v>0</v>
      </c>
      <c r="AE6" s="63">
        <f>(('[2]OR-Res-Existing Cust'!SV104+'[2]OR-Res-Cust Growth'!SX102)*'[2]Key Inputs'!$C$73)+(('[2]OR-Com-Existing Cust'!SV104+'[2]OR-Com-Cust Growth'!SX102)*'[2]Key Inputs'!$C$77)</f>
        <v>1767042.1324779764</v>
      </c>
      <c r="AF6" s="63">
        <f>(('[2]OR-Res-Existing Cust'!SW104+'[2]OR-Res-Cust Growth'!SY102)*'[2]Key Inputs'!$C$73)+(('[2]OR-Com-Existing Cust'!SW104+'[2]OR-Com-Cust Growth'!SY102)*'[2]Key Inputs'!$C$77)</f>
        <v>1767042.1324779764</v>
      </c>
      <c r="AG6" s="63">
        <f>(('[2]OR-Res-Existing Cust'!SX104+'[2]OR-Res-Cust Growth'!SZ102)*'[2]Key Inputs'!$C$73)+(('[2]OR-Com-Existing Cust'!SX104+'[2]OR-Com-Cust Growth'!SZ102)*'[2]Key Inputs'!$C$77)</f>
        <v>1828885.7793537418</v>
      </c>
      <c r="AI6" s="152">
        <f>'[6]OR-IndComSales-Annual'!TF8*2.33</f>
        <v>0</v>
      </c>
      <c r="AJ6" s="152">
        <f>'[6]OR-IndComSales-Annual'!TG8*2.33</f>
        <v>0</v>
      </c>
      <c r="AK6" s="152">
        <f>'[6]OR-IndComSales-Annual'!TH8*2.33</f>
        <v>4349345.1192499865</v>
      </c>
      <c r="AL6" s="152">
        <f>'[6]OR-IndComSales-Annual'!TI8*2.33</f>
        <v>0</v>
      </c>
      <c r="AM6" s="152">
        <f>'[6]OR-IndComSales-Annual'!TJ8*2.33</f>
        <v>0</v>
      </c>
      <c r="AN6" s="152">
        <f>'[6]OR-IndComSales-Annual'!TK8*2.33</f>
        <v>0</v>
      </c>
      <c r="AO6" s="152">
        <f>'[6]OR-IndComSales-Annual'!TL8*2.33</f>
        <v>0</v>
      </c>
      <c r="AP6" s="152">
        <f>'[6]OR-IndComSales-Annual'!TM8*2.33</f>
        <v>0</v>
      </c>
      <c r="AQ6" s="152">
        <f>'[6]OR-IndComSales-Annual'!TN8*2.33</f>
        <v>0</v>
      </c>
      <c r="AR6" s="152">
        <f>'[6]OR-IndComSales-Annual'!TO8*2.33</f>
        <v>0</v>
      </c>
      <c r="AT6">
        <v>0</v>
      </c>
      <c r="AU6" s="152">
        <f>'[6]OR-Transport-Annual'!TE8*1.79</f>
        <v>2419608.2308219969</v>
      </c>
      <c r="AV6" s="152">
        <f>'[6]OR-Transport-Annual'!TF8*1.79</f>
        <v>4839216.4616439939</v>
      </c>
      <c r="AW6" s="152">
        <f>'[6]OR-Transport-Annual'!TG8*1.79</f>
        <v>2419608.2308219969</v>
      </c>
      <c r="AX6" s="152">
        <f>'[6]OR-Transport-Annual'!TH8*1.79</f>
        <v>2419608.2308219969</v>
      </c>
      <c r="AY6" s="152">
        <f>'[6]OR-Transport-Annual'!TI8*1.79</f>
        <v>0</v>
      </c>
      <c r="AZ6" s="152">
        <f>'[6]OR-Transport-Annual'!TJ8*1.79</f>
        <v>0</v>
      </c>
      <c r="BA6" s="152">
        <f>'[6]OR-Transport-Annual'!TK8*1.79</f>
        <v>2419608.2308219969</v>
      </c>
      <c r="BB6" s="152">
        <f>'[6]OR-Transport-Annual'!TL8*1.79</f>
        <v>2419608.2308219969</v>
      </c>
      <c r="BC6" s="152">
        <f>'[6]OR-Transport-Annual'!TM8*1.79</f>
        <v>1209804.1154109985</v>
      </c>
      <c r="BE6" s="133">
        <f t="shared" si="1"/>
        <v>826055.00088100007</v>
      </c>
      <c r="BF6" s="133">
        <f t="shared" si="0"/>
        <v>28917317.115166124</v>
      </c>
      <c r="BG6" s="133">
        <f t="shared" si="0"/>
        <v>30047003.365753673</v>
      </c>
      <c r="BH6" s="133">
        <f t="shared" si="0"/>
        <v>24080560.651805043</v>
      </c>
      <c r="BI6" s="133">
        <f t="shared" si="0"/>
        <v>23177437.833152935</v>
      </c>
      <c r="BJ6" s="133">
        <f t="shared" si="0"/>
        <v>0</v>
      </c>
      <c r="BK6" s="133">
        <f t="shared" si="0"/>
        <v>0</v>
      </c>
      <c r="BL6" s="133">
        <f t="shared" si="0"/>
        <v>23361344.469805576</v>
      </c>
      <c r="BM6" s="133">
        <f t="shared" si="0"/>
        <v>23361344.469805576</v>
      </c>
      <c r="BN6" s="133">
        <f t="shared" si="0"/>
        <v>6202838.6003124081</v>
      </c>
      <c r="BP6" s="153">
        <f>BE6/(([4]Annual!FZ6+[4]Annual!EW6)/10)</f>
        <v>7.6452627047857453E-3</v>
      </c>
      <c r="BQ6" s="153">
        <f>BF6/(([4]Annual!GA6+[4]Annual!EX6)/10)</f>
        <v>0.27345708835382621</v>
      </c>
      <c r="BR6" s="153">
        <f>BG6/(([4]Annual!GB6+[4]Annual!EY6)/10)</f>
        <v>0.28645075831310324</v>
      </c>
      <c r="BS6" s="153">
        <f>BH6/(([4]Annual!GC6+[4]Annual!EZ6)/10)</f>
        <v>0.22960425201256074</v>
      </c>
      <c r="BT6" s="153">
        <f>BI6/(([4]Annual!GD6+[4]Annual!FA6)/10)</f>
        <v>0.22733956176234749</v>
      </c>
      <c r="BU6" s="153">
        <f>BJ6/(([4]Annual!GE6+[4]Annual!FB6)/10)</f>
        <v>0</v>
      </c>
      <c r="BV6" s="153">
        <f>BK6/(([4]Annual!GF6+[4]Annual!FC6)/10)</f>
        <v>0</v>
      </c>
      <c r="BW6" s="153">
        <f>BL6/(([4]Annual!GG6+[4]Annual!FD6)/10)</f>
        <v>0.21929809024331584</v>
      </c>
      <c r="BX6" s="153">
        <f>BM6/(([4]Annual!GH6+[4]Annual!FE6)/10)</f>
        <v>0.21900177483509975</v>
      </c>
      <c r="BY6" s="153">
        <f>BN6/(([4]Annual!GI6+[4]Annual!FF6)/10)</f>
        <v>8.5709506525269735E-2</v>
      </c>
    </row>
    <row r="7" spans="1:77" x14ac:dyDescent="0.25">
      <c r="A7">
        <v>2027</v>
      </c>
      <c r="B7" s="133">
        <f>('[2]OR Res Incremental EE'!ST7+'[2]OR Com Incremental EE'!SI7)*'[5]Energy Efficiency'!$BR$9</f>
        <v>1122587.4573172845</v>
      </c>
      <c r="C7" s="133">
        <f>('[2]OR Res Incremental EE'!SU7+'[2]OR Com Incremental EE'!SJ7)*'[5]Energy Efficiency'!$BR$9</f>
        <v>1122587.4573172845</v>
      </c>
      <c r="D7" s="133">
        <f>('[2]OR Res Incremental EE'!SV7+'[2]OR Com Incremental EE'!SK7)*'[5]Energy Efficiency'!$BR$9</f>
        <v>13275531.24942114</v>
      </c>
      <c r="E7" s="133">
        <f>('[2]OR Res Incremental EE'!SW7+'[2]OR Com Incremental EE'!SL7)*'[5]Energy Efficiency'!$BR$9</f>
        <v>1122587.4573172845</v>
      </c>
      <c r="F7" s="133">
        <f>('[2]OR Res Incremental EE'!SX7+'[2]OR Com Incremental EE'!SM7)*'[5]Energy Efficiency'!$BR$9</f>
        <v>360010.99333363003</v>
      </c>
      <c r="G7" s="133">
        <v>0</v>
      </c>
      <c r="H7" s="133">
        <v>0</v>
      </c>
      <c r="I7" s="133">
        <f>('[2]OR Res Incremental EE'!TA7+'[2]OR Com Incremental EE'!SP7)*'[5]Energy Efficiency'!$BR$9</f>
        <v>1122587.4573172845</v>
      </c>
      <c r="J7" s="133">
        <f>('[2]OR Res Incremental EE'!TB7+'[2]OR Com Incremental EE'!SQ7)*'[5]Energy Efficiency'!$BR$9</f>
        <v>1122587.4573172845</v>
      </c>
      <c r="K7" s="133">
        <f>('[2]OR Res Incremental EE'!TC7+'[2]OR Com Incremental EE'!SR7)*'[5]Energy Efficiency'!$BR$9</f>
        <v>1122587.4573172845</v>
      </c>
      <c r="L7" s="133"/>
      <c r="M7" s="133">
        <f>('[2]OR-Res-Existing Cust'!SO41*0.87*'[2]Key Inputs'!$C$74)+('[2]OR-Res-Existing Cust'!SO169*0.67*'[2]Key Inputs'!$C$75)+('[2]OR-Res-Cust Growth'!SQ39*0.87*'[2]Key Inputs'!$C$74)+('[2]OR-Res-Cust Growth'!SQ167*0.87*'[2]Key Inputs'!$C$75)+('[2]OR-Com-Existing Cust'!SO41*0.87*'[2]Key Inputs'!$C$78)+('[2]OR-Com-Cust Growth'!SQ39*0.87*'[2]Key Inputs'!$C$78)</f>
        <v>0</v>
      </c>
      <c r="N7" s="133">
        <f>('[2]OR-Res-Existing Cust'!SP41*0.87*'[2]Key Inputs'!$C$74)+('[2]OR-Res-Existing Cust'!SP169*0.67*'[2]Key Inputs'!$C$75)+('[2]OR-Res-Cust Growth'!SR39*0.87*'[2]Key Inputs'!$C$74)+('[2]OR-Res-Cust Growth'!SR167*0.87*'[2]Key Inputs'!$C$75)+('[2]OR-Com-Existing Cust'!SP41*0.87*'[2]Key Inputs'!$C$78)+('[2]OR-Com-Cust Growth'!SR39*0.87*'[2]Key Inputs'!$C$78)</f>
        <v>29742236.386869572</v>
      </c>
      <c r="O7" s="133">
        <f>('[2]OR-Res-Existing Cust'!SQ41*0.87*'[2]Key Inputs'!$C$74)+('[2]OR-Res-Existing Cust'!SQ169*0.67*'[2]Key Inputs'!$C$75)+('[2]OR-Res-Cust Growth'!SS39*0.87*'[2]Key Inputs'!$C$74)+('[2]OR-Res-Cust Growth'!SS167*0.87*'[2]Key Inputs'!$C$75)+('[2]OR-Com-Existing Cust'!SQ41*0.87*'[2]Key Inputs'!$C$78)+('[2]OR-Com-Cust Growth'!SS39*0.87*'[2]Key Inputs'!$C$78)</f>
        <v>13265463.24076348</v>
      </c>
      <c r="P7" s="133">
        <f>('[2]OR-Res-Existing Cust'!SR41*0.87*'[2]Key Inputs'!$C$74)+('[2]OR-Res-Existing Cust'!SR169*0.67*'[2]Key Inputs'!$C$75)+('[2]OR-Res-Cust Growth'!ST39*0.87*'[2]Key Inputs'!$C$74)+('[2]OR-Res-Cust Growth'!ST167*0.87*'[2]Key Inputs'!$C$75)+('[2]OR-Com-Existing Cust'!SR41*0.87*'[2]Key Inputs'!$C$78)+('[2]OR-Com-Cust Growth'!ST39*0.87*'[2]Key Inputs'!$C$78)</f>
        <v>13820559.144952251</v>
      </c>
      <c r="Q7" s="133">
        <f>('[2]OR-Res-Existing Cust'!SS41*0.87*'[2]Key Inputs'!$C$74)+('[2]OR-Res-Existing Cust'!SS169*0.67*'[2]Key Inputs'!$C$75)+('[2]OR-Res-Cust Growth'!SU39*0.87*'[2]Key Inputs'!$C$74)+('[2]OR-Res-Cust Growth'!SU167*0.87*'[2]Key Inputs'!$C$75)+('[2]OR-Com-Existing Cust'!SS41*0.87*'[2]Key Inputs'!$C$78)+('[2]OR-Com-Cust Growth'!SU39*0.87*'[2]Key Inputs'!$C$78)</f>
        <v>25135383.338552155</v>
      </c>
      <c r="R7" s="133">
        <f>('[2]OR-Res-Existing Cust'!ST41*0.87*'[2]Key Inputs'!$C$74)+('[2]OR-Res-Existing Cust'!ST169*0.67*'[2]Key Inputs'!$C$75)+('[2]OR-Res-Cust Growth'!SV39*0.87*'[2]Key Inputs'!$C$74)+('[2]OR-Res-Cust Growth'!SV167*0.87*'[2]Key Inputs'!$C$75)+('[2]OR-Com-Existing Cust'!ST41*0.87*'[2]Key Inputs'!$C$78)+('[2]OR-Com-Cust Growth'!SV39*0.87*'[2]Key Inputs'!$C$78)</f>
        <v>0</v>
      </c>
      <c r="S7" s="133">
        <f>('[2]OR-Res-Existing Cust'!SU41*0.87*'[2]Key Inputs'!$C$74)+('[2]OR-Res-Existing Cust'!SU169*0.67*'[2]Key Inputs'!$C$75)+('[2]OR-Res-Cust Growth'!SW39*0.87*'[2]Key Inputs'!$C$74)+('[2]OR-Res-Cust Growth'!SW167*0.87*'[2]Key Inputs'!$C$75)+('[2]OR-Com-Existing Cust'!SU41*0.87*'[2]Key Inputs'!$C$78)+('[2]OR-Com-Cust Growth'!SW39*0.87*'[2]Key Inputs'!$C$78)</f>
        <v>0</v>
      </c>
      <c r="T7" s="133">
        <f>('[2]OR-Res-Existing Cust'!SV41*0.87*'[2]Key Inputs'!$C$74)+('[2]OR-Res-Existing Cust'!SV169*0.67*'[2]Key Inputs'!$C$75)+('[2]OR-Res-Cust Growth'!SX39*0.87*'[2]Key Inputs'!$C$74)+('[2]OR-Res-Cust Growth'!SX167*0.87*'[2]Key Inputs'!$C$75)+('[2]OR-Com-Existing Cust'!SV41*0.87*'[2]Key Inputs'!$C$78)+('[2]OR-Com-Cust Growth'!SX39*0.87*'[2]Key Inputs'!$C$78)</f>
        <v>27438809.862710863</v>
      </c>
      <c r="U7" s="133">
        <f>('[2]OR-Res-Existing Cust'!SW41*0.87*'[2]Key Inputs'!$C$74)+('[2]OR-Res-Existing Cust'!SW169*0.67*'[2]Key Inputs'!$C$75)+('[2]OR-Res-Cust Growth'!SY39*0.87*'[2]Key Inputs'!$C$74)+('[2]OR-Res-Cust Growth'!SY167*0.87*'[2]Key Inputs'!$C$75)+('[2]OR-Com-Existing Cust'!SW41*0.87*'[2]Key Inputs'!$C$78)+('[2]OR-Com-Cust Growth'!SY39*0.87*'[2]Key Inputs'!$C$78)</f>
        <v>27438809.862710863</v>
      </c>
      <c r="V7" s="133">
        <f>('[2]OR-Res-Existing Cust'!SX41*0.87*'[2]Key Inputs'!$C$74)+('[2]OR-Res-Existing Cust'!SX169*0.67*'[2]Key Inputs'!$C$75)+('[2]OR-Res-Cust Growth'!SZ39*0.87*'[2]Key Inputs'!$C$74)+('[2]OR-Res-Cust Growth'!SZ167*0.87*'[2]Key Inputs'!$C$75)+('[2]OR-Com-Existing Cust'!SX41*0.87*'[2]Key Inputs'!$C$78)+('[2]OR-Com-Cust Growth'!SZ39*0.87*'[2]Key Inputs'!$C$78)</f>
        <v>3071235.3655449441</v>
      </c>
      <c r="X7" s="63">
        <f>(('[2]OR-Res-Existing Cust'!SO105+'[2]OR-Res-Cust Growth'!SQ103)*'[2]Key Inputs'!$C$73)+(('[2]OR-Com-Existing Cust'!SO105+'[2]OR-Com-Cust Growth'!SQ103)*'[2]Key Inputs'!$C$77)</f>
        <v>0</v>
      </c>
      <c r="Y7" s="63">
        <f>(('[2]OR-Res-Existing Cust'!SP105+'[2]OR-Res-Cust Growth'!SR103)*'[2]Key Inputs'!$C$73)+(('[2]OR-Com-Existing Cust'!SP105+'[2]OR-Com-Cust Growth'!SR103)*'[2]Key Inputs'!$C$77)</f>
        <v>4453035.3269533049</v>
      </c>
      <c r="Z7" s="63">
        <f>(('[2]OR-Res-Existing Cust'!SQ105+'[2]OR-Res-Cust Growth'!SS103)*'[2]Key Inputs'!$C$73)+(('[2]OR-Com-Existing Cust'!SQ105+'[2]OR-Com-Cust Growth'!SS103)*'[2]Key Inputs'!$C$77)</f>
        <v>1591364.5156515026</v>
      </c>
      <c r="AA7" s="63">
        <f>(('[2]OR-Res-Existing Cust'!SR105+'[2]OR-Res-Cust Growth'!ST103)*'[2]Key Inputs'!$C$73)+(('[2]OR-Com-Existing Cust'!SR105+'[2]OR-Com-Cust Growth'!ST103)*'[2]Key Inputs'!$C$77)</f>
        <v>10951169.33085091</v>
      </c>
      <c r="AB7" s="63">
        <f>(('[2]OR-Res-Existing Cust'!SS105+'[2]OR-Res-Cust Growth'!SU103)*'[2]Key Inputs'!$C$73)+(('[2]OR-Com-Existing Cust'!SS105+'[2]OR-Com-Cust Growth'!SU103)*'[2]Key Inputs'!$C$77)</f>
        <v>3650389.7769503035</v>
      </c>
      <c r="AC7" s="63">
        <f>(('[2]OR-Res-Existing Cust'!ST105+'[2]OR-Res-Cust Growth'!SV103)*'[2]Key Inputs'!$C$73)+(('[2]OR-Com-Existing Cust'!ST105+'[2]OR-Com-Cust Growth'!SV103)*'[2]Key Inputs'!$C$77)</f>
        <v>0</v>
      </c>
      <c r="AD7" s="63">
        <f>(('[2]OR-Res-Existing Cust'!SU105+'[2]OR-Res-Cust Growth'!SW103)*'[2]Key Inputs'!$C$73)+(('[2]OR-Com-Existing Cust'!SU105+'[2]OR-Com-Cust Growth'!SW103)*'[2]Key Inputs'!$C$77)</f>
        <v>0</v>
      </c>
      <c r="AE7" s="63">
        <f>(('[2]OR-Res-Existing Cust'!SV105+'[2]OR-Res-Cust Growth'!SX103)*'[2]Key Inputs'!$C$73)+(('[2]OR-Com-Existing Cust'!SV105+'[2]OR-Com-Cust Growth'!SX103)*'[2]Key Inputs'!$C$77)</f>
        <v>2627840.4384781537</v>
      </c>
      <c r="AF7" s="63">
        <f>(('[2]OR-Res-Existing Cust'!SW105+'[2]OR-Res-Cust Growth'!SY103)*'[2]Key Inputs'!$C$73)+(('[2]OR-Com-Existing Cust'!SW105+'[2]OR-Com-Cust Growth'!SY103)*'[2]Key Inputs'!$C$77)</f>
        <v>2627840.4384781537</v>
      </c>
      <c r="AG7" s="63">
        <f>(('[2]OR-Res-Existing Cust'!SX105+'[2]OR-Res-Cust Growth'!SZ103)*'[2]Key Inputs'!$C$73)+(('[2]OR-Com-Existing Cust'!SX105+'[2]OR-Com-Cust Growth'!SZ103)*'[2]Key Inputs'!$C$77)</f>
        <v>2433593.1846335363</v>
      </c>
      <c r="AI7" s="152">
        <f>'[6]OR-IndComSales-Annual'!TF9*2.33</f>
        <v>0</v>
      </c>
      <c r="AJ7" s="152">
        <f>'[6]OR-IndComSales-Annual'!TG9*2.33</f>
        <v>0</v>
      </c>
      <c r="AK7" s="152">
        <f>'[6]OR-IndComSales-Annual'!TH9*2.33</f>
        <v>3894802.4398998641</v>
      </c>
      <c r="AL7" s="152">
        <f>'[6]OR-IndComSales-Annual'!TI9*2.33</f>
        <v>0</v>
      </c>
      <c r="AM7" s="152">
        <f>'[6]OR-IndComSales-Annual'!TJ9*2.33</f>
        <v>0</v>
      </c>
      <c r="AN7" s="152">
        <f>'[6]OR-IndComSales-Annual'!TK9*2.33</f>
        <v>0</v>
      </c>
      <c r="AO7" s="152">
        <f>'[6]OR-IndComSales-Annual'!TL9*2.33</f>
        <v>0</v>
      </c>
      <c r="AP7" s="152">
        <f>'[6]OR-IndComSales-Annual'!TM9*2.33</f>
        <v>0</v>
      </c>
      <c r="AQ7" s="152">
        <f>'[6]OR-IndComSales-Annual'!TN9*2.33</f>
        <v>0</v>
      </c>
      <c r="AR7" s="152">
        <f>'[6]OR-IndComSales-Annual'!TO9*2.33</f>
        <v>0</v>
      </c>
      <c r="AT7">
        <v>0</v>
      </c>
      <c r="AU7" s="152">
        <f>'[6]OR-Transport-Annual'!TE9*1.79</f>
        <v>2277079.9161500041</v>
      </c>
      <c r="AV7" s="152">
        <f>'[6]OR-Transport-Annual'!TF9*1.79</f>
        <v>4554159.8323000083</v>
      </c>
      <c r="AW7" s="152">
        <f>'[6]OR-Transport-Annual'!TG9*1.79</f>
        <v>2277079.9161500041</v>
      </c>
      <c r="AX7" s="152">
        <f>'[6]OR-Transport-Annual'!TH9*1.79</f>
        <v>2277079.9161500041</v>
      </c>
      <c r="AY7" s="152">
        <f>'[6]OR-Transport-Annual'!TI9*1.79</f>
        <v>0</v>
      </c>
      <c r="AZ7" s="152">
        <f>'[6]OR-Transport-Annual'!TJ9*1.79</f>
        <v>0</v>
      </c>
      <c r="BA7" s="152">
        <f>'[6]OR-Transport-Annual'!TK9*1.79</f>
        <v>2277079.9161500041</v>
      </c>
      <c r="BB7" s="152">
        <f>'[6]OR-Transport-Annual'!TL9*1.79</f>
        <v>2277079.9161500041</v>
      </c>
      <c r="BC7" s="152">
        <f>'[6]OR-Transport-Annual'!TM9*1.79</f>
        <v>1138539.9580749488</v>
      </c>
      <c r="BE7" s="133">
        <f t="shared" si="1"/>
        <v>1122587.4573172845</v>
      </c>
      <c r="BF7" s="133">
        <f t="shared" si="0"/>
        <v>37594939.087290168</v>
      </c>
      <c r="BG7" s="133">
        <f t="shared" si="0"/>
        <v>36581321.278035998</v>
      </c>
      <c r="BH7" s="133">
        <f t="shared" si="0"/>
        <v>28171395.849270448</v>
      </c>
      <c r="BI7" s="133">
        <f t="shared" si="0"/>
        <v>31422864.024986092</v>
      </c>
      <c r="BJ7" s="133">
        <f t="shared" si="0"/>
        <v>0</v>
      </c>
      <c r="BK7" s="133">
        <f t="shared" si="0"/>
        <v>0</v>
      </c>
      <c r="BL7" s="133">
        <f t="shared" si="0"/>
        <v>33466317.674656305</v>
      </c>
      <c r="BM7" s="133">
        <f t="shared" si="0"/>
        <v>33466317.674656305</v>
      </c>
      <c r="BN7" s="133">
        <f t="shared" si="0"/>
        <v>7765955.9655707134</v>
      </c>
      <c r="BP7" s="153">
        <f>BE7/(([4]Annual!FZ7+[4]Annual!EW7)/10)</f>
        <v>1.0391269309435552E-2</v>
      </c>
      <c r="BQ7" s="153">
        <f>BF7/(([4]Annual!GA7+[4]Annual!EX7)/10)</f>
        <v>0.35890698067180449</v>
      </c>
      <c r="BR7" s="153">
        <f>BG7/(([4]Annual!GB7+[4]Annual!EY7)/10)</f>
        <v>0.35178257420670295</v>
      </c>
      <c r="BS7" s="153">
        <f>BH7/(([4]Annual!GC7+[4]Annual!EZ7)/10)</f>
        <v>0.27261476480316632</v>
      </c>
      <c r="BT7" s="153">
        <f>BI7/(([4]Annual!GD7+[4]Annual!FA7)/10)</f>
        <v>0.31533953804378523</v>
      </c>
      <c r="BU7" s="153">
        <f>BJ7/(([4]Annual!GE7+[4]Annual!FB7)/10)</f>
        <v>0</v>
      </c>
      <c r="BV7" s="153">
        <f>BK7/(([4]Annual!GF7+[4]Annual!FC7)/10)</f>
        <v>0</v>
      </c>
      <c r="BW7" s="153">
        <f>BL7/(([4]Annual!GG7+[4]Annual!FD7)/10)</f>
        <v>0.31595462193043655</v>
      </c>
      <c r="BX7" s="153">
        <f>BM7/(([4]Annual!GH7+[4]Annual!FE7)/10)</f>
        <v>0.31533615927513886</v>
      </c>
      <c r="BY7" s="153">
        <f>BN7/(([4]Annual!GI7+[4]Annual!FF7)/10)</f>
        <v>0.1076971638444529</v>
      </c>
    </row>
    <row r="8" spans="1:77" x14ac:dyDescent="0.25">
      <c r="A8">
        <v>2028</v>
      </c>
      <c r="B8" s="133">
        <f>('[2]OR Res Incremental EE'!ST8+'[2]OR Com Incremental EE'!SI8)*'[5]Energy Efficiency'!$BR$9</f>
        <v>1516084.5235952032</v>
      </c>
      <c r="C8" s="133">
        <f>('[2]OR Res Incremental EE'!SU8+'[2]OR Com Incremental EE'!SJ8)*'[5]Energy Efficiency'!$BR$9</f>
        <v>1516084.5235952032</v>
      </c>
      <c r="D8" s="133">
        <f>('[2]OR Res Incremental EE'!SV8+'[2]OR Com Incremental EE'!SK8)*'[5]Energy Efficiency'!$BR$9</f>
        <v>15570685.354595333</v>
      </c>
      <c r="E8" s="133">
        <f>('[2]OR Res Incremental EE'!SW8+'[2]OR Com Incremental EE'!SL8)*'[5]Energy Efficiency'!$BR$9</f>
        <v>1516084.5235952032</v>
      </c>
      <c r="F8" s="133">
        <f>('[2]OR Res Incremental EE'!SX8+'[2]OR Com Incremental EE'!SM8)*'[5]Energy Efficiency'!$BR$9</f>
        <v>431138.60823679034</v>
      </c>
      <c r="G8" s="133">
        <v>0</v>
      </c>
      <c r="H8" s="133">
        <v>0</v>
      </c>
      <c r="I8" s="133">
        <f>('[2]OR Res Incremental EE'!TA8+'[2]OR Com Incremental EE'!SP8)*'[5]Energy Efficiency'!$BR$9</f>
        <v>1516084.5235952032</v>
      </c>
      <c r="J8" s="133">
        <f>('[2]OR Res Incremental EE'!TB8+'[2]OR Com Incremental EE'!SQ8)*'[5]Energy Efficiency'!$BR$9</f>
        <v>1516084.5235952032</v>
      </c>
      <c r="K8" s="133">
        <f>('[2]OR Res Incremental EE'!TC8+'[2]OR Com Incremental EE'!SR8)*'[5]Energy Efficiency'!$BR$9</f>
        <v>1516084.5235952032</v>
      </c>
      <c r="L8" s="133"/>
      <c r="M8" s="133">
        <f>('[2]OR-Res-Existing Cust'!SO42*0.87*'[2]Key Inputs'!$C$74)+('[2]OR-Res-Existing Cust'!SO170*0.67*'[2]Key Inputs'!$C$75)+('[2]OR-Res-Cust Growth'!SQ40*0.87*'[2]Key Inputs'!$C$74)+('[2]OR-Res-Cust Growth'!SQ168*0.87*'[2]Key Inputs'!$C$75)+('[2]OR-Com-Existing Cust'!SO42*0.87*'[2]Key Inputs'!$C$78)+('[2]OR-Com-Cust Growth'!SQ40*0.87*'[2]Key Inputs'!$C$78)</f>
        <v>0</v>
      </c>
      <c r="N8" s="133">
        <f>('[2]OR-Res-Existing Cust'!SP42*0.87*'[2]Key Inputs'!$C$74)+('[2]OR-Res-Existing Cust'!SP170*0.67*'[2]Key Inputs'!$C$75)+('[2]OR-Res-Cust Growth'!SR40*0.87*'[2]Key Inputs'!$C$74)+('[2]OR-Res-Cust Growth'!SR168*0.87*'[2]Key Inputs'!$C$75)+('[2]OR-Com-Existing Cust'!SP42*0.87*'[2]Key Inputs'!$C$78)+('[2]OR-Com-Cust Growth'!SR40*0.87*'[2]Key Inputs'!$C$78)</f>
        <v>38017388.859085567</v>
      </c>
      <c r="O8" s="133">
        <f>('[2]OR-Res-Existing Cust'!SQ42*0.87*'[2]Key Inputs'!$C$74)+('[2]OR-Res-Existing Cust'!SQ170*0.67*'[2]Key Inputs'!$C$75)+('[2]OR-Res-Cust Growth'!SS40*0.87*'[2]Key Inputs'!$C$74)+('[2]OR-Res-Cust Growth'!SS168*0.87*'[2]Key Inputs'!$C$75)+('[2]OR-Com-Existing Cust'!SQ42*0.87*'[2]Key Inputs'!$C$78)+('[2]OR-Com-Cust Growth'!SS40*0.87*'[2]Key Inputs'!$C$78)</f>
        <v>18247245.704678986</v>
      </c>
      <c r="P8" s="133">
        <f>('[2]OR-Res-Existing Cust'!SR42*0.87*'[2]Key Inputs'!$C$74)+('[2]OR-Res-Existing Cust'!SR170*0.67*'[2]Key Inputs'!$C$75)+('[2]OR-Res-Cust Growth'!ST40*0.87*'[2]Key Inputs'!$C$74)+('[2]OR-Res-Cust Growth'!ST168*0.87*'[2]Key Inputs'!$C$75)+('[2]OR-Com-Existing Cust'!SR42*0.87*'[2]Key Inputs'!$C$78)+('[2]OR-Com-Cust Growth'!ST40*0.87*'[2]Key Inputs'!$C$78)</f>
        <v>15228974.497275939</v>
      </c>
      <c r="Q8" s="133">
        <f>('[2]OR-Res-Existing Cust'!SS42*0.87*'[2]Key Inputs'!$C$74)+('[2]OR-Res-Existing Cust'!SS170*0.67*'[2]Key Inputs'!$C$75)+('[2]OR-Res-Cust Growth'!SU40*0.87*'[2]Key Inputs'!$C$74)+('[2]OR-Res-Cust Growth'!SU168*0.87*'[2]Key Inputs'!$C$75)+('[2]OR-Com-Existing Cust'!SS42*0.87*'[2]Key Inputs'!$C$78)+('[2]OR-Com-Cust Growth'!SU40*0.87*'[2]Key Inputs'!$C$78)</f>
        <v>33448696.509902783</v>
      </c>
      <c r="R8" s="133">
        <f>('[2]OR-Res-Existing Cust'!ST42*0.87*'[2]Key Inputs'!$C$74)+('[2]OR-Res-Existing Cust'!ST170*0.67*'[2]Key Inputs'!$C$75)+('[2]OR-Res-Cust Growth'!SV40*0.87*'[2]Key Inputs'!$C$74)+('[2]OR-Res-Cust Growth'!SV168*0.87*'[2]Key Inputs'!$C$75)+('[2]OR-Com-Existing Cust'!ST42*0.87*'[2]Key Inputs'!$C$78)+('[2]OR-Com-Cust Growth'!SV40*0.87*'[2]Key Inputs'!$C$78)</f>
        <v>0</v>
      </c>
      <c r="S8" s="133">
        <f>('[2]OR-Res-Existing Cust'!SU42*0.87*'[2]Key Inputs'!$C$74)+('[2]OR-Res-Existing Cust'!SU170*0.67*'[2]Key Inputs'!$C$75)+('[2]OR-Res-Cust Growth'!SW40*0.87*'[2]Key Inputs'!$C$74)+('[2]OR-Res-Cust Growth'!SW168*0.87*'[2]Key Inputs'!$C$75)+('[2]OR-Com-Existing Cust'!SU42*0.87*'[2]Key Inputs'!$C$78)+('[2]OR-Com-Cust Growth'!SW40*0.87*'[2]Key Inputs'!$C$78)</f>
        <v>0</v>
      </c>
      <c r="T8" s="133">
        <f>('[2]OR-Res-Existing Cust'!SV42*0.87*'[2]Key Inputs'!$C$74)+('[2]OR-Res-Existing Cust'!SV170*0.67*'[2]Key Inputs'!$C$75)+('[2]OR-Res-Cust Growth'!SX40*0.87*'[2]Key Inputs'!$C$74)+('[2]OR-Res-Cust Growth'!SX168*0.87*'[2]Key Inputs'!$C$75)+('[2]OR-Com-Existing Cust'!SV42*0.87*'[2]Key Inputs'!$C$78)+('[2]OR-Com-Cust Growth'!SX40*0.87*'[2]Key Inputs'!$C$78)</f>
        <v>36494491.409357972</v>
      </c>
      <c r="U8" s="133">
        <f>('[2]OR-Res-Existing Cust'!SW42*0.87*'[2]Key Inputs'!$C$74)+('[2]OR-Res-Existing Cust'!SW170*0.67*'[2]Key Inputs'!$C$75)+('[2]OR-Res-Cust Growth'!SY40*0.87*'[2]Key Inputs'!$C$74)+('[2]OR-Res-Cust Growth'!SY168*0.87*'[2]Key Inputs'!$C$75)+('[2]OR-Com-Existing Cust'!SW42*0.87*'[2]Key Inputs'!$C$78)+('[2]OR-Com-Cust Growth'!SY40*0.87*'[2]Key Inputs'!$C$78)</f>
        <v>36494491.409357972</v>
      </c>
      <c r="V8" s="133">
        <f>('[2]OR-Res-Existing Cust'!SX42*0.87*'[2]Key Inputs'!$C$74)+('[2]OR-Res-Existing Cust'!SX170*0.67*'[2]Key Inputs'!$C$75)+('[2]OR-Res-Cust Growth'!SZ40*0.87*'[2]Key Inputs'!$C$74)+('[2]OR-Res-Cust Growth'!SZ168*0.87*'[2]Key Inputs'!$C$75)+('[2]OR-Com-Existing Cust'!SX42*0.87*'[2]Key Inputs'!$C$78)+('[2]OR-Com-Cust Growth'!SZ40*0.87*'[2]Key Inputs'!$C$78)</f>
        <v>3807243.6243189848</v>
      </c>
      <c r="X8" s="63">
        <f>(('[2]OR-Res-Existing Cust'!SO106+'[2]OR-Res-Cust Growth'!SQ104)*'[2]Key Inputs'!$C$73)+(('[2]OR-Com-Existing Cust'!SO106+'[2]OR-Com-Cust Growth'!SQ104)*'[2]Key Inputs'!$C$77)</f>
        <v>0</v>
      </c>
      <c r="Y8" s="63">
        <f>(('[2]OR-Res-Existing Cust'!SP106+'[2]OR-Res-Cust Growth'!SR104)*'[2]Key Inputs'!$C$73)+(('[2]OR-Com-Existing Cust'!SP106+'[2]OR-Com-Cust Growth'!SR104)*'[2]Key Inputs'!$C$77)</f>
        <v>4694125.1109457063</v>
      </c>
      <c r="Z8" s="63">
        <f>(('[2]OR-Res-Existing Cust'!SQ106+'[2]OR-Res-Cust Growth'!SS104)*'[2]Key Inputs'!$C$73)+(('[2]OR-Com-Existing Cust'!SQ106+'[2]OR-Com-Cust Growth'!SS104)*'[2]Key Inputs'!$C$77)</f>
        <v>1739875.3854754192</v>
      </c>
      <c r="AA8" s="63">
        <f>(('[2]OR-Res-Existing Cust'!SR106+'[2]OR-Res-Cust Growth'!ST104)*'[2]Key Inputs'!$C$73)+(('[2]OR-Com-Existing Cust'!SR106+'[2]OR-Com-Cust Growth'!ST104)*'[2]Key Inputs'!$C$77)</f>
        <v>12143743.399948675</v>
      </c>
      <c r="AB8" s="63">
        <f>(('[2]OR-Res-Existing Cust'!SS106+'[2]OR-Res-Cust Growth'!SU104)*'[2]Key Inputs'!$C$73)+(('[2]OR-Com-Existing Cust'!SS106+'[2]OR-Com-Cust Growth'!SU104)*'[2]Key Inputs'!$C$77)</f>
        <v>3643123.0199846029</v>
      </c>
      <c r="AC8" s="63">
        <f>(('[2]OR-Res-Existing Cust'!ST106+'[2]OR-Res-Cust Growth'!SV104)*'[2]Key Inputs'!$C$73)+(('[2]OR-Com-Existing Cust'!ST106+'[2]OR-Com-Cust Growth'!SV104)*'[2]Key Inputs'!$C$77)</f>
        <v>0</v>
      </c>
      <c r="AD8" s="63">
        <f>(('[2]OR-Res-Existing Cust'!SU106+'[2]OR-Res-Cust Growth'!SW104)*'[2]Key Inputs'!$C$73)+(('[2]OR-Com-Existing Cust'!SU106+'[2]OR-Com-Cust Growth'!SW104)*'[2]Key Inputs'!$C$77)</f>
        <v>0</v>
      </c>
      <c r="AE8" s="63">
        <f>(('[2]OR-Res-Existing Cust'!SV106+'[2]OR-Res-Cust Growth'!SX104)*'[2]Key Inputs'!$C$73)+(('[2]OR-Com-Existing Cust'!SV106+'[2]OR-Com-Cust Growth'!SX104)*'[2]Key Inputs'!$C$77)</f>
        <v>3479750.7709508385</v>
      </c>
      <c r="AF8" s="63">
        <f>(('[2]OR-Res-Existing Cust'!SW106+'[2]OR-Res-Cust Growth'!SY104)*'[2]Key Inputs'!$C$73)+(('[2]OR-Com-Existing Cust'!SW106+'[2]OR-Com-Cust Growth'!SY104)*'[2]Key Inputs'!$C$77)</f>
        <v>3479750.7709508385</v>
      </c>
      <c r="AG8" s="63">
        <f>(('[2]OR-Res-Existing Cust'!SX106+'[2]OR-Res-Cust Growth'!SZ104)*'[2]Key Inputs'!$C$73)+(('[2]OR-Com-Existing Cust'!SX106+'[2]OR-Com-Cust Growth'!SZ104)*'[2]Key Inputs'!$C$77)</f>
        <v>3035935.8499871688</v>
      </c>
      <c r="AI8" s="152">
        <f>'[6]OR-IndComSales-Annual'!TF10*2.33</f>
        <v>0</v>
      </c>
      <c r="AJ8" s="152">
        <f>'[6]OR-IndComSales-Annual'!TG10*2.33</f>
        <v>0</v>
      </c>
      <c r="AK8" s="152">
        <f>'[6]OR-IndComSales-Annual'!TH10*2.33</f>
        <v>3811202.133100261</v>
      </c>
      <c r="AL8" s="152">
        <f>'[6]OR-IndComSales-Annual'!TI10*2.33</f>
        <v>0</v>
      </c>
      <c r="AM8" s="152">
        <f>'[6]OR-IndComSales-Annual'!TJ10*2.33</f>
        <v>0</v>
      </c>
      <c r="AN8" s="152">
        <f>'[6]OR-IndComSales-Annual'!TK10*2.33</f>
        <v>0</v>
      </c>
      <c r="AO8" s="152">
        <f>'[6]OR-IndComSales-Annual'!TL10*2.33</f>
        <v>0</v>
      </c>
      <c r="AP8" s="152">
        <f>'[6]OR-IndComSales-Annual'!TM10*2.33</f>
        <v>0</v>
      </c>
      <c r="AQ8" s="152">
        <f>'[6]OR-IndComSales-Annual'!TN10*2.33</f>
        <v>0</v>
      </c>
      <c r="AR8" s="152">
        <f>'[6]OR-IndComSales-Annual'!TO10*2.33</f>
        <v>0</v>
      </c>
      <c r="AT8">
        <v>0</v>
      </c>
      <c r="AU8" s="152">
        <f>'[6]OR-Transport-Annual'!TE10*1.79</f>
        <v>2268539.1208900153</v>
      </c>
      <c r="AV8" s="152">
        <f>'[6]OR-Transport-Annual'!TF10*1.79</f>
        <v>4537078.2417800305</v>
      </c>
      <c r="AW8" s="152">
        <f>'[6]OR-Transport-Annual'!TG10*1.79</f>
        <v>2268539.1208900153</v>
      </c>
      <c r="AX8" s="152">
        <f>'[6]OR-Transport-Annual'!TH10*1.79</f>
        <v>2268539.1208900153</v>
      </c>
      <c r="AY8" s="152">
        <f>'[6]OR-Transport-Annual'!TI10*1.79</f>
        <v>0</v>
      </c>
      <c r="AZ8" s="152">
        <f>'[6]OR-Transport-Annual'!TJ10*1.79</f>
        <v>0</v>
      </c>
      <c r="BA8" s="152">
        <f>'[6]OR-Transport-Annual'!TK10*1.79</f>
        <v>2268539.1208900153</v>
      </c>
      <c r="BB8" s="152">
        <f>'[6]OR-Transport-Annual'!TL10*1.79</f>
        <v>2268539.1208900153</v>
      </c>
      <c r="BC8" s="152">
        <f>'[6]OR-Transport-Annual'!TM10*1.79</f>
        <v>1134269.5604451145</v>
      </c>
      <c r="BE8" s="133">
        <f t="shared" si="1"/>
        <v>1516084.5235952032</v>
      </c>
      <c r="BF8" s="133">
        <f t="shared" si="0"/>
        <v>46496137.614516497</v>
      </c>
      <c r="BG8" s="133">
        <f t="shared" si="0"/>
        <v>43906086.819630027</v>
      </c>
      <c r="BH8" s="133">
        <f t="shared" si="0"/>
        <v>31157341.541709833</v>
      </c>
      <c r="BI8" s="133">
        <f t="shared" si="0"/>
        <v>39791497.259014189</v>
      </c>
      <c r="BJ8" s="133">
        <f t="shared" si="0"/>
        <v>0</v>
      </c>
      <c r="BK8" s="133">
        <f t="shared" si="0"/>
        <v>0</v>
      </c>
      <c r="BL8" s="133">
        <f t="shared" si="0"/>
        <v>43758865.824794032</v>
      </c>
      <c r="BM8" s="133">
        <f t="shared" si="0"/>
        <v>43758865.824794032</v>
      </c>
      <c r="BN8" s="133">
        <f t="shared" si="0"/>
        <v>9493533.5583464708</v>
      </c>
      <c r="BP8" s="153">
        <f>BE8/(([4]Annual!FZ8+[4]Annual!EW8)/10)</f>
        <v>1.3951281089479697E-2</v>
      </c>
      <c r="BQ8" s="153">
        <f>BF8/(([4]Annual!GA8+[4]Annual!EX8)/10)</f>
        <v>0.445496198880107</v>
      </c>
      <c r="BR8" s="153">
        <f>BG8/(([4]Annual!GB8+[4]Annual!EY8)/10)</f>
        <v>0.42338264818402865</v>
      </c>
      <c r="BS8" s="153">
        <f>BH8/(([4]Annual!GC8+[4]Annual!EZ8)/10)</f>
        <v>0.3046340537032351</v>
      </c>
      <c r="BT8" s="153">
        <f>BI8/(([4]Annual!GD8+[4]Annual!FA8)/10)</f>
        <v>0.40610897810910096</v>
      </c>
      <c r="BU8" s="153">
        <f>BJ8/(([4]Annual!GE8+[4]Annual!FB8)/10)</f>
        <v>0</v>
      </c>
      <c r="BV8" s="153">
        <f>BK8/(([4]Annual!GF8+[4]Annual!FC8)/10)</f>
        <v>0</v>
      </c>
      <c r="BW8" s="153">
        <f>BL8/(([4]Annual!GG8+[4]Annual!FD8)/10)</f>
        <v>0.41338559520979679</v>
      </c>
      <c r="BX8" s="153">
        <f>BM8/(([4]Annual!GH8+[4]Annual!FE8)/10)</f>
        <v>0.41232617383161146</v>
      </c>
      <c r="BY8" s="153">
        <f>BN8/(([4]Annual!GI8+[4]Annual!FF8)/10)</f>
        <v>0.13146969009689619</v>
      </c>
    </row>
    <row r="9" spans="1:77" x14ac:dyDescent="0.25">
      <c r="A9">
        <v>2029</v>
      </c>
      <c r="B9" s="133">
        <f>('[2]OR Res Incremental EE'!ST9+'[2]OR Com Incremental EE'!SI9)*'[5]Energy Efficiency'!$BR$9</f>
        <v>1999302.5072745846</v>
      </c>
      <c r="C9" s="133">
        <f>('[2]OR Res Incremental EE'!SU9+'[2]OR Com Incremental EE'!SJ9)*'[5]Energy Efficiency'!$BR$9</f>
        <v>1999302.5072745846</v>
      </c>
      <c r="D9" s="133">
        <f>('[2]OR Res Incremental EE'!SV9+'[2]OR Com Incremental EE'!SK9)*'[5]Energy Efficiency'!$BR$9</f>
        <v>17605214.912215788</v>
      </c>
      <c r="E9" s="133">
        <f>('[2]OR Res Incremental EE'!SW9+'[2]OR Com Incremental EE'!SL9)*'[5]Energy Efficiency'!$BR$9</f>
        <v>1999302.5072745846</v>
      </c>
      <c r="F9" s="133">
        <f>('[2]OR Res Incremental EE'!SX9+'[2]OR Com Incremental EE'!SM9)*'[5]Energy Efficiency'!$BR$9</f>
        <v>511224.99673021038</v>
      </c>
      <c r="G9" s="133">
        <v>0</v>
      </c>
      <c r="H9" s="133">
        <v>0</v>
      </c>
      <c r="I9" s="133">
        <f>('[2]OR Res Incremental EE'!TA9+'[2]OR Com Incremental EE'!SP9)*'[5]Energy Efficiency'!$BR$9</f>
        <v>1999302.5072745846</v>
      </c>
      <c r="J9" s="133">
        <f>('[2]OR Res Incremental EE'!TB9+'[2]OR Com Incremental EE'!SQ9)*'[5]Energy Efficiency'!$BR$9</f>
        <v>1999302.5072745846</v>
      </c>
      <c r="K9" s="133">
        <f>('[2]OR Res Incremental EE'!TC9+'[2]OR Com Incremental EE'!SR9)*'[5]Energy Efficiency'!$BR$9</f>
        <v>1999302.5072745846</v>
      </c>
      <c r="L9" s="133"/>
      <c r="M9" s="133">
        <f>('[2]OR-Res-Existing Cust'!SO43*0.87*'[2]Key Inputs'!$C$74)+('[2]OR-Res-Existing Cust'!SO171*0.67*'[2]Key Inputs'!$C$75)+('[2]OR-Res-Cust Growth'!SQ41*0.87*'[2]Key Inputs'!$C$74)+('[2]OR-Res-Cust Growth'!SQ169*0.87*'[2]Key Inputs'!$C$75)+('[2]OR-Com-Existing Cust'!SO43*0.87*'[2]Key Inputs'!$C$78)+('[2]OR-Com-Cust Growth'!SQ41*0.87*'[2]Key Inputs'!$C$78)</f>
        <v>0</v>
      </c>
      <c r="N9" s="133">
        <f>('[2]OR-Res-Existing Cust'!SP43*0.87*'[2]Key Inputs'!$C$74)+('[2]OR-Res-Existing Cust'!SP171*0.67*'[2]Key Inputs'!$C$75)+('[2]OR-Res-Cust Growth'!SR41*0.87*'[2]Key Inputs'!$C$74)+('[2]OR-Res-Cust Growth'!SR169*0.87*'[2]Key Inputs'!$C$75)+('[2]OR-Com-Existing Cust'!SP43*0.87*'[2]Key Inputs'!$C$78)+('[2]OR-Com-Cust Growth'!SR41*0.87*'[2]Key Inputs'!$C$78)</f>
        <v>46264124.343936987</v>
      </c>
      <c r="O9" s="133">
        <f>('[2]OR-Res-Existing Cust'!SQ43*0.87*'[2]Key Inputs'!$C$74)+('[2]OR-Res-Existing Cust'!SQ171*0.67*'[2]Key Inputs'!$C$75)+('[2]OR-Res-Cust Growth'!SS41*0.87*'[2]Key Inputs'!$C$74)+('[2]OR-Res-Cust Growth'!SS169*0.87*'[2]Key Inputs'!$C$75)+('[2]OR-Com-Existing Cust'!SQ43*0.87*'[2]Key Inputs'!$C$78)+('[2]OR-Com-Cust Growth'!SS41*0.87*'[2]Key Inputs'!$C$78)</f>
        <v>24880223.820528302</v>
      </c>
      <c r="P9" s="133">
        <f>('[2]OR-Res-Existing Cust'!SR43*0.87*'[2]Key Inputs'!$C$74)+('[2]OR-Res-Existing Cust'!SR171*0.67*'[2]Key Inputs'!$C$75)+('[2]OR-Res-Cust Growth'!ST41*0.87*'[2]Key Inputs'!$C$74)+('[2]OR-Res-Cust Growth'!ST169*0.87*'[2]Key Inputs'!$C$75)+('[2]OR-Com-Existing Cust'!SR43*0.87*'[2]Key Inputs'!$C$78)+('[2]OR-Com-Cust Growth'!ST41*0.87*'[2]Key Inputs'!$C$78)</f>
        <v>15113026.648182705</v>
      </c>
      <c r="Q9" s="133">
        <f>('[2]OR-Res-Existing Cust'!SS43*0.87*'[2]Key Inputs'!$C$74)+('[2]OR-Res-Existing Cust'!SS171*0.67*'[2]Key Inputs'!$C$75)+('[2]OR-Res-Cust Growth'!SU41*0.87*'[2]Key Inputs'!$C$74)+('[2]OR-Res-Cust Growth'!SU169*0.87*'[2]Key Inputs'!$C$75)+('[2]OR-Com-Existing Cust'!SS43*0.87*'[2]Key Inputs'!$C$78)+('[2]OR-Com-Cust Growth'!SU41*0.87*'[2]Key Inputs'!$C$78)</f>
        <v>41730216.349482179</v>
      </c>
      <c r="R9" s="133">
        <f>('[2]OR-Res-Existing Cust'!ST43*0.87*'[2]Key Inputs'!$C$74)+('[2]OR-Res-Existing Cust'!ST171*0.67*'[2]Key Inputs'!$C$75)+('[2]OR-Res-Cust Growth'!SV41*0.87*'[2]Key Inputs'!$C$74)+('[2]OR-Res-Cust Growth'!SV169*0.87*'[2]Key Inputs'!$C$75)+('[2]OR-Com-Existing Cust'!ST43*0.87*'[2]Key Inputs'!$C$78)+('[2]OR-Com-Cust Growth'!SV41*0.87*'[2]Key Inputs'!$C$78)</f>
        <v>0</v>
      </c>
      <c r="S9" s="133">
        <f>('[2]OR-Res-Existing Cust'!SU43*0.87*'[2]Key Inputs'!$C$74)+('[2]OR-Res-Existing Cust'!SU171*0.67*'[2]Key Inputs'!$C$75)+('[2]OR-Res-Cust Growth'!SW41*0.87*'[2]Key Inputs'!$C$74)+('[2]OR-Res-Cust Growth'!SW169*0.87*'[2]Key Inputs'!$C$75)+('[2]OR-Com-Existing Cust'!SU43*0.87*'[2]Key Inputs'!$C$78)+('[2]OR-Com-Cust Growth'!SW41*0.87*'[2]Key Inputs'!$C$78)</f>
        <v>0</v>
      </c>
      <c r="T9" s="133">
        <f>('[2]OR-Res-Existing Cust'!SV43*0.87*'[2]Key Inputs'!$C$74)+('[2]OR-Res-Existing Cust'!SV171*0.67*'[2]Key Inputs'!$C$75)+('[2]OR-Res-Cust Growth'!SX41*0.87*'[2]Key Inputs'!$C$74)+('[2]OR-Res-Cust Growth'!SX169*0.87*'[2]Key Inputs'!$C$75)+('[2]OR-Com-Existing Cust'!SV43*0.87*'[2]Key Inputs'!$C$78)+('[2]OR-Com-Cust Growth'!SX41*0.87*'[2]Key Inputs'!$C$78)</f>
        <v>45508473.011527851</v>
      </c>
      <c r="U9" s="133">
        <f>('[2]OR-Res-Existing Cust'!SW43*0.87*'[2]Key Inputs'!$C$74)+('[2]OR-Res-Existing Cust'!SW171*0.67*'[2]Key Inputs'!$C$75)+('[2]OR-Res-Cust Growth'!SY41*0.87*'[2]Key Inputs'!$C$74)+('[2]OR-Res-Cust Growth'!SY169*0.87*'[2]Key Inputs'!$C$75)+('[2]OR-Com-Existing Cust'!SW43*0.87*'[2]Key Inputs'!$C$78)+('[2]OR-Com-Cust Growth'!SY41*0.87*'[2]Key Inputs'!$C$78)</f>
        <v>45508473.011527851</v>
      </c>
      <c r="V9" s="133">
        <f>('[2]OR-Res-Existing Cust'!SX43*0.87*'[2]Key Inputs'!$C$74)+('[2]OR-Res-Existing Cust'!SX171*0.67*'[2]Key Inputs'!$C$75)+('[2]OR-Res-Cust Growth'!SZ41*0.87*'[2]Key Inputs'!$C$74)+('[2]OR-Res-Cust Growth'!SZ169*0.87*'[2]Key Inputs'!$C$75)+('[2]OR-Com-Existing Cust'!SX43*0.87*'[2]Key Inputs'!$C$78)+('[2]OR-Com-Cust Growth'!SZ41*0.87*'[2]Key Inputs'!$C$78)</f>
        <v>4533907.9944548113</v>
      </c>
      <c r="X9" s="63">
        <f>(('[2]OR-Res-Existing Cust'!SO107+'[2]OR-Res-Cust Growth'!SQ105)*'[2]Key Inputs'!$C$73)+(('[2]OR-Com-Existing Cust'!SO107+'[2]OR-Com-Cust Growth'!SQ105)*'[2]Key Inputs'!$C$77)</f>
        <v>0</v>
      </c>
      <c r="Y9" s="63">
        <f>(('[2]OR-Res-Existing Cust'!SP107+'[2]OR-Res-Cust Growth'!SR105)*'[2]Key Inputs'!$C$73)+(('[2]OR-Com-Existing Cust'!SP107+'[2]OR-Com-Cust Growth'!SR105)*'[2]Key Inputs'!$C$77)</f>
        <v>4928614.9716720395</v>
      </c>
      <c r="Z9" s="63">
        <f>(('[2]OR-Res-Existing Cust'!SQ107+'[2]OR-Res-Cust Growth'!SS105)*'[2]Key Inputs'!$C$73)+(('[2]OR-Com-Existing Cust'!SQ107+'[2]OR-Com-Cust Growth'!SS105)*'[2]Key Inputs'!$C$77)</f>
        <v>1935876.6180901597</v>
      </c>
      <c r="AA9" s="63">
        <f>(('[2]OR-Res-Existing Cust'!SR107+'[2]OR-Res-Cust Growth'!ST105)*'[2]Key Inputs'!$C$73)+(('[2]OR-Com-Existing Cust'!SR107+'[2]OR-Com-Cust Growth'!ST105)*'[2]Key Inputs'!$C$77)</f>
        <v>12119820.08891446</v>
      </c>
      <c r="AB9" s="63">
        <f>(('[2]OR-Res-Existing Cust'!SS107+'[2]OR-Res-Cust Growth'!SU105)*'[2]Key Inputs'!$C$73)+(('[2]OR-Com-Existing Cust'!SS107+'[2]OR-Com-Cust Growth'!SU105)*'[2]Key Inputs'!$C$77)</f>
        <v>3635946.0266743377</v>
      </c>
      <c r="AC9" s="63">
        <f>(('[2]OR-Res-Existing Cust'!ST107+'[2]OR-Res-Cust Growth'!SV105)*'[2]Key Inputs'!$C$73)+(('[2]OR-Com-Existing Cust'!ST107+'[2]OR-Com-Cust Growth'!SV105)*'[2]Key Inputs'!$C$77)</f>
        <v>0</v>
      </c>
      <c r="AD9" s="63">
        <f>(('[2]OR-Res-Existing Cust'!SU107+'[2]OR-Res-Cust Growth'!SW105)*'[2]Key Inputs'!$C$73)+(('[2]OR-Com-Existing Cust'!SU107+'[2]OR-Com-Cust Growth'!SW105)*'[2]Key Inputs'!$C$77)</f>
        <v>0</v>
      </c>
      <c r="AE9" s="63">
        <f>(('[2]OR-Res-Existing Cust'!SV107+'[2]OR-Res-Cust Growth'!SX105)*'[2]Key Inputs'!$C$73)+(('[2]OR-Com-Existing Cust'!SV107+'[2]OR-Com-Cust Growth'!SX105)*'[2]Key Inputs'!$C$77)</f>
        <v>4322623.9672263181</v>
      </c>
      <c r="AF9" s="63">
        <f>(('[2]OR-Res-Existing Cust'!SW107+'[2]OR-Res-Cust Growth'!SY105)*'[2]Key Inputs'!$C$73)+(('[2]OR-Com-Existing Cust'!SW107+'[2]OR-Com-Cust Growth'!SY105)*'[2]Key Inputs'!$C$77)</f>
        <v>4322623.9672263181</v>
      </c>
      <c r="AG9" s="63">
        <f>(('[2]OR-Res-Existing Cust'!SX107+'[2]OR-Res-Cust Growth'!SZ105)*'[2]Key Inputs'!$C$73)+(('[2]OR-Com-Existing Cust'!SX107+'[2]OR-Com-Cust Growth'!SZ105)*'[2]Key Inputs'!$C$77)</f>
        <v>3635946.0266743377</v>
      </c>
      <c r="AI9" s="152">
        <f>'[6]OR-IndComSales-Annual'!TF11*2.33</f>
        <v>0</v>
      </c>
      <c r="AJ9" s="152">
        <f>'[6]OR-IndComSales-Annual'!TG11*2.33</f>
        <v>0</v>
      </c>
      <c r="AK9" s="152">
        <f>'[6]OR-IndComSales-Annual'!TH11*2.33</f>
        <v>2761471.2872996586</v>
      </c>
      <c r="AL9" s="152">
        <f>'[6]OR-IndComSales-Annual'!TI11*2.33</f>
        <v>0</v>
      </c>
      <c r="AM9" s="152">
        <f>'[6]OR-IndComSales-Annual'!TJ11*2.33</f>
        <v>0</v>
      </c>
      <c r="AN9" s="152">
        <f>'[6]OR-IndComSales-Annual'!TK11*2.33</f>
        <v>0</v>
      </c>
      <c r="AO9" s="152">
        <f>'[6]OR-IndComSales-Annual'!TL11*2.33</f>
        <v>0</v>
      </c>
      <c r="AP9" s="152">
        <f>'[6]OR-IndComSales-Annual'!TM11*2.33</f>
        <v>0</v>
      </c>
      <c r="AQ9" s="152">
        <f>'[6]OR-IndComSales-Annual'!TN11*2.33</f>
        <v>0</v>
      </c>
      <c r="AR9" s="152">
        <f>'[6]OR-IndComSales-Annual'!TO11*2.33</f>
        <v>0</v>
      </c>
      <c r="AT9">
        <v>0</v>
      </c>
      <c r="AU9" s="152">
        <f>'[6]OR-Transport-Annual'!TE11*1.79</f>
        <v>2324747.6340499874</v>
      </c>
      <c r="AV9" s="152">
        <f>'[6]OR-Transport-Annual'!TF11*1.79</f>
        <v>4649495.2680999748</v>
      </c>
      <c r="AW9" s="152">
        <f>'[6]OR-Transport-Annual'!TG11*1.79</f>
        <v>2324747.6340499874</v>
      </c>
      <c r="AX9" s="152">
        <f>'[6]OR-Transport-Annual'!TH11*1.79</f>
        <v>2324747.6340499874</v>
      </c>
      <c r="AY9" s="152">
        <f>'[6]OR-Transport-Annual'!TI11*1.79</f>
        <v>0</v>
      </c>
      <c r="AZ9" s="152">
        <f>'[6]OR-Transport-Annual'!TJ11*1.79</f>
        <v>0</v>
      </c>
      <c r="BA9" s="152">
        <f>'[6]OR-Transport-Annual'!TK11*1.79</f>
        <v>2324747.6340499874</v>
      </c>
      <c r="BB9" s="152">
        <f>'[6]OR-Transport-Annual'!TL11*1.79</f>
        <v>2324747.6340499874</v>
      </c>
      <c r="BC9" s="152">
        <f>'[6]OR-Transport-Annual'!TM11*1.79</f>
        <v>1162373.8170249402</v>
      </c>
      <c r="BE9" s="133">
        <f t="shared" si="1"/>
        <v>1999302.5072745846</v>
      </c>
      <c r="BF9" s="133">
        <f t="shared" si="0"/>
        <v>55516789.456933595</v>
      </c>
      <c r="BG9" s="133">
        <f t="shared" si="0"/>
        <v>51832281.906233877</v>
      </c>
      <c r="BH9" s="133">
        <f t="shared" si="0"/>
        <v>31556896.878421739</v>
      </c>
      <c r="BI9" s="133">
        <f t="shared" si="0"/>
        <v>48202135.006936714</v>
      </c>
      <c r="BJ9" s="133">
        <f t="shared" si="0"/>
        <v>0</v>
      </c>
      <c r="BK9" s="133">
        <f t="shared" si="0"/>
        <v>0</v>
      </c>
      <c r="BL9" s="133">
        <f t="shared" si="0"/>
        <v>54155147.120078743</v>
      </c>
      <c r="BM9" s="133">
        <f t="shared" si="0"/>
        <v>54155147.120078743</v>
      </c>
      <c r="BN9" s="133">
        <f t="shared" si="0"/>
        <v>11331530.345428674</v>
      </c>
      <c r="BP9" s="153">
        <f>BE9/(([4]Annual!FZ9+[4]Annual!EW9)/10)</f>
        <v>1.8524385477075921E-2</v>
      </c>
      <c r="BQ9" s="153">
        <f>BF9/(([4]Annual!GA9+[4]Annual!EX9)/10)</f>
        <v>0.54095491030578968</v>
      </c>
      <c r="BR9" s="153">
        <f>BG9/(([4]Annual!GB9+[4]Annual!EY9)/10)</f>
        <v>0.50759310075226438</v>
      </c>
      <c r="BS9" s="153">
        <f>BH9/(([4]Annual!GC9+[4]Annual!EZ9)/10)</f>
        <v>0.31604687102078916</v>
      </c>
      <c r="BT9" s="153">
        <f>BI9/(([4]Annual!GD9+[4]Annual!FA9)/10)</f>
        <v>0.50687638626579667</v>
      </c>
      <c r="BU9" s="153">
        <f>BJ9/(([4]Annual!GE9+[4]Annual!FB9)/10)</f>
        <v>0</v>
      </c>
      <c r="BV9" s="153">
        <f>BK9/(([4]Annual!GF9+[4]Annual!FC9)/10)</f>
        <v>0</v>
      </c>
      <c r="BW9" s="153">
        <f>BL9/(([4]Annual!GG9+[4]Annual!FD9)/10)</f>
        <v>0.51903196112044259</v>
      </c>
      <c r="BX9" s="153">
        <f>BM9/(([4]Annual!GH9+[4]Annual!FE9)/10)</f>
        <v>0.5173656764663338</v>
      </c>
      <c r="BY9" s="153">
        <f>BN9/(([4]Annual!GI9+[4]Annual!FF9)/10)</f>
        <v>0.15887862127233293</v>
      </c>
    </row>
    <row r="10" spans="1:77" x14ac:dyDescent="0.25">
      <c r="A10">
        <v>2030</v>
      </c>
      <c r="B10" s="133">
        <f>('[2]OR Res Incremental EE'!ST10+'[2]OR Com Incremental EE'!SI10)*'[5]Energy Efficiency'!$BR$9</f>
        <v>2932468.988690766</v>
      </c>
      <c r="C10" s="133">
        <f>('[2]OR Res Incremental EE'!SU10+'[2]OR Com Incremental EE'!SJ10)*'[5]Energy Efficiency'!$BR$9</f>
        <v>2932468.988690766</v>
      </c>
      <c r="D10" s="133">
        <f>('[2]OR Res Incremental EE'!SV10+'[2]OR Com Incremental EE'!SK10)*'[5]Energy Efficiency'!$BR$9</f>
        <v>20332457.523562718</v>
      </c>
      <c r="E10" s="133">
        <f>('[2]OR Res Incremental EE'!SW10+'[2]OR Com Incremental EE'!SL10)*'[5]Energy Efficiency'!$BR$9</f>
        <v>2932468.988690766</v>
      </c>
      <c r="F10" s="133">
        <f>('[2]OR Res Incremental EE'!SX10+'[2]OR Com Incremental EE'!SM10)*'[5]Energy Efficiency'!$BR$9</f>
        <v>721056.04451394908</v>
      </c>
      <c r="G10" s="133">
        <v>0</v>
      </c>
      <c r="H10" s="133">
        <v>0</v>
      </c>
      <c r="I10" s="133">
        <f>('[2]OR Res Incremental EE'!TA10+'[2]OR Com Incremental EE'!SP10)*'[5]Energy Efficiency'!$BR$9</f>
        <v>2932468.988690766</v>
      </c>
      <c r="J10" s="133">
        <f>('[2]OR Res Incremental EE'!TB10+'[2]OR Com Incremental EE'!SQ10)*'[5]Energy Efficiency'!$BR$9</f>
        <v>2932468.988690766</v>
      </c>
      <c r="K10" s="133">
        <f>('[2]OR Res Incremental EE'!TC10+'[2]OR Com Incremental EE'!SR10)*'[5]Energy Efficiency'!$BR$9</f>
        <v>2932468.988690766</v>
      </c>
      <c r="L10" s="133"/>
      <c r="M10" s="133">
        <f>('[2]OR-Res-Existing Cust'!SO44*0.87*'[2]Key Inputs'!$C$74)+('[2]OR-Res-Existing Cust'!SO172*0.67*'[2]Key Inputs'!$C$75)+('[2]OR-Res-Cust Growth'!SQ42*0.87*'[2]Key Inputs'!$C$74)+('[2]OR-Res-Cust Growth'!SQ170*0.87*'[2]Key Inputs'!$C$75)+('[2]OR-Com-Existing Cust'!SO44*0.87*'[2]Key Inputs'!$C$78)+('[2]OR-Com-Cust Growth'!SQ42*0.87*'[2]Key Inputs'!$C$78)</f>
        <v>0</v>
      </c>
      <c r="N10" s="133">
        <f>('[2]OR-Res-Existing Cust'!SP44*0.87*'[2]Key Inputs'!$C$74)+('[2]OR-Res-Existing Cust'!SP172*0.67*'[2]Key Inputs'!$C$75)+('[2]OR-Res-Cust Growth'!SR42*0.87*'[2]Key Inputs'!$C$74)+('[2]OR-Res-Cust Growth'!SR170*0.87*'[2]Key Inputs'!$C$75)+('[2]OR-Com-Existing Cust'!SP44*0.87*'[2]Key Inputs'!$C$78)+('[2]OR-Com-Cust Growth'!SR42*0.87*'[2]Key Inputs'!$C$78)</f>
        <v>54456198.47040429</v>
      </c>
      <c r="O10" s="133">
        <f>('[2]OR-Res-Existing Cust'!SQ44*0.87*'[2]Key Inputs'!$C$74)+('[2]OR-Res-Existing Cust'!SQ172*0.67*'[2]Key Inputs'!$C$75)+('[2]OR-Res-Cust Growth'!SS42*0.87*'[2]Key Inputs'!$C$74)+('[2]OR-Res-Cust Growth'!SS170*0.87*'[2]Key Inputs'!$C$75)+('[2]OR-Com-Existing Cust'!SQ44*0.87*'[2]Key Inputs'!$C$78)+('[2]OR-Com-Cust Growth'!SS42*0.87*'[2]Key Inputs'!$C$78)</f>
        <v>31479882.28431768</v>
      </c>
      <c r="P10" s="133">
        <f>('[2]OR-Res-Existing Cust'!SR44*0.87*'[2]Key Inputs'!$C$74)+('[2]OR-Res-Existing Cust'!SR172*0.67*'[2]Key Inputs'!$C$75)+('[2]OR-Res-Cust Growth'!ST42*0.87*'[2]Key Inputs'!$C$74)+('[2]OR-Res-Cust Growth'!ST170*0.87*'[2]Key Inputs'!$C$75)+('[2]OR-Com-Existing Cust'!SR44*0.87*'[2]Key Inputs'!$C$78)+('[2]OR-Com-Cust Growth'!ST42*0.87*'[2]Key Inputs'!$C$78)</f>
        <v>14922959.974061154</v>
      </c>
      <c r="Q10" s="133">
        <f>('[2]OR-Res-Existing Cust'!SS44*0.87*'[2]Key Inputs'!$C$74)+('[2]OR-Res-Existing Cust'!SS172*0.67*'[2]Key Inputs'!$C$75)+('[2]OR-Res-Cust Growth'!SU42*0.87*'[2]Key Inputs'!$C$74)+('[2]OR-Res-Cust Growth'!SU170*0.87*'[2]Key Inputs'!$C$75)+('[2]OR-Com-Existing Cust'!SS44*0.87*'[2]Key Inputs'!$C$78)+('[2]OR-Com-Cust Growth'!SU42*0.87*'[2]Key Inputs'!$C$78)</f>
        <v>41649425.398488283</v>
      </c>
      <c r="R10" s="133">
        <f>('[2]OR-Res-Existing Cust'!ST44*0.87*'[2]Key Inputs'!$C$74)+('[2]OR-Res-Existing Cust'!ST172*0.67*'[2]Key Inputs'!$C$75)+('[2]OR-Res-Cust Growth'!SV42*0.87*'[2]Key Inputs'!$C$74)+('[2]OR-Res-Cust Growth'!SV170*0.87*'[2]Key Inputs'!$C$75)+('[2]OR-Com-Existing Cust'!ST44*0.87*'[2]Key Inputs'!$C$78)+('[2]OR-Com-Cust Growth'!SV42*0.87*'[2]Key Inputs'!$C$78)</f>
        <v>0</v>
      </c>
      <c r="S10" s="133">
        <f>('[2]OR-Res-Existing Cust'!SU44*0.87*'[2]Key Inputs'!$C$74)+('[2]OR-Res-Existing Cust'!SU172*0.67*'[2]Key Inputs'!$C$75)+('[2]OR-Res-Cust Growth'!SW42*0.87*'[2]Key Inputs'!$C$74)+('[2]OR-Res-Cust Growth'!SW170*0.87*'[2]Key Inputs'!$C$75)+('[2]OR-Com-Existing Cust'!SU44*0.87*'[2]Key Inputs'!$C$78)+('[2]OR-Com-Cust Growth'!SW42*0.87*'[2]Key Inputs'!$C$78)</f>
        <v>0</v>
      </c>
      <c r="T10" s="133">
        <f>('[2]OR-Res-Existing Cust'!SV44*0.87*'[2]Key Inputs'!$C$74)+('[2]OR-Res-Existing Cust'!SV172*0.67*'[2]Key Inputs'!$C$75)+('[2]OR-Res-Cust Growth'!SX42*0.87*'[2]Key Inputs'!$C$74)+('[2]OR-Res-Cust Growth'!SX170*0.87*'[2]Key Inputs'!$C$75)+('[2]OR-Com-Existing Cust'!SV44*0.87*'[2]Key Inputs'!$C$78)+('[2]OR-Com-Cust Growth'!SX42*0.87*'[2]Key Inputs'!$C$78)</f>
        <v>54456198.47040429</v>
      </c>
      <c r="U10" s="133">
        <f>('[2]OR-Res-Existing Cust'!SW44*0.87*'[2]Key Inputs'!$C$74)+('[2]OR-Res-Existing Cust'!SW172*0.67*'[2]Key Inputs'!$C$75)+('[2]OR-Res-Cust Growth'!SY42*0.87*'[2]Key Inputs'!$C$74)+('[2]OR-Res-Cust Growth'!SY170*0.87*'[2]Key Inputs'!$C$75)+('[2]OR-Com-Existing Cust'!SW44*0.87*'[2]Key Inputs'!$C$78)+('[2]OR-Com-Cust Growth'!SY42*0.87*'[2]Key Inputs'!$C$78)</f>
        <v>54456198.47040429</v>
      </c>
      <c r="V10" s="133">
        <f>('[2]OR-Res-Existing Cust'!SX44*0.87*'[2]Key Inputs'!$C$74)+('[2]OR-Res-Existing Cust'!SX172*0.67*'[2]Key Inputs'!$C$75)+('[2]OR-Res-Cust Growth'!SZ42*0.87*'[2]Key Inputs'!$C$74)+('[2]OR-Res-Cust Growth'!SZ170*0.87*'[2]Key Inputs'!$C$75)+('[2]OR-Com-Existing Cust'!SX44*0.87*'[2]Key Inputs'!$C$78)+('[2]OR-Com-Cust Growth'!SZ42*0.87*'[2]Key Inputs'!$C$78)</f>
        <v>4476887.9922183463</v>
      </c>
      <c r="X10" s="63">
        <f>(('[2]OR-Res-Existing Cust'!SO108+'[2]OR-Res-Cust Growth'!SQ106)*'[2]Key Inputs'!$C$73)+(('[2]OR-Com-Existing Cust'!SO108+'[2]OR-Com-Cust Growth'!SQ106)*'[2]Key Inputs'!$C$77)</f>
        <v>0</v>
      </c>
      <c r="Y10" s="63">
        <f>(('[2]OR-Res-Existing Cust'!SP108+'[2]OR-Res-Cust Growth'!SR106)*'[2]Key Inputs'!$C$73)+(('[2]OR-Com-Existing Cust'!SP108+'[2]OR-Com-Cust Growth'!SR106)*'[2]Key Inputs'!$C$77)</f>
        <v>5163892.5409275191</v>
      </c>
      <c r="Z10" s="63">
        <f>(('[2]OR-Res-Existing Cust'!SQ108+'[2]OR-Res-Cust Growth'!SS106)*'[2]Key Inputs'!$C$73)+(('[2]OR-Com-Existing Cust'!SQ108+'[2]OR-Com-Cust Growth'!SS106)*'[2]Key Inputs'!$C$77)</f>
        <v>2130666.9809019621</v>
      </c>
      <c r="AA10" s="63">
        <f>(('[2]OR-Res-Existing Cust'!SR108+'[2]OR-Res-Cust Growth'!ST106)*'[2]Key Inputs'!$C$73)+(('[2]OR-Com-Existing Cust'!SR108+'[2]OR-Com-Cust Growth'!ST106)*'[2]Key Inputs'!$C$77)</f>
        <v>12095856.795681864</v>
      </c>
      <c r="AB10" s="63">
        <f>(('[2]OR-Res-Existing Cust'!SS108+'[2]OR-Res-Cust Growth'!SU106)*'[2]Key Inputs'!$C$73)+(('[2]OR-Com-Existing Cust'!SS108+'[2]OR-Com-Cust Growth'!SU106)*'[2]Key Inputs'!$C$77)</f>
        <v>3628757.0387045592</v>
      </c>
      <c r="AC10" s="63">
        <f>(('[2]OR-Res-Existing Cust'!ST108+'[2]OR-Res-Cust Growth'!SV106)*'[2]Key Inputs'!$C$73)+(('[2]OR-Com-Existing Cust'!ST108+'[2]OR-Com-Cust Growth'!SV106)*'[2]Key Inputs'!$C$77)</f>
        <v>0</v>
      </c>
      <c r="AD10" s="63">
        <f>(('[2]OR-Res-Existing Cust'!SU108+'[2]OR-Res-Cust Growth'!SW106)*'[2]Key Inputs'!$C$73)+(('[2]OR-Com-Existing Cust'!SU108+'[2]OR-Com-Cust Growth'!SW106)*'[2]Key Inputs'!$C$77)</f>
        <v>0</v>
      </c>
      <c r="AE10" s="63">
        <f>(('[2]OR-Res-Existing Cust'!SV108+'[2]OR-Res-Cust Growth'!SX106)*'[2]Key Inputs'!$C$73)+(('[2]OR-Com-Existing Cust'!SV108+'[2]OR-Com-Cust Growth'!SX106)*'[2]Key Inputs'!$C$77)</f>
        <v>5163892.5409275191</v>
      </c>
      <c r="AF10" s="63">
        <f>(('[2]OR-Res-Existing Cust'!SW108+'[2]OR-Res-Cust Growth'!SY106)*'[2]Key Inputs'!$C$73)+(('[2]OR-Com-Existing Cust'!SW108+'[2]OR-Com-Cust Growth'!SY106)*'[2]Key Inputs'!$C$77)</f>
        <v>5163892.5409275191</v>
      </c>
      <c r="AG10" s="63">
        <f>(('[2]OR-Res-Existing Cust'!SX108+'[2]OR-Res-Cust Growth'!SZ106)*'[2]Key Inputs'!$C$73)+(('[2]OR-Com-Existing Cust'!SX108+'[2]OR-Com-Cust Growth'!SZ106)*'[2]Key Inputs'!$C$77)</f>
        <v>3628757.0387045592</v>
      </c>
      <c r="AI10" s="152">
        <f>'[6]OR-IndComSales-Annual'!TF12*2.33</f>
        <v>0</v>
      </c>
      <c r="AJ10" s="152">
        <f>'[6]OR-IndComSales-Annual'!TG12*2.33</f>
        <v>0</v>
      </c>
      <c r="AK10" s="152">
        <f>'[6]OR-IndComSales-Annual'!TH12*2.33</f>
        <v>2396325.5703006168</v>
      </c>
      <c r="AL10" s="152">
        <f>'[6]OR-IndComSales-Annual'!TI12*2.33</f>
        <v>0</v>
      </c>
      <c r="AM10" s="152">
        <f>'[6]OR-IndComSales-Annual'!TJ12*2.33</f>
        <v>0</v>
      </c>
      <c r="AN10" s="152">
        <f>'[6]OR-IndComSales-Annual'!TK12*2.33</f>
        <v>0</v>
      </c>
      <c r="AO10" s="152">
        <f>'[6]OR-IndComSales-Annual'!TL12*2.33</f>
        <v>0</v>
      </c>
      <c r="AP10" s="152">
        <f>'[6]OR-IndComSales-Annual'!TM12*2.33</f>
        <v>0</v>
      </c>
      <c r="AQ10" s="152">
        <f>'[6]OR-IndComSales-Annual'!TN12*2.33</f>
        <v>0</v>
      </c>
      <c r="AR10" s="152">
        <f>'[6]OR-IndComSales-Annual'!TO12*2.33</f>
        <v>0</v>
      </c>
      <c r="AT10">
        <v>0</v>
      </c>
      <c r="AU10" s="152">
        <f>'[6]OR-Transport-Annual'!TE12*1.79</f>
        <v>2468714.9157600743</v>
      </c>
      <c r="AV10" s="152">
        <f>'[6]OR-Transport-Annual'!TF12*1.79</f>
        <v>4937429.8315201486</v>
      </c>
      <c r="AW10" s="152">
        <f>'[6]OR-Transport-Annual'!TG12*1.79</f>
        <v>2468714.9157600743</v>
      </c>
      <c r="AX10" s="152">
        <f>'[6]OR-Transport-Annual'!TH12*1.79</f>
        <v>2468714.9157600743</v>
      </c>
      <c r="AY10" s="152">
        <f>'[6]OR-Transport-Annual'!TI12*1.79</f>
        <v>0</v>
      </c>
      <c r="AZ10" s="152">
        <f>'[6]OR-Transport-Annual'!TJ12*1.79</f>
        <v>0</v>
      </c>
      <c r="BA10" s="152">
        <f>'[6]OR-Transport-Annual'!TK12*1.79</f>
        <v>2468714.9157600743</v>
      </c>
      <c r="BB10" s="152">
        <f>'[6]OR-Transport-Annual'!TL12*1.79</f>
        <v>2468714.9157600743</v>
      </c>
      <c r="BC10" s="152">
        <f>'[6]OR-Transport-Annual'!TM12*1.79</f>
        <v>1234357.4578799838</v>
      </c>
      <c r="BE10" s="133">
        <f t="shared" si="1"/>
        <v>2932468.988690766</v>
      </c>
      <c r="BF10" s="133">
        <f t="shared" si="0"/>
        <v>65021274.915782653</v>
      </c>
      <c r="BG10" s="133">
        <f t="shared" si="0"/>
        <v>61276762.19060313</v>
      </c>
      <c r="BH10" s="133">
        <f t="shared" si="0"/>
        <v>32420000.674193859</v>
      </c>
      <c r="BI10" s="133">
        <f t="shared" si="0"/>
        <v>48467953.397466868</v>
      </c>
      <c r="BJ10" s="133">
        <f t="shared" si="0"/>
        <v>0</v>
      </c>
      <c r="BK10" s="133">
        <f t="shared" si="0"/>
        <v>0</v>
      </c>
      <c r="BL10" s="133">
        <f t="shared" si="0"/>
        <v>65021274.915782653</v>
      </c>
      <c r="BM10" s="133">
        <f t="shared" si="0"/>
        <v>65021274.915782653</v>
      </c>
      <c r="BN10" s="133">
        <f t="shared" si="0"/>
        <v>12272471.477493655</v>
      </c>
      <c r="BP10" s="153">
        <f>BE10/(([4]Annual!FZ10+[4]Annual!EW10)/10)</f>
        <v>2.7177819010743835E-2</v>
      </c>
      <c r="BQ10" s="153">
        <f>BF10/(([4]Annual!GA10+[4]Annual!EX10)/10)</f>
        <v>0.64028501723541065</v>
      </c>
      <c r="BR10" s="153">
        <f>BG10/(([4]Annual!GB10+[4]Annual!EY10)/10)</f>
        <v>0.60554541655129568</v>
      </c>
      <c r="BS10" s="153">
        <f>BH10/(([4]Annual!GC10+[4]Annual!EZ10)/10)</f>
        <v>0.33026918195386379</v>
      </c>
      <c r="BT10" s="153">
        <f>BI10/(([4]Annual!GD10+[4]Annual!FA10)/10)</f>
        <v>0.52168711640680876</v>
      </c>
      <c r="BU10" s="153">
        <f>BJ10/(([4]Annual!GE10+[4]Annual!FB10)/10)</f>
        <v>0</v>
      </c>
      <c r="BV10" s="153">
        <f>BK10/(([4]Annual!GF10+[4]Annual!FC10)/10)</f>
        <v>0</v>
      </c>
      <c r="BW10" s="153">
        <f>BL10/(([4]Annual!GG10+[4]Annual!FD10)/10)</f>
        <v>0.62869546748699545</v>
      </c>
      <c r="BX10" s="153">
        <f>BM10/(([4]Annual!GH10+[4]Annual!FE10)/10)</f>
        <v>0.62624309786830412</v>
      </c>
      <c r="BY10" s="153">
        <f>BN10/(([4]Annual!GI10+[4]Annual!FF10)/10)</f>
        <v>0.1731632134416671</v>
      </c>
    </row>
    <row r="11" spans="1:77" x14ac:dyDescent="0.25">
      <c r="A11">
        <v>2031</v>
      </c>
      <c r="B11" s="133">
        <f>('[2]OR Res Incremental EE'!ST11+'[2]OR Com Incremental EE'!SI11)*'[5]Energy Efficiency'!$BR$9</f>
        <v>3476185.1244077338</v>
      </c>
      <c r="C11" s="133">
        <f>('[2]OR Res Incremental EE'!SU11+'[2]OR Com Incremental EE'!SJ11)*'[5]Energy Efficiency'!$BR$9</f>
        <v>3476185.1244077338</v>
      </c>
      <c r="D11" s="133">
        <f>('[2]OR Res Incremental EE'!SV11+'[2]OR Com Incremental EE'!SK11)*'[5]Energy Efficiency'!$BR$9</f>
        <v>22450750.605908081</v>
      </c>
      <c r="E11" s="133">
        <f>('[2]OR Res Incremental EE'!SW11+'[2]OR Com Incremental EE'!SL11)*'[5]Energy Efficiency'!$BR$9</f>
        <v>3476185.1244077338</v>
      </c>
      <c r="F11" s="133">
        <f>('[2]OR Res Incremental EE'!SX11+'[2]OR Com Incremental EE'!SM11)*'[5]Energy Efficiency'!$BR$9</f>
        <v>753372.45213757292</v>
      </c>
      <c r="G11" s="133">
        <v>0</v>
      </c>
      <c r="H11" s="133">
        <v>0</v>
      </c>
      <c r="I11" s="133">
        <f>('[2]OR Res Incremental EE'!TA11+'[2]OR Com Incremental EE'!SP11)*'[5]Energy Efficiency'!$BR$9</f>
        <v>3476185.1244077338</v>
      </c>
      <c r="J11" s="133">
        <f>('[2]OR Res Incremental EE'!TB11+'[2]OR Com Incremental EE'!SQ11)*'[5]Energy Efficiency'!$BR$9</f>
        <v>3476185.1244077338</v>
      </c>
      <c r="K11" s="133">
        <f>('[2]OR Res Incremental EE'!TC11+'[2]OR Com Incremental EE'!SR11)*'[5]Energy Efficiency'!$BR$9</f>
        <v>3476185.1244077338</v>
      </c>
      <c r="L11" s="133"/>
      <c r="M11" s="133">
        <f>('[2]OR-Res-Existing Cust'!SO45*0.87*'[2]Key Inputs'!$C$74)+('[2]OR-Res-Existing Cust'!SO173*0.67*'[2]Key Inputs'!$C$75)+('[2]OR-Res-Cust Growth'!SQ43*0.87*'[2]Key Inputs'!$C$74)+('[2]OR-Res-Cust Growth'!SQ171*0.87*'[2]Key Inputs'!$C$75)+('[2]OR-Com-Existing Cust'!SO45*0.87*'[2]Key Inputs'!$C$78)+('[2]OR-Com-Cust Growth'!SQ43*0.87*'[2]Key Inputs'!$C$78)</f>
        <v>0</v>
      </c>
      <c r="N11" s="133">
        <f>('[2]OR-Res-Existing Cust'!SP45*0.87*'[2]Key Inputs'!$C$74)+('[2]OR-Res-Existing Cust'!SP173*0.67*'[2]Key Inputs'!$C$75)+('[2]OR-Res-Cust Growth'!SR43*0.87*'[2]Key Inputs'!$C$74)+('[2]OR-Res-Cust Growth'!SR171*0.87*'[2]Key Inputs'!$C$75)+('[2]OR-Com-Existing Cust'!SP45*0.87*'[2]Key Inputs'!$C$78)+('[2]OR-Com-Cust Growth'!SR43*0.87*'[2]Key Inputs'!$C$78)</f>
        <v>54292165.395421997</v>
      </c>
      <c r="O11" s="133">
        <f>('[2]OR-Res-Existing Cust'!SQ45*0.87*'[2]Key Inputs'!$C$74)+('[2]OR-Res-Existing Cust'!SQ173*0.67*'[2]Key Inputs'!$C$75)+('[2]OR-Res-Cust Growth'!SS43*0.87*'[2]Key Inputs'!$C$74)+('[2]OR-Res-Cust Growth'!SS171*0.87*'[2]Key Inputs'!$C$75)+('[2]OR-Com-Existing Cust'!SQ45*0.87*'[2]Key Inputs'!$C$78)+('[2]OR-Com-Cust Growth'!SS43*0.87*'[2]Key Inputs'!$C$78)</f>
        <v>39713183.464986727</v>
      </c>
      <c r="P11" s="133">
        <f>('[2]OR-Res-Existing Cust'!SR45*0.87*'[2]Key Inputs'!$C$74)+('[2]OR-Res-Existing Cust'!SR173*0.67*'[2]Key Inputs'!$C$75)+('[2]OR-Res-Cust Growth'!ST43*0.87*'[2]Key Inputs'!$C$74)+('[2]OR-Res-Cust Growth'!ST171*0.87*'[2]Key Inputs'!$C$75)+('[2]OR-Com-Existing Cust'!SR45*0.87*'[2]Key Inputs'!$C$78)+('[2]OR-Com-Cust Growth'!ST43*0.87*'[2]Key Inputs'!$C$78)</f>
        <v>14698538.498744709</v>
      </c>
      <c r="Q11" s="133">
        <f>('[2]OR-Res-Existing Cust'!SS45*0.87*'[2]Key Inputs'!$C$74)+('[2]OR-Res-Existing Cust'!SS173*0.67*'[2]Key Inputs'!$C$75)+('[2]OR-Res-Cust Growth'!SU43*0.87*'[2]Key Inputs'!$C$74)+('[2]OR-Res-Cust Growth'!SU171*0.87*'[2]Key Inputs'!$C$75)+('[2]OR-Com-Existing Cust'!SS45*0.87*'[2]Key Inputs'!$C$78)+('[2]OR-Com-Cust Growth'!SU43*0.87*'[2]Key Inputs'!$C$78)</f>
        <v>41568836.538165487</v>
      </c>
      <c r="R11" s="133">
        <f>('[2]OR-Res-Existing Cust'!ST45*0.87*'[2]Key Inputs'!$C$74)+('[2]OR-Res-Existing Cust'!ST173*0.67*'[2]Key Inputs'!$C$75)+('[2]OR-Res-Cust Growth'!SV43*0.87*'[2]Key Inputs'!$C$74)+('[2]OR-Res-Cust Growth'!SV171*0.87*'[2]Key Inputs'!$C$75)+('[2]OR-Com-Existing Cust'!ST45*0.87*'[2]Key Inputs'!$C$78)+('[2]OR-Com-Cust Growth'!SV43*0.87*'[2]Key Inputs'!$C$78)</f>
        <v>0</v>
      </c>
      <c r="S11" s="133">
        <f>('[2]OR-Res-Existing Cust'!SU45*0.87*'[2]Key Inputs'!$C$74)+('[2]OR-Res-Existing Cust'!SU173*0.67*'[2]Key Inputs'!$C$75)+('[2]OR-Res-Cust Growth'!SW43*0.87*'[2]Key Inputs'!$C$74)+('[2]OR-Res-Cust Growth'!SW171*0.87*'[2]Key Inputs'!$C$75)+('[2]OR-Com-Existing Cust'!SU45*0.87*'[2]Key Inputs'!$C$78)+('[2]OR-Com-Cust Growth'!SW43*0.87*'[2]Key Inputs'!$C$78)</f>
        <v>0</v>
      </c>
      <c r="T11" s="133">
        <f>('[2]OR-Res-Existing Cust'!SV45*0.87*'[2]Key Inputs'!$C$74)+('[2]OR-Res-Existing Cust'!SV173*0.67*'[2]Key Inputs'!$C$75)+('[2]OR-Res-Cust Growth'!SX43*0.87*'[2]Key Inputs'!$C$74)+('[2]OR-Res-Cust Growth'!SX171*0.87*'[2]Key Inputs'!$C$75)+('[2]OR-Com-Existing Cust'!SV45*0.87*'[2]Key Inputs'!$C$78)+('[2]OR-Com-Cust Growth'!SX43*0.87*'[2]Key Inputs'!$C$78)</f>
        <v>54292165.395421997</v>
      </c>
      <c r="U11" s="133">
        <f>('[2]OR-Res-Existing Cust'!SW45*0.87*'[2]Key Inputs'!$C$74)+('[2]OR-Res-Existing Cust'!SW173*0.67*'[2]Key Inputs'!$C$75)+('[2]OR-Res-Cust Growth'!SY43*0.87*'[2]Key Inputs'!$C$74)+('[2]OR-Res-Cust Growth'!SY171*0.87*'[2]Key Inputs'!$C$75)+('[2]OR-Com-Existing Cust'!SW45*0.87*'[2]Key Inputs'!$C$78)+('[2]OR-Com-Cust Growth'!SY43*0.87*'[2]Key Inputs'!$C$78)</f>
        <v>54292165.395421997</v>
      </c>
      <c r="V11" s="133">
        <f>('[2]OR-Res-Existing Cust'!SX45*0.87*'[2]Key Inputs'!$C$74)+('[2]OR-Res-Existing Cust'!SX173*0.67*'[2]Key Inputs'!$C$75)+('[2]OR-Res-Cust Growth'!SZ43*0.87*'[2]Key Inputs'!$C$74)+('[2]OR-Res-Cust Growth'!SZ171*0.87*'[2]Key Inputs'!$C$75)+('[2]OR-Com-Existing Cust'!SX45*0.87*'[2]Key Inputs'!$C$78)+('[2]OR-Com-Cust Growth'!SZ43*0.87*'[2]Key Inputs'!$C$78)</f>
        <v>4409561.5496234121</v>
      </c>
      <c r="X11" s="63">
        <f>(('[2]OR-Res-Existing Cust'!SO109+'[2]OR-Res-Cust Growth'!SQ107)*'[2]Key Inputs'!$C$73)+(('[2]OR-Com-Existing Cust'!SO109+'[2]OR-Com-Cust Growth'!SQ107)*'[2]Key Inputs'!$C$77)</f>
        <v>0</v>
      </c>
      <c r="Y11" s="63">
        <f>(('[2]OR-Res-Existing Cust'!SP109+'[2]OR-Res-Cust Growth'!SR107)*'[2]Key Inputs'!$C$73)+(('[2]OR-Com-Existing Cust'!SP109+'[2]OR-Com-Cust Growth'!SR107)*'[2]Key Inputs'!$C$77)</f>
        <v>5135575.8997679949</v>
      </c>
      <c r="Z11" s="63">
        <f>(('[2]OR-Res-Existing Cust'!SQ109+'[2]OR-Res-Cust Growth'!SS107)*'[2]Key Inputs'!$C$73)+(('[2]OR-Com-Existing Cust'!SQ109+'[2]OR-Com-Cust Growth'!SS107)*'[2]Key Inputs'!$C$77)</f>
        <v>2367920.1122000269</v>
      </c>
      <c r="AA11" s="63">
        <f>(('[2]OR-Res-Existing Cust'!SR109+'[2]OR-Res-Cust Growth'!ST107)*'[2]Key Inputs'!$C$73)+(('[2]OR-Com-Existing Cust'!SR109+'[2]OR-Com-Cust Growth'!ST107)*'[2]Key Inputs'!$C$77)</f>
        <v>12071959.571452074</v>
      </c>
      <c r="AB11" s="63">
        <f>(('[2]OR-Res-Existing Cust'!SS109+'[2]OR-Res-Cust Growth'!SU107)*'[2]Key Inputs'!$C$73)+(('[2]OR-Com-Existing Cust'!SS109+'[2]OR-Com-Cust Growth'!SU107)*'[2]Key Inputs'!$C$77)</f>
        <v>3621587.8714356218</v>
      </c>
      <c r="AC11" s="63">
        <f>(('[2]OR-Res-Existing Cust'!ST109+'[2]OR-Res-Cust Growth'!SV107)*'[2]Key Inputs'!$C$73)+(('[2]OR-Com-Existing Cust'!ST109+'[2]OR-Com-Cust Growth'!SV107)*'[2]Key Inputs'!$C$77)</f>
        <v>0</v>
      </c>
      <c r="AD11" s="63">
        <f>(('[2]OR-Res-Existing Cust'!SU109+'[2]OR-Res-Cust Growth'!SW107)*'[2]Key Inputs'!$C$73)+(('[2]OR-Com-Existing Cust'!SU109+'[2]OR-Com-Cust Growth'!SW107)*'[2]Key Inputs'!$C$77)</f>
        <v>0</v>
      </c>
      <c r="AE11" s="63">
        <f>(('[2]OR-Res-Existing Cust'!SV109+'[2]OR-Res-Cust Growth'!SX107)*'[2]Key Inputs'!$C$73)+(('[2]OR-Com-Existing Cust'!SV109+'[2]OR-Com-Cust Growth'!SX107)*'[2]Key Inputs'!$C$77)</f>
        <v>5135575.8997679949</v>
      </c>
      <c r="AF11" s="63">
        <f>(('[2]OR-Res-Existing Cust'!SW109+'[2]OR-Res-Cust Growth'!SY107)*'[2]Key Inputs'!$C$73)+(('[2]OR-Com-Existing Cust'!SW109+'[2]OR-Com-Cust Growth'!SY107)*'[2]Key Inputs'!$C$77)</f>
        <v>5135575.8997679949</v>
      </c>
      <c r="AG11" s="63">
        <f>(('[2]OR-Res-Existing Cust'!SX109+'[2]OR-Res-Cust Growth'!SZ107)*'[2]Key Inputs'!$C$73)+(('[2]OR-Com-Existing Cust'!SX109+'[2]OR-Com-Cust Growth'!SZ107)*'[2]Key Inputs'!$C$77)</f>
        <v>3621587.8714356218</v>
      </c>
      <c r="AI11" s="152">
        <f>'[6]OR-IndComSales-Annual'!TF13*2.33</f>
        <v>0</v>
      </c>
      <c r="AJ11" s="152">
        <f>'[6]OR-IndComSales-Annual'!TG13*2.33</f>
        <v>0</v>
      </c>
      <c r="AK11" s="152">
        <f>'[6]OR-IndComSales-Annual'!TH13*2.33</f>
        <v>1811323.1969001556</v>
      </c>
      <c r="AL11" s="152">
        <f>'[6]OR-IndComSales-Annual'!TI13*2.33</f>
        <v>0</v>
      </c>
      <c r="AM11" s="152">
        <f>'[6]OR-IndComSales-Annual'!TJ13*2.33</f>
        <v>0</v>
      </c>
      <c r="AN11" s="152">
        <f>'[6]OR-IndComSales-Annual'!TK13*2.33</f>
        <v>0</v>
      </c>
      <c r="AO11" s="152">
        <f>'[6]OR-IndComSales-Annual'!TL13*2.33</f>
        <v>0</v>
      </c>
      <c r="AP11" s="152">
        <f>'[6]OR-IndComSales-Annual'!TM13*2.33</f>
        <v>0</v>
      </c>
      <c r="AQ11" s="152">
        <f>'[6]OR-IndComSales-Annual'!TN13*2.33</f>
        <v>0</v>
      </c>
      <c r="AR11" s="152">
        <f>'[6]OR-IndComSales-Annual'!TO13*2.33</f>
        <v>0</v>
      </c>
      <c r="AT11">
        <v>0</v>
      </c>
      <c r="AU11" s="152">
        <f>'[6]OR-Transport-Annual'!TE13*1.79</f>
        <v>2574957.9635799541</v>
      </c>
      <c r="AV11" s="152">
        <f>'[6]OR-Transport-Annual'!TF13*1.79</f>
        <v>5149915.9271599082</v>
      </c>
      <c r="AW11" s="152">
        <f>'[6]OR-Transport-Annual'!TG13*1.79</f>
        <v>2574957.9635799541</v>
      </c>
      <c r="AX11" s="152">
        <f>'[6]OR-Transport-Annual'!TH13*1.79</f>
        <v>2574957.9635799541</v>
      </c>
      <c r="AY11" s="152">
        <f>'[6]OR-Transport-Annual'!TI13*1.79</f>
        <v>0</v>
      </c>
      <c r="AZ11" s="152">
        <f>'[6]OR-Transport-Annual'!TJ13*1.79</f>
        <v>0</v>
      </c>
      <c r="BA11" s="152">
        <f>'[6]OR-Transport-Annual'!TK13*1.79</f>
        <v>2574957.9635799541</v>
      </c>
      <c r="BB11" s="152">
        <f>'[6]OR-Transport-Annual'!TL13*1.79</f>
        <v>2574957.9635799541</v>
      </c>
      <c r="BC11" s="152">
        <f>'[6]OR-Transport-Annual'!TM13*1.79</f>
        <v>1287478.9817899771</v>
      </c>
      <c r="BE11" s="133">
        <f t="shared" si="1"/>
        <v>3476185.1244077338</v>
      </c>
      <c r="BF11" s="133">
        <f t="shared" si="0"/>
        <v>65478884.383177675</v>
      </c>
      <c r="BG11" s="133">
        <f t="shared" si="0"/>
        <v>71493093.307154909</v>
      </c>
      <c r="BH11" s="133">
        <f t="shared" si="0"/>
        <v>32821641.158184469</v>
      </c>
      <c r="BI11" s="133">
        <f t="shared" si="0"/>
        <v>48518754.825318635</v>
      </c>
      <c r="BJ11" s="133">
        <f t="shared" si="0"/>
        <v>0</v>
      </c>
      <c r="BK11" s="133">
        <f t="shared" si="0"/>
        <v>0</v>
      </c>
      <c r="BL11" s="133">
        <f t="shared" si="0"/>
        <v>65478884.383177675</v>
      </c>
      <c r="BM11" s="133">
        <f t="shared" si="0"/>
        <v>65478884.383177675</v>
      </c>
      <c r="BN11" s="133">
        <f t="shared" si="0"/>
        <v>12794813.527256744</v>
      </c>
      <c r="BP11" s="153">
        <f>BE11/(([4]Annual!FZ11+[4]Annual!EW11)/10)</f>
        <v>3.2229895920992464E-2</v>
      </c>
      <c r="BQ11" s="153">
        <f>BF11/(([4]Annual!GA11+[4]Annual!EX11)/10)</f>
        <v>0.65190163732214235</v>
      </c>
      <c r="BR11" s="153">
        <f>BG11/(([4]Annual!GB11+[4]Annual!EY11)/10)</f>
        <v>0.7132054517201486</v>
      </c>
      <c r="BS11" s="153">
        <f>BH11/(([4]Annual!GC11+[4]Annual!EZ11)/10)</f>
        <v>0.34012446258694023</v>
      </c>
      <c r="BT11" s="153">
        <f>BI11/(([4]Annual!GD11+[4]Annual!FA11)/10)</f>
        <v>0.53459423975997866</v>
      </c>
      <c r="BU11" s="153">
        <f>BJ11/(([4]Annual!GE11+[4]Annual!FB11)/10)</f>
        <v>0</v>
      </c>
      <c r="BV11" s="153">
        <f>BK11/(([4]Annual!GF11+[4]Annual!FC11)/10)</f>
        <v>0</v>
      </c>
      <c r="BW11" s="153">
        <f>BL11/(([4]Annual!GG11+[4]Annual!FD11)/10)</f>
        <v>0.63920260840735232</v>
      </c>
      <c r="BX11" s="153">
        <f>BM11/(([4]Annual!GH11+[4]Annual!FE11)/10)</f>
        <v>0.63624041982516311</v>
      </c>
      <c r="BY11" s="153">
        <f>BN11/(([4]Annual!GI11+[4]Annual!FF11)/10)</f>
        <v>0.18167202257390724</v>
      </c>
    </row>
    <row r="12" spans="1:77" x14ac:dyDescent="0.25">
      <c r="A12">
        <v>2032</v>
      </c>
      <c r="B12" s="133">
        <f>('[2]OR Res Incremental EE'!ST12+'[2]OR Com Incremental EE'!SI12)*'[5]Energy Efficiency'!$BR$9</f>
        <v>6192745.1220837831</v>
      </c>
      <c r="C12" s="133">
        <f>('[2]OR Res Incremental EE'!SU12+'[2]OR Com Incremental EE'!SJ12)*'[5]Energy Efficiency'!$BR$9</f>
        <v>6192745.1220837831</v>
      </c>
      <c r="D12" s="133">
        <f>('[2]OR Res Incremental EE'!SV12+'[2]OR Com Incremental EE'!SK12)*'[5]Energy Efficiency'!$BR$9</f>
        <v>27214416.857734662</v>
      </c>
      <c r="E12" s="133">
        <f>('[2]OR Res Incremental EE'!SW12+'[2]OR Com Incremental EE'!SL12)*'[5]Energy Efficiency'!$BR$9</f>
        <v>6192745.1220837831</v>
      </c>
      <c r="F12" s="133">
        <f>('[2]OR Res Incremental EE'!SX12+'[2]OR Com Incremental EE'!SM12)*'[5]Energy Efficiency'!$BR$9</f>
        <v>1402649.6321265239</v>
      </c>
      <c r="G12" s="133">
        <v>0</v>
      </c>
      <c r="H12" s="133">
        <v>0</v>
      </c>
      <c r="I12" s="133">
        <f>('[2]OR Res Incremental EE'!TA12+'[2]OR Com Incremental EE'!SP12)*'[5]Energy Efficiency'!$BR$9</f>
        <v>6192745.1220837831</v>
      </c>
      <c r="J12" s="133">
        <f>('[2]OR Res Incremental EE'!TB12+'[2]OR Com Incremental EE'!SQ12)*'[5]Energy Efficiency'!$BR$9</f>
        <v>6192745.1220837831</v>
      </c>
      <c r="K12" s="133">
        <f>('[2]OR Res Incremental EE'!TC12+'[2]OR Com Incremental EE'!SR12)*'[5]Energy Efficiency'!$BR$9</f>
        <v>6192745.1220837831</v>
      </c>
      <c r="L12" s="133"/>
      <c r="M12" s="133">
        <f>('[2]OR-Res-Existing Cust'!SO46*0.87*'[2]Key Inputs'!$C$74)+('[2]OR-Res-Existing Cust'!SO174*0.67*'[2]Key Inputs'!$C$75)+('[2]OR-Res-Cust Growth'!SQ44*0.87*'[2]Key Inputs'!$C$74)+('[2]OR-Res-Cust Growth'!SQ172*0.87*'[2]Key Inputs'!$C$75)+('[2]OR-Com-Existing Cust'!SO46*0.87*'[2]Key Inputs'!$C$78)+('[2]OR-Com-Cust Growth'!SQ44*0.87*'[2]Key Inputs'!$C$78)</f>
        <v>0</v>
      </c>
      <c r="N12" s="133">
        <f>('[2]OR-Res-Existing Cust'!SP46*0.87*'[2]Key Inputs'!$C$74)+('[2]OR-Res-Existing Cust'!SP174*0.67*'[2]Key Inputs'!$C$75)+('[2]OR-Res-Cust Growth'!SR44*0.87*'[2]Key Inputs'!$C$74)+('[2]OR-Res-Cust Growth'!SR172*0.87*'[2]Key Inputs'!$C$75)+('[2]OR-Com-Existing Cust'!SP46*0.87*'[2]Key Inputs'!$C$78)+('[2]OR-Com-Cust Growth'!SR44*0.87*'[2]Key Inputs'!$C$78)</f>
        <v>54018546.207636371</v>
      </c>
      <c r="O12" s="133">
        <f>('[2]OR-Res-Existing Cust'!SQ46*0.87*'[2]Key Inputs'!$C$74)+('[2]OR-Res-Existing Cust'!SQ174*0.67*'[2]Key Inputs'!$C$75)+('[2]OR-Res-Cust Growth'!SS44*0.87*'[2]Key Inputs'!$C$74)+('[2]OR-Res-Cust Growth'!SS172*0.87*'[2]Key Inputs'!$C$75)+('[2]OR-Com-Existing Cust'!SQ46*0.87*'[2]Key Inputs'!$C$78)+('[2]OR-Com-Cust Growth'!SS44*0.87*'[2]Key Inputs'!$C$78)</f>
        <v>47879592.885483906</v>
      </c>
      <c r="P12" s="133">
        <f>('[2]OR-Res-Existing Cust'!SR46*0.87*'[2]Key Inputs'!$C$74)+('[2]OR-Res-Existing Cust'!SR174*0.67*'[2]Key Inputs'!$C$75)+('[2]OR-Res-Cust Growth'!ST44*0.87*'[2]Key Inputs'!$C$74)+('[2]OR-Res-Cust Growth'!ST172*0.87*'[2]Key Inputs'!$C$75)+('[2]OR-Com-Existing Cust'!SR46*0.87*'[2]Key Inputs'!$C$78)+('[2]OR-Com-Cust Growth'!ST44*0.87*'[2]Key Inputs'!$C$78)</f>
        <v>14098427.268389203</v>
      </c>
      <c r="Q12" s="133">
        <f>('[2]OR-Res-Existing Cust'!SS46*0.87*'[2]Key Inputs'!$C$74)+('[2]OR-Res-Existing Cust'!SS174*0.67*'[2]Key Inputs'!$C$75)+('[2]OR-Res-Cust Growth'!SU44*0.87*'[2]Key Inputs'!$C$74)+('[2]OR-Res-Cust Growth'!SU172*0.87*'[2]Key Inputs'!$C$75)+('[2]OR-Com-Existing Cust'!SS46*0.87*'[2]Key Inputs'!$C$78)+('[2]OR-Com-Cust Growth'!SU44*0.87*'[2]Key Inputs'!$C$78)</f>
        <v>41490848.355933018</v>
      </c>
      <c r="R12" s="133">
        <f>('[2]OR-Res-Existing Cust'!ST46*0.87*'[2]Key Inputs'!$C$74)+('[2]OR-Res-Existing Cust'!ST174*0.67*'[2]Key Inputs'!$C$75)+('[2]OR-Res-Cust Growth'!SV44*0.87*'[2]Key Inputs'!$C$74)+('[2]OR-Res-Cust Growth'!SV172*0.87*'[2]Key Inputs'!$C$75)+('[2]OR-Com-Existing Cust'!ST46*0.87*'[2]Key Inputs'!$C$78)+('[2]OR-Com-Cust Growth'!SV44*0.87*'[2]Key Inputs'!$C$78)</f>
        <v>0</v>
      </c>
      <c r="S12" s="133">
        <f>('[2]OR-Res-Existing Cust'!SU46*0.87*'[2]Key Inputs'!$C$74)+('[2]OR-Res-Existing Cust'!SU174*0.67*'[2]Key Inputs'!$C$75)+('[2]OR-Res-Cust Growth'!SW44*0.87*'[2]Key Inputs'!$C$74)+('[2]OR-Res-Cust Growth'!SW172*0.87*'[2]Key Inputs'!$C$75)+('[2]OR-Com-Existing Cust'!SU46*0.87*'[2]Key Inputs'!$C$78)+('[2]OR-Com-Cust Growth'!SW44*0.87*'[2]Key Inputs'!$C$78)</f>
        <v>0</v>
      </c>
      <c r="T12" s="133">
        <f>('[2]OR-Res-Existing Cust'!SV46*0.87*'[2]Key Inputs'!$C$74)+('[2]OR-Res-Existing Cust'!SV174*0.67*'[2]Key Inputs'!$C$75)+('[2]OR-Res-Cust Growth'!SX44*0.87*'[2]Key Inputs'!$C$74)+('[2]OR-Res-Cust Growth'!SX172*0.87*'[2]Key Inputs'!$C$75)+('[2]OR-Com-Existing Cust'!SV46*0.87*'[2]Key Inputs'!$C$78)+('[2]OR-Com-Cust Growth'!SX44*0.87*'[2]Key Inputs'!$C$78)</f>
        <v>54018546.207636371</v>
      </c>
      <c r="U12" s="133">
        <f>('[2]OR-Res-Existing Cust'!SW46*0.87*'[2]Key Inputs'!$C$74)+('[2]OR-Res-Existing Cust'!SW174*0.67*'[2]Key Inputs'!$C$75)+('[2]OR-Res-Cust Growth'!SY44*0.87*'[2]Key Inputs'!$C$74)+('[2]OR-Res-Cust Growth'!SY172*0.87*'[2]Key Inputs'!$C$75)+('[2]OR-Com-Existing Cust'!SW46*0.87*'[2]Key Inputs'!$C$78)+('[2]OR-Com-Cust Growth'!SY44*0.87*'[2]Key Inputs'!$C$78)</f>
        <v>54018546.207636371</v>
      </c>
      <c r="V12" s="133">
        <f>('[2]OR-Res-Existing Cust'!SX46*0.87*'[2]Key Inputs'!$C$74)+('[2]OR-Res-Existing Cust'!SX174*0.67*'[2]Key Inputs'!$C$75)+('[2]OR-Res-Cust Growth'!SZ44*0.87*'[2]Key Inputs'!$C$74)+('[2]OR-Res-Cust Growth'!SZ172*0.87*'[2]Key Inputs'!$C$75)+('[2]OR-Com-Existing Cust'!SX46*0.87*'[2]Key Inputs'!$C$78)+('[2]OR-Com-Cust Growth'!SZ44*0.87*'[2]Key Inputs'!$C$78)</f>
        <v>4229528.1805167599</v>
      </c>
      <c r="X12" s="63">
        <f>(('[2]OR-Res-Existing Cust'!SO110+'[2]OR-Res-Cust Growth'!SQ108)*'[2]Key Inputs'!$C$73)+(('[2]OR-Com-Existing Cust'!SO110+'[2]OR-Com-Cust Growth'!SQ108)*'[2]Key Inputs'!$C$77)</f>
        <v>0</v>
      </c>
      <c r="Y12" s="63">
        <f>(('[2]OR-Res-Existing Cust'!SP110+'[2]OR-Res-Cust Growth'!SR108)*'[2]Key Inputs'!$C$73)+(('[2]OR-Com-Existing Cust'!SP110+'[2]OR-Com-Cust Growth'!SR108)*'[2]Key Inputs'!$C$77)</f>
        <v>5067787.8967625313</v>
      </c>
      <c r="Z12" s="63">
        <f>(('[2]OR-Res-Existing Cust'!SQ110+'[2]OR-Res-Cust Growth'!SS108)*'[2]Key Inputs'!$C$73)+(('[2]OR-Com-Existing Cust'!SQ110+'[2]OR-Com-Cust Growth'!SS108)*'[2]Key Inputs'!$C$77)</f>
        <v>2561144.4239034411</v>
      </c>
      <c r="AA12" s="63">
        <f>(('[2]OR-Res-Existing Cust'!SR110+'[2]OR-Res-Cust Growth'!ST108)*'[2]Key Inputs'!$C$73)+(('[2]OR-Com-Existing Cust'!SR110+'[2]OR-Com-Cust Growth'!ST108)*'[2]Key Inputs'!$C$77)</f>
        <v>12048838.591156976</v>
      </c>
      <c r="AB12" s="63">
        <f>(('[2]OR-Res-Existing Cust'!SS110+'[2]OR-Res-Cust Growth'!SU108)*'[2]Key Inputs'!$C$73)+(('[2]OR-Com-Existing Cust'!SS110+'[2]OR-Com-Cust Growth'!SU108)*'[2]Key Inputs'!$C$77)</f>
        <v>3614651.5773470928</v>
      </c>
      <c r="AC12" s="63">
        <f>(('[2]OR-Res-Existing Cust'!ST110+'[2]OR-Res-Cust Growth'!SV108)*'[2]Key Inputs'!$C$73)+(('[2]OR-Com-Existing Cust'!ST110+'[2]OR-Com-Cust Growth'!SV108)*'[2]Key Inputs'!$C$77)</f>
        <v>0</v>
      </c>
      <c r="AD12" s="63">
        <f>(('[2]OR-Res-Existing Cust'!SU110+'[2]OR-Res-Cust Growth'!SW108)*'[2]Key Inputs'!$C$73)+(('[2]OR-Com-Existing Cust'!SU110+'[2]OR-Com-Cust Growth'!SW108)*'[2]Key Inputs'!$C$77)</f>
        <v>0</v>
      </c>
      <c r="AE12" s="63">
        <f>(('[2]OR-Res-Existing Cust'!SV110+'[2]OR-Res-Cust Growth'!SX108)*'[2]Key Inputs'!$C$73)+(('[2]OR-Com-Existing Cust'!SV110+'[2]OR-Com-Cust Growth'!SX108)*'[2]Key Inputs'!$C$77)</f>
        <v>5067787.8967625313</v>
      </c>
      <c r="AF12" s="63">
        <f>(('[2]OR-Res-Existing Cust'!SW110+'[2]OR-Res-Cust Growth'!SY108)*'[2]Key Inputs'!$C$73)+(('[2]OR-Com-Existing Cust'!SW110+'[2]OR-Com-Cust Growth'!SY108)*'[2]Key Inputs'!$C$77)</f>
        <v>5067787.8967625313</v>
      </c>
      <c r="AG12" s="63">
        <f>(('[2]OR-Res-Existing Cust'!SX110+'[2]OR-Res-Cust Growth'!SZ108)*'[2]Key Inputs'!$C$73)+(('[2]OR-Com-Existing Cust'!SX110+'[2]OR-Com-Cust Growth'!SZ108)*'[2]Key Inputs'!$C$77)</f>
        <v>3614651.5773470928</v>
      </c>
      <c r="AI12" s="152">
        <f>'[6]OR-IndComSales-Annual'!TF14*2.33</f>
        <v>0</v>
      </c>
      <c r="AJ12" s="152">
        <f>'[6]OR-IndComSales-Annual'!TG14*2.33</f>
        <v>0</v>
      </c>
      <c r="AK12" s="152">
        <f>'[6]OR-IndComSales-Annual'!TH14*2.33</f>
        <v>1619301.5825995805</v>
      </c>
      <c r="AL12" s="152">
        <f>'[6]OR-IndComSales-Annual'!TI14*2.33</f>
        <v>0</v>
      </c>
      <c r="AM12" s="152">
        <f>'[6]OR-IndComSales-Annual'!TJ14*2.33</f>
        <v>0</v>
      </c>
      <c r="AN12" s="152">
        <f>'[6]OR-IndComSales-Annual'!TK14*2.33</f>
        <v>0</v>
      </c>
      <c r="AO12" s="152">
        <f>'[6]OR-IndComSales-Annual'!TL14*2.33</f>
        <v>0</v>
      </c>
      <c r="AP12" s="152">
        <f>'[6]OR-IndComSales-Annual'!TM14*2.33</f>
        <v>0</v>
      </c>
      <c r="AQ12" s="152">
        <f>'[6]OR-IndComSales-Annual'!TN14*2.33</f>
        <v>0</v>
      </c>
      <c r="AR12" s="152">
        <f>'[6]OR-IndComSales-Annual'!TO14*2.33</f>
        <v>0</v>
      </c>
      <c r="AT12">
        <v>0</v>
      </c>
      <c r="AU12" s="152">
        <f>'[6]OR-Transport-Annual'!TE14*1.79</f>
        <v>2501483.3663898874</v>
      </c>
      <c r="AV12" s="152">
        <f>'[6]OR-Transport-Annual'!TF14*1.79</f>
        <v>5002966.7327797748</v>
      </c>
      <c r="AW12" s="152">
        <f>'[6]OR-Transport-Annual'!TG14*1.79</f>
        <v>2501483.3663898874</v>
      </c>
      <c r="AX12" s="152">
        <f>'[6]OR-Transport-Annual'!TH14*1.79</f>
        <v>2501483.3663898874</v>
      </c>
      <c r="AY12" s="152">
        <f>'[6]OR-Transport-Annual'!TI14*1.79</f>
        <v>0</v>
      </c>
      <c r="AZ12" s="152">
        <f>'[6]OR-Transport-Annual'!TJ14*1.79</f>
        <v>0</v>
      </c>
      <c r="BA12" s="152">
        <f>'[6]OR-Transport-Annual'!TK14*1.79</f>
        <v>2501483.3663898874</v>
      </c>
      <c r="BB12" s="152">
        <f>'[6]OR-Transport-Annual'!TL14*1.79</f>
        <v>2501483.3663898874</v>
      </c>
      <c r="BC12" s="152">
        <f>'[6]OR-Transport-Annual'!TM14*1.79</f>
        <v>1250741.6831950503</v>
      </c>
      <c r="BE12" s="133">
        <f t="shared" si="1"/>
        <v>6192745.1220837831</v>
      </c>
      <c r="BF12" s="133">
        <f t="shared" si="0"/>
        <v>67780562.592872575</v>
      </c>
      <c r="BG12" s="133">
        <f t="shared" si="0"/>
        <v>84277422.482501358</v>
      </c>
      <c r="BH12" s="133">
        <f t="shared" si="0"/>
        <v>34841494.348019846</v>
      </c>
      <c r="BI12" s="133">
        <f t="shared" si="0"/>
        <v>49009632.931796521</v>
      </c>
      <c r="BJ12" s="133">
        <f t="shared" si="0"/>
        <v>0</v>
      </c>
      <c r="BK12" s="133">
        <f t="shared" si="0"/>
        <v>0</v>
      </c>
      <c r="BL12" s="133">
        <f t="shared" si="0"/>
        <v>67780562.592872575</v>
      </c>
      <c r="BM12" s="133">
        <f t="shared" si="0"/>
        <v>67780562.592872575</v>
      </c>
      <c r="BN12" s="133">
        <f t="shared" si="0"/>
        <v>15287666.563142687</v>
      </c>
      <c r="BP12" s="153">
        <f>BE12/(([4]Annual!FZ12+[4]Annual!EW12)/10)</f>
        <v>5.7061227168164363E-2</v>
      </c>
      <c r="BQ12" s="153">
        <f>BF12/(([4]Annual!GA12+[4]Annual!EX12)/10)</f>
        <v>0.67767702972379129</v>
      </c>
      <c r="BR12" s="153">
        <f>BG12/(([4]Annual!GB12+[4]Annual!EY12)/10)</f>
        <v>0.84353264766456837</v>
      </c>
      <c r="BS12" s="153">
        <f>BH12/(([4]Annual!GC12+[4]Annual!EZ12)/10)</f>
        <v>0.36461151276077458</v>
      </c>
      <c r="BT12" s="153">
        <f>BI12/(([4]Annual!GD12+[4]Annual!FA12)/10)</f>
        <v>0.54892720586993771</v>
      </c>
      <c r="BU12" s="153">
        <f>BJ12/(([4]Annual!GE12+[4]Annual!FB12)/10)</f>
        <v>0</v>
      </c>
      <c r="BV12" s="153">
        <f>BK12/(([4]Annual!GF12+[4]Annual!FC12)/10)</f>
        <v>0</v>
      </c>
      <c r="BW12" s="153">
        <f>BL12/(([4]Annual!GG12+[4]Annual!FD12)/10)</f>
        <v>0.663622174688275</v>
      </c>
      <c r="BX12" s="153">
        <f>BM12/(([4]Annual!GH12+[4]Annual!FE12)/10)</f>
        <v>0.6600769900878497</v>
      </c>
      <c r="BY12" s="153">
        <f>BN12/(([4]Annual!GI12+[4]Annual!FF12)/10)</f>
        <v>0.21699629691578282</v>
      </c>
    </row>
    <row r="13" spans="1:77" x14ac:dyDescent="0.25">
      <c r="A13">
        <v>2033</v>
      </c>
      <c r="B13" s="133">
        <f>('[2]OR Res Incremental EE'!ST13+'[2]OR Com Incremental EE'!SI13)*'[5]Energy Efficiency'!$BR$9</f>
        <v>7229859.1397367604</v>
      </c>
      <c r="C13" s="133">
        <f>('[2]OR Res Incremental EE'!SU13+'[2]OR Com Incremental EE'!SJ13)*'[5]Energy Efficiency'!$BR$9</f>
        <v>7229859.1397367604</v>
      </c>
      <c r="D13" s="133">
        <f>('[2]OR Res Incremental EE'!SV13+'[2]OR Com Incremental EE'!SK13)*'[5]Energy Efficiency'!$BR$9</f>
        <v>29471591.81917318</v>
      </c>
      <c r="E13" s="133">
        <f>('[2]OR Res Incremental EE'!SW13+'[2]OR Com Incremental EE'!SL13)*'[5]Energy Efficiency'!$BR$9</f>
        <v>7229859.1397367604</v>
      </c>
      <c r="F13" s="133">
        <f>('[2]OR Res Incremental EE'!SX13+'[2]OR Com Incremental EE'!SM13)*'[5]Energy Efficiency'!$BR$9</f>
        <v>1505151.0573575236</v>
      </c>
      <c r="G13" s="133">
        <v>0</v>
      </c>
      <c r="H13" s="133">
        <v>0</v>
      </c>
      <c r="I13" s="133">
        <f>('[2]OR Res Incremental EE'!TA13+'[2]OR Com Incremental EE'!SP13)*'[5]Energy Efficiency'!$BR$9</f>
        <v>7229859.1397367604</v>
      </c>
      <c r="J13" s="133">
        <f>('[2]OR Res Incremental EE'!TB13+'[2]OR Com Incremental EE'!SQ13)*'[5]Energy Efficiency'!$BR$9</f>
        <v>7229859.1397367604</v>
      </c>
      <c r="K13" s="133">
        <f>('[2]OR Res Incremental EE'!TC13+'[2]OR Com Incremental EE'!SR13)*'[5]Energy Efficiency'!$BR$9</f>
        <v>7229859.1397367604</v>
      </c>
      <c r="L13" s="133"/>
      <c r="M13" s="133">
        <f>('[2]OR-Res-Existing Cust'!SO47*0.87*'[2]Key Inputs'!$C$74)+('[2]OR-Res-Existing Cust'!SO175*0.67*'[2]Key Inputs'!$C$75)+('[2]OR-Res-Cust Growth'!SQ45*0.87*'[2]Key Inputs'!$C$74)+('[2]OR-Res-Cust Growth'!SQ173*0.87*'[2]Key Inputs'!$C$75)+('[2]OR-Com-Existing Cust'!SO47*0.87*'[2]Key Inputs'!$C$78)+('[2]OR-Com-Cust Growth'!SQ45*0.87*'[2]Key Inputs'!$C$78)</f>
        <v>0</v>
      </c>
      <c r="N13" s="133">
        <f>('[2]OR-Res-Existing Cust'!SP47*0.87*'[2]Key Inputs'!$C$74)+('[2]OR-Res-Existing Cust'!SP175*0.67*'[2]Key Inputs'!$C$75)+('[2]OR-Res-Cust Growth'!SR45*0.87*'[2]Key Inputs'!$C$74)+('[2]OR-Res-Cust Growth'!SR173*0.87*'[2]Key Inputs'!$C$75)+('[2]OR-Com-Existing Cust'!SP47*0.87*'[2]Key Inputs'!$C$78)+('[2]OR-Com-Cust Growth'!SR45*0.87*'[2]Key Inputs'!$C$78)</f>
        <v>53528279.888538674</v>
      </c>
      <c r="O13" s="133">
        <f>('[2]OR-Res-Existing Cust'!SQ47*0.87*'[2]Key Inputs'!$C$74)+('[2]OR-Res-Existing Cust'!SQ175*0.67*'[2]Key Inputs'!$C$75)+('[2]OR-Res-Cust Growth'!SS45*0.87*'[2]Key Inputs'!$C$74)+('[2]OR-Res-Cust Growth'!SS173*0.87*'[2]Key Inputs'!$C$75)+('[2]OR-Com-Existing Cust'!SQ47*0.87*'[2]Key Inputs'!$C$78)+('[2]OR-Com-Cust Growth'!SS45*0.87*'[2]Key Inputs'!$C$78)</f>
        <v>57605122.319157287</v>
      </c>
      <c r="P13" s="133">
        <f>('[2]OR-Res-Existing Cust'!SR47*0.87*'[2]Key Inputs'!$C$74)+('[2]OR-Res-Existing Cust'!SR175*0.67*'[2]Key Inputs'!$C$75)+('[2]OR-Res-Cust Growth'!ST45*0.87*'[2]Key Inputs'!$C$74)+('[2]OR-Res-Cust Growth'!ST173*0.87*'[2]Key Inputs'!$C$75)+('[2]OR-Com-Existing Cust'!SR47*0.87*'[2]Key Inputs'!$C$78)+('[2]OR-Com-Cust Growth'!ST45*0.87*'[2]Key Inputs'!$C$78)</f>
        <v>12751089.810499471</v>
      </c>
      <c r="Q13" s="133">
        <f>('[2]OR-Res-Existing Cust'!SS47*0.87*'[2]Key Inputs'!$C$74)+('[2]OR-Res-Existing Cust'!SS175*0.67*'[2]Key Inputs'!$C$75)+('[2]OR-Res-Cust Growth'!SU45*0.87*'[2]Key Inputs'!$C$74)+('[2]OR-Res-Cust Growth'!SU173*0.87*'[2]Key Inputs'!$C$75)+('[2]OR-Com-Existing Cust'!SS47*0.87*'[2]Key Inputs'!$C$78)+('[2]OR-Com-Cust Growth'!SU45*0.87*'[2]Key Inputs'!$C$78)</f>
        <v>41419127.454490691</v>
      </c>
      <c r="R13" s="133">
        <f>('[2]OR-Res-Existing Cust'!ST47*0.87*'[2]Key Inputs'!$C$74)+('[2]OR-Res-Existing Cust'!ST175*0.67*'[2]Key Inputs'!$C$75)+('[2]OR-Res-Cust Growth'!SV45*0.87*'[2]Key Inputs'!$C$74)+('[2]OR-Res-Cust Growth'!SV173*0.87*'[2]Key Inputs'!$C$75)+('[2]OR-Com-Existing Cust'!ST47*0.87*'[2]Key Inputs'!$C$78)+('[2]OR-Com-Cust Growth'!SV45*0.87*'[2]Key Inputs'!$C$78)</f>
        <v>0</v>
      </c>
      <c r="S13" s="133">
        <f>('[2]OR-Res-Existing Cust'!SU47*0.87*'[2]Key Inputs'!$C$74)+('[2]OR-Res-Existing Cust'!SU175*0.67*'[2]Key Inputs'!$C$75)+('[2]OR-Res-Cust Growth'!SW45*0.87*'[2]Key Inputs'!$C$74)+('[2]OR-Res-Cust Growth'!SW173*0.87*'[2]Key Inputs'!$C$75)+('[2]OR-Com-Existing Cust'!SU47*0.87*'[2]Key Inputs'!$C$78)+('[2]OR-Com-Cust Growth'!SW45*0.87*'[2]Key Inputs'!$C$78)</f>
        <v>0</v>
      </c>
      <c r="T13" s="133">
        <f>('[2]OR-Res-Existing Cust'!SV47*0.87*'[2]Key Inputs'!$C$74)+('[2]OR-Res-Existing Cust'!SV175*0.67*'[2]Key Inputs'!$C$75)+('[2]OR-Res-Cust Growth'!SX45*0.87*'[2]Key Inputs'!$C$74)+('[2]OR-Res-Cust Growth'!SX173*0.87*'[2]Key Inputs'!$C$75)+('[2]OR-Com-Existing Cust'!SV47*0.87*'[2]Key Inputs'!$C$78)+('[2]OR-Com-Cust Growth'!SX45*0.87*'[2]Key Inputs'!$C$78)</f>
        <v>53528279.888538674</v>
      </c>
      <c r="U13" s="133">
        <f>('[2]OR-Res-Existing Cust'!SW47*0.87*'[2]Key Inputs'!$C$74)+('[2]OR-Res-Existing Cust'!SW175*0.67*'[2]Key Inputs'!$C$75)+('[2]OR-Res-Cust Growth'!SY45*0.87*'[2]Key Inputs'!$C$74)+('[2]OR-Res-Cust Growth'!SY173*0.87*'[2]Key Inputs'!$C$75)+('[2]OR-Com-Existing Cust'!SW47*0.87*'[2]Key Inputs'!$C$78)+('[2]OR-Com-Cust Growth'!SY45*0.87*'[2]Key Inputs'!$C$78)</f>
        <v>53528279.888538674</v>
      </c>
      <c r="V13" s="133">
        <f>('[2]OR-Res-Existing Cust'!SX47*0.87*'[2]Key Inputs'!$C$74)+('[2]OR-Res-Existing Cust'!SX175*0.67*'[2]Key Inputs'!$C$75)+('[2]OR-Res-Cust Growth'!SZ45*0.87*'[2]Key Inputs'!$C$74)+('[2]OR-Res-Cust Growth'!SZ173*0.87*'[2]Key Inputs'!$C$75)+('[2]OR-Com-Existing Cust'!SX47*0.87*'[2]Key Inputs'!$C$78)+('[2]OR-Com-Cust Growth'!SZ45*0.87*'[2]Key Inputs'!$C$78)</f>
        <v>3825326.9431498409</v>
      </c>
      <c r="X13" s="63">
        <f>(('[2]OR-Res-Existing Cust'!SO111+'[2]OR-Res-Cust Growth'!SQ109)*'[2]Key Inputs'!$C$73)+(('[2]OR-Com-Existing Cust'!SO111+'[2]OR-Com-Cust Growth'!SQ109)*'[2]Key Inputs'!$C$77)</f>
        <v>0</v>
      </c>
      <c r="Y13" s="63">
        <f>(('[2]OR-Res-Existing Cust'!SP111+'[2]OR-Res-Cust Growth'!SR109)*'[2]Key Inputs'!$C$73)+(('[2]OR-Com-Existing Cust'!SP111+'[2]OR-Com-Cust Growth'!SR109)*'[2]Key Inputs'!$C$77)</f>
        <v>4935244.8792381315</v>
      </c>
      <c r="Z13" s="63">
        <f>(('[2]OR-Res-Existing Cust'!SQ111+'[2]OR-Res-Cust Growth'!SS109)*'[2]Key Inputs'!$C$73)+(('[2]OR-Com-Existing Cust'!SQ111+'[2]OR-Com-Cust Growth'!SS109)*'[2]Key Inputs'!$C$77)</f>
        <v>2706671.4277000953</v>
      </c>
      <c r="AA13" s="63">
        <f>(('[2]OR-Res-Existing Cust'!SR111+'[2]OR-Res-Cust Growth'!ST109)*'[2]Key Inputs'!$C$73)+(('[2]OR-Com-Existing Cust'!SR111+'[2]OR-Com-Cust Growth'!ST109)*'[2]Key Inputs'!$C$77)</f>
        <v>12027525.425429672</v>
      </c>
      <c r="AB13" s="63">
        <f>(('[2]OR-Res-Existing Cust'!SS111+'[2]OR-Res-Cust Growth'!SU109)*'[2]Key Inputs'!$C$73)+(('[2]OR-Com-Existing Cust'!SS111+'[2]OR-Com-Cust Growth'!SU109)*'[2]Key Inputs'!$C$77)</f>
        <v>3608257.6276289015</v>
      </c>
      <c r="AC13" s="63">
        <f>(('[2]OR-Res-Existing Cust'!ST111+'[2]OR-Res-Cust Growth'!SV109)*'[2]Key Inputs'!$C$73)+(('[2]OR-Com-Existing Cust'!ST111+'[2]OR-Com-Cust Growth'!SV109)*'[2]Key Inputs'!$C$77)</f>
        <v>0</v>
      </c>
      <c r="AD13" s="63">
        <f>(('[2]OR-Res-Existing Cust'!SU111+'[2]OR-Res-Cust Growth'!SW109)*'[2]Key Inputs'!$C$73)+(('[2]OR-Com-Existing Cust'!SU111+'[2]OR-Com-Cust Growth'!SW109)*'[2]Key Inputs'!$C$77)</f>
        <v>0</v>
      </c>
      <c r="AE13" s="63">
        <f>(('[2]OR-Res-Existing Cust'!SV111+'[2]OR-Res-Cust Growth'!SX109)*'[2]Key Inputs'!$C$73)+(('[2]OR-Com-Existing Cust'!SV111+'[2]OR-Com-Cust Growth'!SX109)*'[2]Key Inputs'!$C$77)</f>
        <v>4935244.8792381315</v>
      </c>
      <c r="AF13" s="63">
        <f>(('[2]OR-Res-Existing Cust'!SW111+'[2]OR-Res-Cust Growth'!SY109)*'[2]Key Inputs'!$C$73)+(('[2]OR-Com-Existing Cust'!SW111+'[2]OR-Com-Cust Growth'!SY109)*'[2]Key Inputs'!$C$77)</f>
        <v>4935244.8792381315</v>
      </c>
      <c r="AG13" s="63">
        <f>(('[2]OR-Res-Existing Cust'!SX111+'[2]OR-Res-Cust Growth'!SZ109)*'[2]Key Inputs'!$C$73)+(('[2]OR-Com-Existing Cust'!SX111+'[2]OR-Com-Cust Growth'!SZ109)*'[2]Key Inputs'!$C$77)</f>
        <v>3608257.6276289015</v>
      </c>
      <c r="AI13" s="152">
        <f>'[6]OR-IndComSales-Annual'!TF15*2.33</f>
        <v>0</v>
      </c>
      <c r="AJ13" s="152">
        <f>'[6]OR-IndComSales-Annual'!TG15*2.33</f>
        <v>0</v>
      </c>
      <c r="AK13" s="152">
        <f>'[6]OR-IndComSales-Annual'!TH15*2.33</f>
        <v>685108.21379996394</v>
      </c>
      <c r="AL13" s="152">
        <f>'[6]OR-IndComSales-Annual'!TI15*2.33</f>
        <v>0</v>
      </c>
      <c r="AM13" s="152">
        <f>'[6]OR-IndComSales-Annual'!TJ15*2.33</f>
        <v>0</v>
      </c>
      <c r="AN13" s="152">
        <f>'[6]OR-IndComSales-Annual'!TK15*2.33</f>
        <v>0</v>
      </c>
      <c r="AO13" s="152">
        <f>'[6]OR-IndComSales-Annual'!TL15*2.33</f>
        <v>0</v>
      </c>
      <c r="AP13" s="152">
        <f>'[6]OR-IndComSales-Annual'!TM15*2.33</f>
        <v>0</v>
      </c>
      <c r="AQ13" s="152">
        <f>'[6]OR-IndComSales-Annual'!TN15*2.33</f>
        <v>0</v>
      </c>
      <c r="AR13" s="152">
        <f>'[6]OR-IndComSales-Annual'!TO15*2.33</f>
        <v>0</v>
      </c>
      <c r="AT13">
        <v>0</v>
      </c>
      <c r="AU13" s="152">
        <f>'[6]OR-Transport-Annual'!TE15*1.79</f>
        <v>2312066.1660401691</v>
      </c>
      <c r="AV13" s="152">
        <f>'[6]OR-Transport-Annual'!TF15*1.79</f>
        <v>4624132.3320803382</v>
      </c>
      <c r="AW13" s="152">
        <f>'[6]OR-Transport-Annual'!TG15*1.79</f>
        <v>2312066.1660401691</v>
      </c>
      <c r="AX13" s="152">
        <f>'[6]OR-Transport-Annual'!TH15*1.79</f>
        <v>2312066.1660401691</v>
      </c>
      <c r="AY13" s="152">
        <f>'[6]OR-Transport-Annual'!TI15*1.79</f>
        <v>0</v>
      </c>
      <c r="AZ13" s="152">
        <f>'[6]OR-Transport-Annual'!TJ15*1.79</f>
        <v>0</v>
      </c>
      <c r="BA13" s="152">
        <f>'[6]OR-Transport-Annual'!TK15*1.79</f>
        <v>2312066.1660401691</v>
      </c>
      <c r="BB13" s="152">
        <f>'[6]OR-Transport-Annual'!TL15*1.79</f>
        <v>2312066.1660401691</v>
      </c>
      <c r="BC13" s="152">
        <f>'[6]OR-Transport-Annual'!TM15*1.79</f>
        <v>1156033.0830200845</v>
      </c>
      <c r="BE13" s="133">
        <f t="shared" si="1"/>
        <v>7229859.1397367604</v>
      </c>
      <c r="BF13" s="133">
        <f t="shared" si="0"/>
        <v>68005450.073553726</v>
      </c>
      <c r="BG13" s="133">
        <f t="shared" si="0"/>
        <v>95092626.111910865</v>
      </c>
      <c r="BH13" s="133">
        <f t="shared" si="0"/>
        <v>34320540.54170607</v>
      </c>
      <c r="BI13" s="133">
        <f t="shared" si="0"/>
        <v>48844602.305517279</v>
      </c>
      <c r="BJ13" s="133">
        <f t="shared" si="0"/>
        <v>0</v>
      </c>
      <c r="BK13" s="133">
        <f t="shared" si="0"/>
        <v>0</v>
      </c>
      <c r="BL13" s="133">
        <f t="shared" si="0"/>
        <v>68005450.073553726</v>
      </c>
      <c r="BM13" s="133">
        <f t="shared" si="0"/>
        <v>68005450.073553726</v>
      </c>
      <c r="BN13" s="133">
        <f t="shared" si="0"/>
        <v>15819476.793535586</v>
      </c>
      <c r="BP13" s="153">
        <f>BE13/(([4]Annual!FZ13+[4]Annual!EW13)/10)</f>
        <v>6.7065576962984097E-2</v>
      </c>
      <c r="BQ13" s="153">
        <f>BF13/(([4]Annual!GA13+[4]Annual!EX13)/10)</f>
        <v>0.69211242888113655</v>
      </c>
      <c r="BR13" s="153">
        <f>BG13/(([4]Annual!GB13+[4]Annual!EY13)/10)</f>
        <v>0.96798771895997326</v>
      </c>
      <c r="BS13" s="153">
        <f>BH13/(([4]Annual!GC13+[4]Annual!EZ13)/10)</f>
        <v>0.36787084421228078</v>
      </c>
      <c r="BT13" s="153">
        <f>BI13/(([4]Annual!GD13+[4]Annual!FA13)/10)</f>
        <v>0.56338972226512818</v>
      </c>
      <c r="BU13" s="153">
        <f>BJ13/(([4]Annual!GE13+[4]Annual!FB13)/10)</f>
        <v>0</v>
      </c>
      <c r="BV13" s="153">
        <f>BK13/(([4]Annual!GF13+[4]Annual!FC13)/10)</f>
        <v>0</v>
      </c>
      <c r="BW13" s="153">
        <f>BL13/(([4]Annual!GG13+[4]Annual!FD13)/10)</f>
        <v>0.67680250008555676</v>
      </c>
      <c r="BX13" s="153">
        <f>BM13/(([4]Annual!GH13+[4]Annual!FE13)/10)</f>
        <v>0.67270931649056653</v>
      </c>
      <c r="BY13" s="153">
        <f>BN13/(([4]Annual!GI13+[4]Annual!FF13)/10)</f>
        <v>0.22761259075206408</v>
      </c>
    </row>
    <row r="14" spans="1:77" x14ac:dyDescent="0.25">
      <c r="A14">
        <v>2034</v>
      </c>
      <c r="B14" s="133">
        <f>('[2]OR Res Incremental EE'!ST14+'[2]OR Com Incremental EE'!SI14)*'[5]Energy Efficiency'!$BR$9</f>
        <v>5717271.3066243753</v>
      </c>
      <c r="C14" s="133">
        <f>('[2]OR Res Incremental EE'!SU14+'[2]OR Com Incremental EE'!SJ14)*'[5]Energy Efficiency'!$BR$9</f>
        <v>5717271.3066243753</v>
      </c>
      <c r="D14" s="133">
        <f>('[2]OR Res Incremental EE'!SV14+'[2]OR Com Incremental EE'!SK14)*'[5]Energy Efficiency'!$BR$9</f>
        <v>28718199.132338848</v>
      </c>
      <c r="E14" s="133">
        <f>('[2]OR Res Incremental EE'!SW14+'[2]OR Com Incremental EE'!SL14)*'[5]Energy Efficiency'!$BR$9</f>
        <v>5717271.3066243753</v>
      </c>
      <c r="F14" s="133">
        <f>('[2]OR Res Incremental EE'!SX14+'[2]OR Com Incremental EE'!SM14)*'[5]Energy Efficiency'!$BR$9</f>
        <v>976166.31728017202</v>
      </c>
      <c r="G14" s="133">
        <v>0</v>
      </c>
      <c r="H14" s="133">
        <v>0</v>
      </c>
      <c r="I14" s="133">
        <f>('[2]OR Res Incremental EE'!TA14+'[2]OR Com Incremental EE'!SP14)*'[5]Energy Efficiency'!$BR$9</f>
        <v>5717271.3066243753</v>
      </c>
      <c r="J14" s="133">
        <f>('[2]OR Res Incremental EE'!TB14+'[2]OR Com Incremental EE'!SQ14)*'[5]Energy Efficiency'!$BR$9</f>
        <v>5717271.3066243753</v>
      </c>
      <c r="K14" s="133">
        <f>('[2]OR Res Incremental EE'!TC14+'[2]OR Com Incremental EE'!SR14)*'[5]Energy Efficiency'!$BR$9</f>
        <v>5717271.3066243753</v>
      </c>
      <c r="L14" s="133"/>
      <c r="M14" s="133">
        <f>('[2]OR-Res-Existing Cust'!SO48*0.87*'[2]Key Inputs'!$C$74)+('[2]OR-Res-Existing Cust'!SO176*0.67*'[2]Key Inputs'!$C$75)+('[2]OR-Res-Cust Growth'!SQ46*0.87*'[2]Key Inputs'!$C$74)+('[2]OR-Res-Cust Growth'!SQ174*0.87*'[2]Key Inputs'!$C$75)+('[2]OR-Com-Existing Cust'!SO48*0.87*'[2]Key Inputs'!$C$78)+('[2]OR-Com-Cust Growth'!SQ46*0.87*'[2]Key Inputs'!$C$78)</f>
        <v>0</v>
      </c>
      <c r="N14" s="133">
        <f>('[2]OR-Res-Existing Cust'!SP48*0.87*'[2]Key Inputs'!$C$74)+('[2]OR-Res-Existing Cust'!SP176*0.67*'[2]Key Inputs'!$C$75)+('[2]OR-Res-Cust Growth'!SR46*0.87*'[2]Key Inputs'!$C$74)+('[2]OR-Res-Cust Growth'!SR174*0.87*'[2]Key Inputs'!$C$75)+('[2]OR-Com-Existing Cust'!SP48*0.87*'[2]Key Inputs'!$C$78)+('[2]OR-Com-Cust Growth'!SR46*0.87*'[2]Key Inputs'!$C$78)</f>
        <v>53157343.718505248</v>
      </c>
      <c r="O14" s="133">
        <f>('[2]OR-Res-Existing Cust'!SQ48*0.87*'[2]Key Inputs'!$C$74)+('[2]OR-Res-Existing Cust'!SQ176*0.67*'[2]Key Inputs'!$C$75)+('[2]OR-Res-Cust Growth'!SS46*0.87*'[2]Key Inputs'!$C$74)+('[2]OR-Res-Cust Growth'!SS174*0.87*'[2]Key Inputs'!$C$75)+('[2]OR-Com-Existing Cust'!SQ48*0.87*'[2]Key Inputs'!$C$78)+('[2]OR-Com-Cust Growth'!SS46*0.87*'[2]Key Inputs'!$C$78)</f>
        <v>67341060.421941146</v>
      </c>
      <c r="P14" s="133">
        <f>('[2]OR-Res-Existing Cust'!SR48*0.87*'[2]Key Inputs'!$C$74)+('[2]OR-Res-Existing Cust'!SR176*0.67*'[2]Key Inputs'!$C$75)+('[2]OR-Res-Cust Growth'!ST46*0.87*'[2]Key Inputs'!$C$74)+('[2]OR-Res-Cust Growth'!ST174*0.87*'[2]Key Inputs'!$C$75)+('[2]OR-Com-Existing Cust'!SR48*0.87*'[2]Key Inputs'!$C$78)+('[2]OR-Com-Cust Growth'!ST46*0.87*'[2]Key Inputs'!$C$78)</f>
        <v>11784659.564663963</v>
      </c>
      <c r="Q14" s="133">
        <f>('[2]OR-Res-Existing Cust'!SS48*0.87*'[2]Key Inputs'!$C$74)+('[2]OR-Res-Existing Cust'!SS176*0.67*'[2]Key Inputs'!$C$75)+('[2]OR-Res-Cust Growth'!SU46*0.87*'[2]Key Inputs'!$C$74)+('[2]OR-Res-Cust Growth'!SU174*0.87*'[2]Key Inputs'!$C$75)+('[2]OR-Com-Existing Cust'!SS48*0.87*'[2]Key Inputs'!$C$78)+('[2]OR-Com-Cust Growth'!SU46*0.87*'[2]Key Inputs'!$C$78)</f>
        <v>41351621.54092171</v>
      </c>
      <c r="R14" s="133">
        <f>('[2]OR-Res-Existing Cust'!ST48*0.87*'[2]Key Inputs'!$C$74)+('[2]OR-Res-Existing Cust'!ST176*0.67*'[2]Key Inputs'!$C$75)+('[2]OR-Res-Cust Growth'!SV46*0.87*'[2]Key Inputs'!$C$74)+('[2]OR-Res-Cust Growth'!SV174*0.87*'[2]Key Inputs'!$C$75)+('[2]OR-Com-Existing Cust'!ST48*0.87*'[2]Key Inputs'!$C$78)+('[2]OR-Com-Cust Growth'!SV46*0.87*'[2]Key Inputs'!$C$78)</f>
        <v>0</v>
      </c>
      <c r="S14" s="133">
        <f>('[2]OR-Res-Existing Cust'!SU48*0.87*'[2]Key Inputs'!$C$74)+('[2]OR-Res-Existing Cust'!SU176*0.67*'[2]Key Inputs'!$C$75)+('[2]OR-Res-Cust Growth'!SW46*0.87*'[2]Key Inputs'!$C$74)+('[2]OR-Res-Cust Growth'!SW174*0.87*'[2]Key Inputs'!$C$75)+('[2]OR-Com-Existing Cust'!SU48*0.87*'[2]Key Inputs'!$C$78)+('[2]OR-Com-Cust Growth'!SW46*0.87*'[2]Key Inputs'!$C$78)</f>
        <v>0</v>
      </c>
      <c r="T14" s="133">
        <f>('[2]OR-Res-Existing Cust'!SV48*0.87*'[2]Key Inputs'!$C$74)+('[2]OR-Res-Existing Cust'!SV176*0.67*'[2]Key Inputs'!$C$75)+('[2]OR-Res-Cust Growth'!SX46*0.87*'[2]Key Inputs'!$C$74)+('[2]OR-Res-Cust Growth'!SX174*0.87*'[2]Key Inputs'!$C$75)+('[2]OR-Com-Existing Cust'!SV48*0.87*'[2]Key Inputs'!$C$78)+('[2]OR-Com-Cust Growth'!SX46*0.87*'[2]Key Inputs'!$C$78)</f>
        <v>53157343.718505248</v>
      </c>
      <c r="U14" s="133">
        <f>('[2]OR-Res-Existing Cust'!SW48*0.87*'[2]Key Inputs'!$C$74)+('[2]OR-Res-Existing Cust'!SW176*0.67*'[2]Key Inputs'!$C$75)+('[2]OR-Res-Cust Growth'!SY46*0.87*'[2]Key Inputs'!$C$74)+('[2]OR-Res-Cust Growth'!SY174*0.87*'[2]Key Inputs'!$C$75)+('[2]OR-Com-Existing Cust'!SW48*0.87*'[2]Key Inputs'!$C$78)+('[2]OR-Com-Cust Growth'!SY46*0.87*'[2]Key Inputs'!$C$78)</f>
        <v>53157343.718505248</v>
      </c>
      <c r="V14" s="133">
        <f>('[2]OR-Res-Existing Cust'!SX48*0.87*'[2]Key Inputs'!$C$74)+('[2]OR-Res-Existing Cust'!SX176*0.67*'[2]Key Inputs'!$C$75)+('[2]OR-Res-Cust Growth'!SZ46*0.87*'[2]Key Inputs'!$C$74)+('[2]OR-Res-Cust Growth'!SZ174*0.87*'[2]Key Inputs'!$C$75)+('[2]OR-Com-Existing Cust'!SX48*0.87*'[2]Key Inputs'!$C$78)+('[2]OR-Com-Cust Growth'!SZ46*0.87*'[2]Key Inputs'!$C$78)</f>
        <v>3535397.8693991886</v>
      </c>
      <c r="X14" s="63">
        <f>(('[2]OR-Res-Existing Cust'!SO112+'[2]OR-Res-Cust Growth'!SQ110)*'[2]Key Inputs'!$C$73)+(('[2]OR-Com-Existing Cust'!SO112+'[2]OR-Com-Cust Growth'!SQ110)*'[2]Key Inputs'!$C$77)</f>
        <v>0</v>
      </c>
      <c r="Y14" s="63">
        <f>(('[2]OR-Res-Existing Cust'!SP112+'[2]OR-Res-Cust Growth'!SR110)*'[2]Key Inputs'!$C$73)+(('[2]OR-Com-Existing Cust'!SP112+'[2]OR-Com-Cust Growth'!SR110)*'[2]Key Inputs'!$C$77)</f>
        <v>4838586.4456662312</v>
      </c>
      <c r="Z14" s="63">
        <f>(('[2]OR-Res-Existing Cust'!SQ112+'[2]OR-Res-Cust Growth'!SS110)*'[2]Key Inputs'!$C$73)+(('[2]OR-Com-Existing Cust'!SQ112+'[2]OR-Com-Cust Growth'!SS110)*'[2]Key Inputs'!$C$77)</f>
        <v>2849219.2607593723</v>
      </c>
      <c r="AA14" s="63">
        <f>(('[2]OR-Res-Existing Cust'!SR112+'[2]OR-Res-Cust Growth'!ST110)*'[2]Key Inputs'!$C$73)+(('[2]OR-Com-Existing Cust'!SR112+'[2]OR-Com-Cust Growth'!ST110)*'[2]Key Inputs'!$C$77)</f>
        <v>12007431.111540899</v>
      </c>
      <c r="AB14" s="63">
        <f>(('[2]OR-Res-Existing Cust'!SS112+'[2]OR-Res-Cust Growth'!SU110)*'[2]Key Inputs'!$C$73)+(('[2]OR-Com-Existing Cust'!SS112+'[2]OR-Com-Cust Growth'!SU110)*'[2]Key Inputs'!$C$77)</f>
        <v>3602229.333462269</v>
      </c>
      <c r="AC14" s="63">
        <f>(('[2]OR-Res-Existing Cust'!ST112+'[2]OR-Res-Cust Growth'!SV110)*'[2]Key Inputs'!$C$73)+(('[2]OR-Com-Existing Cust'!ST112+'[2]OR-Com-Cust Growth'!SV110)*'[2]Key Inputs'!$C$77)</f>
        <v>0</v>
      </c>
      <c r="AD14" s="63">
        <f>(('[2]OR-Res-Existing Cust'!SU112+'[2]OR-Res-Cust Growth'!SW110)*'[2]Key Inputs'!$C$73)+(('[2]OR-Com-Existing Cust'!SU112+'[2]OR-Com-Cust Growth'!SW110)*'[2]Key Inputs'!$C$77)</f>
        <v>0</v>
      </c>
      <c r="AE14" s="63">
        <f>(('[2]OR-Res-Existing Cust'!SV112+'[2]OR-Res-Cust Growth'!SX110)*'[2]Key Inputs'!$C$73)+(('[2]OR-Com-Existing Cust'!SV112+'[2]OR-Com-Cust Growth'!SX110)*'[2]Key Inputs'!$C$77)</f>
        <v>4838586.4456662312</v>
      </c>
      <c r="AF14" s="63">
        <f>(('[2]OR-Res-Existing Cust'!SW112+'[2]OR-Res-Cust Growth'!SY110)*'[2]Key Inputs'!$C$73)+(('[2]OR-Com-Existing Cust'!SW112+'[2]OR-Com-Cust Growth'!SY110)*'[2]Key Inputs'!$C$77)</f>
        <v>4838586.4456662312</v>
      </c>
      <c r="AG14" s="63">
        <f>(('[2]OR-Res-Existing Cust'!SX112+'[2]OR-Res-Cust Growth'!SZ110)*'[2]Key Inputs'!$C$73)+(('[2]OR-Com-Existing Cust'!SX112+'[2]OR-Com-Cust Growth'!SZ110)*'[2]Key Inputs'!$C$77)</f>
        <v>3602229.333462269</v>
      </c>
      <c r="AI14" s="152">
        <f>'[6]OR-IndComSales-Annual'!TF16*2.33</f>
        <v>0</v>
      </c>
      <c r="AJ14" s="152">
        <f>'[6]OR-IndComSales-Annual'!TG16*2.33</f>
        <v>0</v>
      </c>
      <c r="AK14" s="152">
        <f>'[6]OR-IndComSales-Annual'!TH16*2.33</f>
        <v>727477.42310005275</v>
      </c>
      <c r="AL14" s="152">
        <f>'[6]OR-IndComSales-Annual'!TI16*2.33</f>
        <v>0</v>
      </c>
      <c r="AM14" s="152">
        <f>'[6]OR-IndComSales-Annual'!TJ16*2.33</f>
        <v>0</v>
      </c>
      <c r="AN14" s="152">
        <f>'[6]OR-IndComSales-Annual'!TK16*2.33</f>
        <v>0</v>
      </c>
      <c r="AO14" s="152">
        <f>'[6]OR-IndComSales-Annual'!TL16*2.33</f>
        <v>0</v>
      </c>
      <c r="AP14" s="152">
        <f>'[6]OR-IndComSales-Annual'!TM16*2.33</f>
        <v>0</v>
      </c>
      <c r="AQ14" s="152">
        <f>'[6]OR-IndComSales-Annual'!TN16*2.33</f>
        <v>0</v>
      </c>
      <c r="AR14" s="152">
        <f>'[6]OR-IndComSales-Annual'!TO16*2.33</f>
        <v>0</v>
      </c>
      <c r="AT14">
        <v>0</v>
      </c>
      <c r="AU14" s="152">
        <f>'[6]OR-Transport-Annual'!TE16*1.79</f>
        <v>2141666.8636498977</v>
      </c>
      <c r="AV14" s="152">
        <f>'[6]OR-Transport-Annual'!TF16*1.79</f>
        <v>4283333.7272997955</v>
      </c>
      <c r="AW14" s="152">
        <f>'[6]OR-Transport-Annual'!TG16*1.79</f>
        <v>2141666.8636498977</v>
      </c>
      <c r="AX14" s="152">
        <f>'[6]OR-Transport-Annual'!TH16*1.79</f>
        <v>2141666.8636498977</v>
      </c>
      <c r="AY14" s="152">
        <f>'[6]OR-Transport-Annual'!TI16*1.79</f>
        <v>0</v>
      </c>
      <c r="AZ14" s="152">
        <f>'[6]OR-Transport-Annual'!TJ16*1.79</f>
        <v>0</v>
      </c>
      <c r="BA14" s="152">
        <f>'[6]OR-Transport-Annual'!TK16*1.79</f>
        <v>2141666.8636498977</v>
      </c>
      <c r="BB14" s="152">
        <f>'[6]OR-Transport-Annual'!TL16*1.79</f>
        <v>2141666.8636498977</v>
      </c>
      <c r="BC14" s="152">
        <f>'[6]OR-Transport-Annual'!TM16*1.79</f>
        <v>1070833.4318249489</v>
      </c>
      <c r="BE14" s="133">
        <f t="shared" si="1"/>
        <v>5717271.3066243753</v>
      </c>
      <c r="BF14" s="133">
        <f t="shared" si="0"/>
        <v>65854868.334445752</v>
      </c>
      <c r="BG14" s="133">
        <f t="shared" si="0"/>
        <v>103919289.96543922</v>
      </c>
      <c r="BH14" s="133">
        <f t="shared" si="0"/>
        <v>31651028.846479133</v>
      </c>
      <c r="BI14" s="133">
        <f t="shared" si="0"/>
        <v>48071684.055314049</v>
      </c>
      <c r="BJ14" s="133">
        <f t="shared" si="0"/>
        <v>0</v>
      </c>
      <c r="BK14" s="133">
        <f t="shared" si="0"/>
        <v>0</v>
      </c>
      <c r="BL14" s="133">
        <f t="shared" si="0"/>
        <v>65854868.334445752</v>
      </c>
      <c r="BM14" s="133">
        <f t="shared" si="0"/>
        <v>65854868.334445752</v>
      </c>
      <c r="BN14" s="133">
        <f t="shared" si="0"/>
        <v>13925731.941310782</v>
      </c>
      <c r="BP14" s="153">
        <f>BE14/(([4]Annual!FZ14+[4]Annual!EW14)/10)</f>
        <v>5.3070161318353036E-2</v>
      </c>
      <c r="BQ14" s="153">
        <f>BF14/(([4]Annual!GA14+[4]Annual!EX14)/10)</f>
        <v>0.67759335053047498</v>
      </c>
      <c r="BR14" s="153">
        <f>BG14/(([4]Annual!GB14+[4]Annual!EY14)/10)</f>
        <v>1.0693158762170738</v>
      </c>
      <c r="BS14" s="153">
        <f>BH14/(([4]Annual!GC14+[4]Annual!EZ14)/10)</f>
        <v>0.34492868899767626</v>
      </c>
      <c r="BT14" s="153">
        <f>BI14/(([4]Annual!GD14+[4]Annual!FA14)/10)</f>
        <v>0.56705792511148212</v>
      </c>
      <c r="BU14" s="153">
        <f>BJ14/(([4]Annual!GE14+[4]Annual!FB14)/10)</f>
        <v>0</v>
      </c>
      <c r="BV14" s="153">
        <f>BK14/(([4]Annual!GF14+[4]Annual!FC14)/10)</f>
        <v>0</v>
      </c>
      <c r="BW14" s="153">
        <f>BL14/(([4]Annual!GG14+[4]Annual!FD14)/10)</f>
        <v>0.66178331162373716</v>
      </c>
      <c r="BX14" s="153">
        <f>BM14/(([4]Annual!GH14+[4]Annual!FE14)/10)</f>
        <v>0.65734945120099053</v>
      </c>
      <c r="BY14" s="153">
        <f>BN14/(([4]Annual!GI14+[4]Annual!FF14)/10)</f>
        <v>0.20176934610505096</v>
      </c>
    </row>
    <row r="15" spans="1:77" x14ac:dyDescent="0.25">
      <c r="A15">
        <v>2035</v>
      </c>
      <c r="B15" s="133">
        <f>('[2]OR Res Incremental EE'!ST15+'[2]OR Com Incremental EE'!SI15)*'[5]Energy Efficiency'!$BR$9</f>
        <v>6415744.6589594055</v>
      </c>
      <c r="C15" s="133">
        <f>('[2]OR Res Incremental EE'!SU15+'[2]OR Com Incremental EE'!SJ15)*'[5]Energy Efficiency'!$BR$9</f>
        <v>6415744.6589594055</v>
      </c>
      <c r="D15" s="133">
        <f>('[2]OR Res Incremental EE'!SV15+'[2]OR Com Incremental EE'!SK15)*'[5]Energy Efficiency'!$BR$9</f>
        <v>30351512.024420172</v>
      </c>
      <c r="E15" s="133">
        <f>('[2]OR Res Incremental EE'!SW15+'[2]OR Com Incremental EE'!SL15)*'[5]Energy Efficiency'!$BR$9</f>
        <v>6415744.6589594055</v>
      </c>
      <c r="F15" s="133">
        <f>('[2]OR Res Incremental EE'!SX15+'[2]OR Com Incremental EE'!SM15)*'[5]Energy Efficiency'!$BR$9</f>
        <v>1032135.1684335389</v>
      </c>
      <c r="G15" s="133">
        <v>0</v>
      </c>
      <c r="H15" s="133">
        <v>0</v>
      </c>
      <c r="I15" s="133">
        <f>('[2]OR Res Incremental EE'!TA15+'[2]OR Com Incremental EE'!SP15)*'[5]Energy Efficiency'!$BR$9</f>
        <v>6415744.6589594055</v>
      </c>
      <c r="J15" s="133">
        <f>('[2]OR Res Incremental EE'!TB15+'[2]OR Com Incremental EE'!SQ15)*'[5]Energy Efficiency'!$BR$9</f>
        <v>6415744.6589594055</v>
      </c>
      <c r="K15" s="133">
        <f>('[2]OR Res Incremental EE'!TC15+'[2]OR Com Incremental EE'!SR15)*'[5]Energy Efficiency'!$BR$9</f>
        <v>6415744.6589594055</v>
      </c>
      <c r="L15" s="133"/>
      <c r="M15" s="133">
        <f>('[2]OR-Res-Existing Cust'!SO49*0.87*'[2]Key Inputs'!$C$74)+('[2]OR-Res-Existing Cust'!SO177*0.67*'[2]Key Inputs'!$C$75)+('[2]OR-Res-Cust Growth'!SQ47*0.87*'[2]Key Inputs'!$C$74)+('[2]OR-Res-Cust Growth'!SQ175*0.87*'[2]Key Inputs'!$C$75)+('[2]OR-Com-Existing Cust'!SO49*0.87*'[2]Key Inputs'!$C$78)+('[2]OR-Com-Cust Growth'!SQ47*0.87*'[2]Key Inputs'!$C$78)</f>
        <v>0</v>
      </c>
      <c r="N15" s="133">
        <f>('[2]OR-Res-Existing Cust'!SP49*0.87*'[2]Key Inputs'!$C$74)+('[2]OR-Res-Existing Cust'!SP177*0.67*'[2]Key Inputs'!$C$75)+('[2]OR-Res-Cust Growth'!SR47*0.87*'[2]Key Inputs'!$C$74)+('[2]OR-Res-Cust Growth'!SR175*0.87*'[2]Key Inputs'!$C$75)+('[2]OR-Com-Existing Cust'!SP49*0.87*'[2]Key Inputs'!$C$78)+('[2]OR-Com-Cust Growth'!SR47*0.87*'[2]Key Inputs'!$C$78)</f>
        <v>53024222.722259723</v>
      </c>
      <c r="O15" s="133">
        <f>('[2]OR-Res-Existing Cust'!SQ49*0.87*'[2]Key Inputs'!$C$74)+('[2]OR-Res-Existing Cust'!SQ177*0.67*'[2]Key Inputs'!$C$75)+('[2]OR-Res-Cust Growth'!SS47*0.87*'[2]Key Inputs'!$C$74)+('[2]OR-Res-Cust Growth'!SS175*0.87*'[2]Key Inputs'!$C$75)+('[2]OR-Com-Existing Cust'!SQ49*0.87*'[2]Key Inputs'!$C$78)+('[2]OR-Com-Cust Growth'!SS47*0.87*'[2]Key Inputs'!$C$78)</f>
        <v>78774948.541205019</v>
      </c>
      <c r="P15" s="133">
        <f>('[2]OR-Res-Existing Cust'!SR49*0.87*'[2]Key Inputs'!$C$74)+('[2]OR-Res-Existing Cust'!SR177*0.67*'[2]Key Inputs'!$C$75)+('[2]OR-Res-Cust Growth'!ST47*0.87*'[2]Key Inputs'!$C$74)+('[2]OR-Res-Cust Growth'!ST175*0.87*'[2]Key Inputs'!$C$75)+('[2]OR-Com-Existing Cust'!SR49*0.87*'[2]Key Inputs'!$C$78)+('[2]OR-Com-Cust Growth'!ST47*0.87*'[2]Key Inputs'!$C$78)</f>
        <v>11611712.766671769</v>
      </c>
      <c r="Q15" s="133">
        <f>('[2]OR-Res-Existing Cust'!SS49*0.87*'[2]Key Inputs'!$C$74)+('[2]OR-Res-Existing Cust'!SS177*0.67*'[2]Key Inputs'!$C$75)+('[2]OR-Res-Cust Growth'!SU47*0.87*'[2]Key Inputs'!$C$74)+('[2]OR-Res-Cust Growth'!SU175*0.87*'[2]Key Inputs'!$C$75)+('[2]OR-Com-Existing Cust'!SS49*0.87*'[2]Key Inputs'!$C$78)+('[2]OR-Com-Cust Growth'!SU47*0.87*'[2]Key Inputs'!$C$78)</f>
        <v>41283924.076881826</v>
      </c>
      <c r="R15" s="133">
        <f>('[2]OR-Res-Existing Cust'!ST49*0.87*'[2]Key Inputs'!$C$74)+('[2]OR-Res-Existing Cust'!ST177*0.67*'[2]Key Inputs'!$C$75)+('[2]OR-Res-Cust Growth'!SV47*0.87*'[2]Key Inputs'!$C$74)+('[2]OR-Res-Cust Growth'!SV175*0.87*'[2]Key Inputs'!$C$75)+('[2]OR-Com-Existing Cust'!ST49*0.87*'[2]Key Inputs'!$C$78)+('[2]OR-Com-Cust Growth'!SV47*0.87*'[2]Key Inputs'!$C$78)</f>
        <v>0</v>
      </c>
      <c r="S15" s="133">
        <f>('[2]OR-Res-Existing Cust'!SU49*0.87*'[2]Key Inputs'!$C$74)+('[2]OR-Res-Existing Cust'!SU177*0.67*'[2]Key Inputs'!$C$75)+('[2]OR-Res-Cust Growth'!SW47*0.87*'[2]Key Inputs'!$C$74)+('[2]OR-Res-Cust Growth'!SW175*0.87*'[2]Key Inputs'!$C$75)+('[2]OR-Com-Existing Cust'!SU49*0.87*'[2]Key Inputs'!$C$78)+('[2]OR-Com-Cust Growth'!SW47*0.87*'[2]Key Inputs'!$C$78)</f>
        <v>0</v>
      </c>
      <c r="T15" s="133">
        <f>('[2]OR-Res-Existing Cust'!SV49*0.87*'[2]Key Inputs'!$C$74)+('[2]OR-Res-Existing Cust'!SV177*0.67*'[2]Key Inputs'!$C$75)+('[2]OR-Res-Cust Growth'!SX47*0.87*'[2]Key Inputs'!$C$74)+('[2]OR-Res-Cust Growth'!SX175*0.87*'[2]Key Inputs'!$C$75)+('[2]OR-Com-Existing Cust'!SV49*0.87*'[2]Key Inputs'!$C$78)+('[2]OR-Com-Cust Growth'!SX47*0.87*'[2]Key Inputs'!$C$78)</f>
        <v>53024222.722259723</v>
      </c>
      <c r="U15" s="133">
        <f>('[2]OR-Res-Existing Cust'!SW49*0.87*'[2]Key Inputs'!$C$74)+('[2]OR-Res-Existing Cust'!SW177*0.67*'[2]Key Inputs'!$C$75)+('[2]OR-Res-Cust Growth'!SY47*0.87*'[2]Key Inputs'!$C$74)+('[2]OR-Res-Cust Growth'!SY175*0.87*'[2]Key Inputs'!$C$75)+('[2]OR-Com-Existing Cust'!SW49*0.87*'[2]Key Inputs'!$C$78)+('[2]OR-Com-Cust Growth'!SY47*0.87*'[2]Key Inputs'!$C$78)</f>
        <v>53024222.722259723</v>
      </c>
      <c r="V15" s="133">
        <f>('[2]OR-Res-Existing Cust'!SX49*0.87*'[2]Key Inputs'!$C$74)+('[2]OR-Res-Existing Cust'!SX177*0.67*'[2]Key Inputs'!$C$75)+('[2]OR-Res-Cust Growth'!SZ47*0.87*'[2]Key Inputs'!$C$74)+('[2]OR-Res-Cust Growth'!SZ175*0.87*'[2]Key Inputs'!$C$75)+('[2]OR-Com-Existing Cust'!SX49*0.87*'[2]Key Inputs'!$C$78)+('[2]OR-Com-Cust Growth'!SZ47*0.87*'[2]Key Inputs'!$C$78)</f>
        <v>3483513.8300015307</v>
      </c>
      <c r="X15" s="63">
        <f>(('[2]OR-Res-Existing Cust'!SO113+'[2]OR-Res-Cust Growth'!SQ111)*'[2]Key Inputs'!$C$73)+(('[2]OR-Com-Existing Cust'!SO113+'[2]OR-Com-Cust Growth'!SQ111)*'[2]Key Inputs'!$C$77)</f>
        <v>0</v>
      </c>
      <c r="Y15" s="63">
        <f>(('[2]OR-Res-Existing Cust'!SP113+'[2]OR-Res-Cust Growth'!SR111)*'[2]Key Inputs'!$C$73)+(('[2]OR-Com-Existing Cust'!SP113+'[2]OR-Com-Cust Growth'!SR111)*'[2]Key Inputs'!$C$77)</f>
        <v>4817632.8518543625</v>
      </c>
      <c r="Z15" s="63">
        <f>(('[2]OR-Res-Existing Cust'!SQ113+'[2]OR-Res-Cust Growth'!SS111)*'[2]Key Inputs'!$C$73)+(('[2]OR-Com-Existing Cust'!SQ113+'[2]OR-Com-Cust Growth'!SS111)*'[2]Key Inputs'!$C$77)</f>
        <v>3112330.0340439919</v>
      </c>
      <c r="AA15" s="63">
        <f>(('[2]OR-Res-Existing Cust'!SR113+'[2]OR-Res-Cust Growth'!ST111)*'[2]Key Inputs'!$C$73)+(('[2]OR-Com-Existing Cust'!SR113+'[2]OR-Com-Cust Growth'!ST111)*'[2]Key Inputs'!$C$77)</f>
        <v>11987283.154579757</v>
      </c>
      <c r="AB15" s="63">
        <f>(('[2]OR-Res-Existing Cust'!SS113+'[2]OR-Res-Cust Growth'!SU111)*'[2]Key Inputs'!$C$73)+(('[2]OR-Com-Existing Cust'!SS113+'[2]OR-Com-Cust Growth'!SU111)*'[2]Key Inputs'!$C$77)</f>
        <v>3596184.9463739265</v>
      </c>
      <c r="AC15" s="63">
        <f>(('[2]OR-Res-Existing Cust'!ST113+'[2]OR-Res-Cust Growth'!SV111)*'[2]Key Inputs'!$C$73)+(('[2]OR-Com-Existing Cust'!ST113+'[2]OR-Com-Cust Growth'!SV111)*'[2]Key Inputs'!$C$77)</f>
        <v>0</v>
      </c>
      <c r="AD15" s="63">
        <f>(('[2]OR-Res-Existing Cust'!SU113+'[2]OR-Res-Cust Growth'!SW111)*'[2]Key Inputs'!$C$73)+(('[2]OR-Com-Existing Cust'!SU113+'[2]OR-Com-Cust Growth'!SW111)*'[2]Key Inputs'!$C$77)</f>
        <v>0</v>
      </c>
      <c r="AE15" s="63">
        <f>(('[2]OR-Res-Existing Cust'!SV113+'[2]OR-Res-Cust Growth'!SX111)*'[2]Key Inputs'!$C$73)+(('[2]OR-Com-Existing Cust'!SV113+'[2]OR-Com-Cust Growth'!SX111)*'[2]Key Inputs'!$C$77)</f>
        <v>4817632.8518543625</v>
      </c>
      <c r="AF15" s="63">
        <f>(('[2]OR-Res-Existing Cust'!SW113+'[2]OR-Res-Cust Growth'!SY111)*'[2]Key Inputs'!$C$73)+(('[2]OR-Com-Existing Cust'!SW113+'[2]OR-Com-Cust Growth'!SY111)*'[2]Key Inputs'!$C$77)</f>
        <v>4817632.8518543625</v>
      </c>
      <c r="AG15" s="63">
        <f>(('[2]OR-Res-Existing Cust'!SX113+'[2]OR-Res-Cust Growth'!SZ111)*'[2]Key Inputs'!$C$73)+(('[2]OR-Com-Existing Cust'!SX113+'[2]OR-Com-Cust Growth'!SZ111)*'[2]Key Inputs'!$C$77)</f>
        <v>3596184.9463739265</v>
      </c>
      <c r="AI15" s="152">
        <f>'[6]OR-IndComSales-Annual'!TF17*2.33</f>
        <v>0</v>
      </c>
      <c r="AJ15" s="152">
        <f>'[6]OR-IndComSales-Annual'!TG17*2.33</f>
        <v>0</v>
      </c>
      <c r="AK15" s="152">
        <f>'[6]OR-IndComSales-Annual'!TH17*2.33</f>
        <v>565602.5836996889</v>
      </c>
      <c r="AL15" s="152">
        <f>'[6]OR-IndComSales-Annual'!TI17*2.33</f>
        <v>0</v>
      </c>
      <c r="AM15" s="152">
        <f>'[6]OR-IndComSales-Annual'!TJ17*2.33</f>
        <v>0</v>
      </c>
      <c r="AN15" s="152">
        <f>'[6]OR-IndComSales-Annual'!TK17*2.33</f>
        <v>0</v>
      </c>
      <c r="AO15" s="152">
        <f>'[6]OR-IndComSales-Annual'!TL17*2.33</f>
        <v>0</v>
      </c>
      <c r="AP15" s="152">
        <f>'[6]OR-IndComSales-Annual'!TM17*2.33</f>
        <v>0</v>
      </c>
      <c r="AQ15" s="152">
        <f>'[6]OR-IndComSales-Annual'!TN17*2.33</f>
        <v>0</v>
      </c>
      <c r="AR15" s="152">
        <f>'[6]OR-IndComSales-Annual'!TO17*2.33</f>
        <v>0</v>
      </c>
      <c r="AT15">
        <v>0</v>
      </c>
      <c r="AU15" s="152">
        <f>'[6]OR-Transport-Annual'!TE17*1.79</f>
        <v>1929014.6757000769</v>
      </c>
      <c r="AV15" s="152">
        <f>'[6]OR-Transport-Annual'!TF17*1.79</f>
        <v>3858029.3514001537</v>
      </c>
      <c r="AW15" s="152">
        <f>'[6]OR-Transport-Annual'!TG17*1.79</f>
        <v>1929014.6757000769</v>
      </c>
      <c r="AX15" s="152">
        <f>'[6]OR-Transport-Annual'!TH17*1.79</f>
        <v>1929014.6757000769</v>
      </c>
      <c r="AY15" s="152">
        <f>'[6]OR-Transport-Annual'!TI17*1.79</f>
        <v>0</v>
      </c>
      <c r="AZ15" s="152">
        <f>'[6]OR-Transport-Annual'!TJ17*1.79</f>
        <v>0</v>
      </c>
      <c r="BA15" s="152">
        <f>'[6]OR-Transport-Annual'!TK17*1.79</f>
        <v>1929014.6757000769</v>
      </c>
      <c r="BB15" s="152">
        <f>'[6]OR-Transport-Annual'!TL17*1.79</f>
        <v>1929014.6757000769</v>
      </c>
      <c r="BC15" s="152">
        <f>'[6]OR-Transport-Annual'!TM17*1.79</f>
        <v>964507.33785003843</v>
      </c>
      <c r="BE15" s="133">
        <f t="shared" si="1"/>
        <v>6415744.6589594055</v>
      </c>
      <c r="BF15" s="133">
        <f t="shared" si="0"/>
        <v>66186614.908773564</v>
      </c>
      <c r="BG15" s="133">
        <f t="shared" si="0"/>
        <v>116662422.53476903</v>
      </c>
      <c r="BH15" s="133">
        <f t="shared" si="0"/>
        <v>31943755.255911008</v>
      </c>
      <c r="BI15" s="133">
        <f t="shared" si="0"/>
        <v>47841258.867389366</v>
      </c>
      <c r="BJ15" s="133">
        <f t="shared" si="0"/>
        <v>0</v>
      </c>
      <c r="BK15" s="133">
        <f t="shared" si="0"/>
        <v>0</v>
      </c>
      <c r="BL15" s="133">
        <f t="shared" si="0"/>
        <v>66186614.908773564</v>
      </c>
      <c r="BM15" s="133">
        <f t="shared" si="0"/>
        <v>66186614.908773564</v>
      </c>
      <c r="BN15" s="133">
        <f t="shared" si="0"/>
        <v>14459950.773184901</v>
      </c>
      <c r="BP15" s="153">
        <f>BE15/(([4]Annual!FZ15+[4]Annual!EW15)/10)</f>
        <v>5.9583952548819187E-2</v>
      </c>
      <c r="BQ15" s="153">
        <f>BF15/(([4]Annual!GA15+[4]Annual!EX15)/10)</f>
        <v>0.68790581109849758</v>
      </c>
      <c r="BR15" s="153">
        <f>BG15/(([4]Annual!GB15+[4]Annual!EY15)/10)</f>
        <v>1.2129817572272976</v>
      </c>
      <c r="BS15" s="153">
        <f>BH15/(([4]Annual!GC15+[4]Annual!EZ15)/10)</f>
        <v>0.35367612143611921</v>
      </c>
      <c r="BT15" s="153">
        <f>BI15/(([4]Annual!GD15+[4]Annual!FA15)/10)</f>
        <v>0.57675515527723509</v>
      </c>
      <c r="BU15" s="153">
        <f>BJ15/(([4]Annual!GE15+[4]Annual!FB15)/10)</f>
        <v>0</v>
      </c>
      <c r="BV15" s="153">
        <f>BK15/(([4]Annual!GF15+[4]Annual!FC15)/10)</f>
        <v>0</v>
      </c>
      <c r="BW15" s="153">
        <f>BL15/(([4]Annual!GG15+[4]Annual!FD15)/10)</f>
        <v>0.67108202330400757</v>
      </c>
      <c r="BX15" s="153">
        <f>BM15/(([4]Annual!GH15+[4]Annual!FE15)/10)</f>
        <v>0.66618431442715187</v>
      </c>
      <c r="BY15" s="153">
        <f>BN15/(([4]Annual!GI15+[4]Annual!FF15)/10)</f>
        <v>0.21078713892358045</v>
      </c>
    </row>
    <row r="16" spans="1:77" x14ac:dyDescent="0.25">
      <c r="A16">
        <v>2036</v>
      </c>
      <c r="B16" s="133">
        <f>('[2]OR Res Incremental EE'!ST16+'[2]OR Com Incremental EE'!SI16)*'[5]Energy Efficiency'!$BR$9</f>
        <v>9094566.1312285718</v>
      </c>
      <c r="C16" s="133">
        <f>('[2]OR Res Incremental EE'!SU16+'[2]OR Com Incremental EE'!SJ16)*'[5]Energy Efficiency'!$BR$9</f>
        <v>9094566.1312285718</v>
      </c>
      <c r="D16" s="133">
        <f>('[2]OR Res Incremental EE'!SV16+'[2]OR Com Incremental EE'!SK16)*'[5]Energy Efficiency'!$BR$9</f>
        <v>34678321.151233003</v>
      </c>
      <c r="E16" s="133">
        <f>('[2]OR Res Incremental EE'!SW16+'[2]OR Com Incremental EE'!SL16)*'[5]Energy Efficiency'!$BR$9</f>
        <v>9094566.1312285718</v>
      </c>
      <c r="F16" s="133">
        <f>('[2]OR Res Incremental EE'!SX16+'[2]OR Com Incremental EE'!SM16)*'[5]Energy Efficiency'!$BR$9</f>
        <v>1523021.8543339446</v>
      </c>
      <c r="G16" s="133">
        <v>0</v>
      </c>
      <c r="H16" s="133">
        <v>0</v>
      </c>
      <c r="I16" s="133">
        <f>('[2]OR Res Incremental EE'!TA16+'[2]OR Com Incremental EE'!SP16)*'[5]Energy Efficiency'!$BR$9</f>
        <v>9094566.1312285718</v>
      </c>
      <c r="J16" s="133">
        <f>('[2]OR Res Incremental EE'!TB16+'[2]OR Com Incremental EE'!SQ16)*'[5]Energy Efficiency'!$BR$9</f>
        <v>9094566.1312285718</v>
      </c>
      <c r="K16" s="133">
        <f>('[2]OR Res Incremental EE'!TC16+'[2]OR Com Incremental EE'!SR16)*'[5]Energy Efficiency'!$BR$9</f>
        <v>9094566.1312285718</v>
      </c>
      <c r="L16" s="133"/>
      <c r="M16" s="133">
        <f>('[2]OR-Res-Existing Cust'!SO50*0.87*'[2]Key Inputs'!$C$74)+('[2]OR-Res-Existing Cust'!SO178*0.67*'[2]Key Inputs'!$C$75)+('[2]OR-Res-Cust Growth'!SQ48*0.87*'[2]Key Inputs'!$C$74)+('[2]OR-Res-Cust Growth'!SQ176*0.87*'[2]Key Inputs'!$C$75)+('[2]OR-Com-Existing Cust'!SO50*0.87*'[2]Key Inputs'!$C$78)+('[2]OR-Com-Cust Growth'!SQ48*0.87*'[2]Key Inputs'!$C$78)</f>
        <v>0</v>
      </c>
      <c r="N16" s="133">
        <f>('[2]OR-Res-Existing Cust'!SP50*0.87*'[2]Key Inputs'!$C$74)+('[2]OR-Res-Existing Cust'!SP178*0.67*'[2]Key Inputs'!$C$75)+('[2]OR-Res-Cust Growth'!SR48*0.87*'[2]Key Inputs'!$C$74)+('[2]OR-Res-Cust Growth'!SR176*0.87*'[2]Key Inputs'!$C$75)+('[2]OR-Com-Existing Cust'!SP50*0.87*'[2]Key Inputs'!$C$78)+('[2]OR-Com-Cust Growth'!SR48*0.87*'[2]Key Inputs'!$C$78)</f>
        <v>52844842.072411165</v>
      </c>
      <c r="O16" s="133">
        <f>('[2]OR-Res-Existing Cust'!SQ50*0.87*'[2]Key Inputs'!$C$74)+('[2]OR-Res-Existing Cust'!SQ178*0.67*'[2]Key Inputs'!$C$75)+('[2]OR-Res-Cust Growth'!SS48*0.87*'[2]Key Inputs'!$C$74)+('[2]OR-Res-Cust Growth'!SS176*0.87*'[2]Key Inputs'!$C$75)+('[2]OR-Com-Existing Cust'!SQ50*0.87*'[2]Key Inputs'!$C$78)+('[2]OR-Com-Cust Growth'!SS48*0.87*'[2]Key Inputs'!$C$78)</f>
        <v>88508109.819581836</v>
      </c>
      <c r="P16" s="133">
        <f>('[2]OR-Res-Existing Cust'!SR50*0.87*'[2]Key Inputs'!$C$74)+('[2]OR-Res-Existing Cust'!SR178*0.67*'[2]Key Inputs'!$C$75)+('[2]OR-Res-Cust Growth'!ST48*0.87*'[2]Key Inputs'!$C$74)+('[2]OR-Res-Cust Growth'!ST176*0.87*'[2]Key Inputs'!$C$75)+('[2]OR-Com-Existing Cust'!SR50*0.87*'[2]Key Inputs'!$C$78)+('[2]OR-Com-Cust Growth'!ST48*0.87*'[2]Key Inputs'!$C$78)</f>
        <v>11281653.89537495</v>
      </c>
      <c r="Q16" s="133">
        <f>('[2]OR-Res-Existing Cust'!SS50*0.87*'[2]Key Inputs'!$C$74)+('[2]OR-Res-Existing Cust'!SS178*0.67*'[2]Key Inputs'!$C$75)+('[2]OR-Res-Cust Growth'!SU48*0.87*'[2]Key Inputs'!$C$74)+('[2]OR-Res-Cust Growth'!SU176*0.87*'[2]Key Inputs'!$C$75)+('[2]OR-Com-Existing Cust'!SS50*0.87*'[2]Key Inputs'!$C$78)+('[2]OR-Com-Cust Growth'!SU48*0.87*'[2]Key Inputs'!$C$78)</f>
        <v>41216954.91983223</v>
      </c>
      <c r="R16" s="133">
        <f>('[2]OR-Res-Existing Cust'!ST50*0.87*'[2]Key Inputs'!$C$74)+('[2]OR-Res-Existing Cust'!ST178*0.67*'[2]Key Inputs'!$C$75)+('[2]OR-Res-Cust Growth'!SV48*0.87*'[2]Key Inputs'!$C$74)+('[2]OR-Res-Cust Growth'!SV176*0.87*'[2]Key Inputs'!$C$75)+('[2]OR-Com-Existing Cust'!ST50*0.87*'[2]Key Inputs'!$C$78)+('[2]OR-Com-Cust Growth'!SV48*0.87*'[2]Key Inputs'!$C$78)</f>
        <v>0</v>
      </c>
      <c r="S16" s="133">
        <f>('[2]OR-Res-Existing Cust'!SU50*0.87*'[2]Key Inputs'!$C$74)+('[2]OR-Res-Existing Cust'!SU178*0.67*'[2]Key Inputs'!$C$75)+('[2]OR-Res-Cust Growth'!SW48*0.87*'[2]Key Inputs'!$C$74)+('[2]OR-Res-Cust Growth'!SW176*0.87*'[2]Key Inputs'!$C$75)+('[2]OR-Com-Existing Cust'!SU50*0.87*'[2]Key Inputs'!$C$78)+('[2]OR-Com-Cust Growth'!SW48*0.87*'[2]Key Inputs'!$C$78)</f>
        <v>0</v>
      </c>
      <c r="T16" s="133">
        <f>('[2]OR-Res-Existing Cust'!SV50*0.87*'[2]Key Inputs'!$C$74)+('[2]OR-Res-Existing Cust'!SV178*0.67*'[2]Key Inputs'!$C$75)+('[2]OR-Res-Cust Growth'!SX48*0.87*'[2]Key Inputs'!$C$74)+('[2]OR-Res-Cust Growth'!SX176*0.87*'[2]Key Inputs'!$C$75)+('[2]OR-Com-Existing Cust'!SV50*0.87*'[2]Key Inputs'!$C$78)+('[2]OR-Com-Cust Growth'!SX48*0.87*'[2]Key Inputs'!$C$78)</f>
        <v>52844842.072411165</v>
      </c>
      <c r="U16" s="133">
        <f>('[2]OR-Res-Existing Cust'!SW50*0.87*'[2]Key Inputs'!$C$74)+('[2]OR-Res-Existing Cust'!SW178*0.67*'[2]Key Inputs'!$C$75)+('[2]OR-Res-Cust Growth'!SY48*0.87*'[2]Key Inputs'!$C$74)+('[2]OR-Res-Cust Growth'!SY176*0.87*'[2]Key Inputs'!$C$75)+('[2]OR-Com-Existing Cust'!SW50*0.87*'[2]Key Inputs'!$C$78)+('[2]OR-Com-Cust Growth'!SY48*0.87*'[2]Key Inputs'!$C$78)</f>
        <v>52844842.072411165</v>
      </c>
      <c r="V16" s="133">
        <f>('[2]OR-Res-Existing Cust'!SX50*0.87*'[2]Key Inputs'!$C$74)+('[2]OR-Res-Existing Cust'!SX178*0.67*'[2]Key Inputs'!$C$75)+('[2]OR-Res-Cust Growth'!SZ48*0.87*'[2]Key Inputs'!$C$74)+('[2]OR-Res-Cust Growth'!SZ176*0.87*'[2]Key Inputs'!$C$75)+('[2]OR-Com-Existing Cust'!SX50*0.87*'[2]Key Inputs'!$C$78)+('[2]OR-Com-Cust Growth'!SZ48*0.87*'[2]Key Inputs'!$C$78)</f>
        <v>3384496.1686124844</v>
      </c>
      <c r="X16" s="63">
        <f>(('[2]OR-Res-Existing Cust'!SO114+'[2]OR-Res-Cust Growth'!SQ112)*'[2]Key Inputs'!$C$73)+(('[2]OR-Com-Existing Cust'!SO114+'[2]OR-Com-Cust Growth'!SQ112)*'[2]Key Inputs'!$C$77)</f>
        <v>0</v>
      </c>
      <c r="Y16" s="63">
        <f>(('[2]OR-Res-Existing Cust'!SP114+'[2]OR-Res-Cust Growth'!SR112)*'[2]Key Inputs'!$C$73)+(('[2]OR-Com-Existing Cust'!SP114+'[2]OR-Com-Cust Growth'!SR112)*'[2]Key Inputs'!$C$77)</f>
        <v>4781159.0302566532</v>
      </c>
      <c r="Z16" s="63">
        <f>(('[2]OR-Res-Existing Cust'!SQ114+'[2]OR-Res-Cust Growth'!SS112)*'[2]Key Inputs'!$C$73)+(('[2]OR-Com-Existing Cust'!SQ114+'[2]OR-Com-Cust Growth'!SS112)*'[2]Key Inputs'!$C$77)</f>
        <v>3300753.8492520126</v>
      </c>
      <c r="AA16" s="63">
        <f>(('[2]OR-Res-Existing Cust'!SR114+'[2]OR-Res-Cust Growth'!ST112)*'[2]Key Inputs'!$C$73)+(('[2]OR-Com-Existing Cust'!SR114+'[2]OR-Com-Cust Growth'!ST112)*'[2]Key Inputs'!$C$77)</f>
        <v>11967349.854731958</v>
      </c>
      <c r="AB16" s="63">
        <f>(('[2]OR-Res-Existing Cust'!SS114+'[2]OR-Res-Cust Growth'!SU112)*'[2]Key Inputs'!$C$73)+(('[2]OR-Com-Existing Cust'!SS114+'[2]OR-Com-Cust Growth'!SU112)*'[2]Key Inputs'!$C$77)</f>
        <v>3590204.9564195876</v>
      </c>
      <c r="AC16" s="63">
        <f>(('[2]OR-Res-Existing Cust'!ST114+'[2]OR-Res-Cust Growth'!SV112)*'[2]Key Inputs'!$C$73)+(('[2]OR-Com-Existing Cust'!ST114+'[2]OR-Com-Cust Growth'!SV112)*'[2]Key Inputs'!$C$77)</f>
        <v>0</v>
      </c>
      <c r="AD16" s="63">
        <f>(('[2]OR-Res-Existing Cust'!SU114+'[2]OR-Res-Cust Growth'!SW112)*'[2]Key Inputs'!$C$73)+(('[2]OR-Com-Existing Cust'!SU114+'[2]OR-Com-Cust Growth'!SW112)*'[2]Key Inputs'!$C$77)</f>
        <v>0</v>
      </c>
      <c r="AE16" s="63">
        <f>(('[2]OR-Res-Existing Cust'!SV114+'[2]OR-Res-Cust Growth'!SX112)*'[2]Key Inputs'!$C$73)+(('[2]OR-Com-Existing Cust'!SV114+'[2]OR-Com-Cust Growth'!SX112)*'[2]Key Inputs'!$C$77)</f>
        <v>4781159.0302566532</v>
      </c>
      <c r="AF16" s="63">
        <f>(('[2]OR-Res-Existing Cust'!SW114+'[2]OR-Res-Cust Growth'!SY112)*'[2]Key Inputs'!$C$73)+(('[2]OR-Com-Existing Cust'!SW114+'[2]OR-Com-Cust Growth'!SY112)*'[2]Key Inputs'!$C$77)</f>
        <v>4781159.0302566532</v>
      </c>
      <c r="AG16" s="63">
        <f>(('[2]OR-Res-Existing Cust'!SX114+'[2]OR-Res-Cust Growth'!SZ112)*'[2]Key Inputs'!$C$73)+(('[2]OR-Com-Existing Cust'!SX114+'[2]OR-Com-Cust Growth'!SZ112)*'[2]Key Inputs'!$C$77)</f>
        <v>3590204.9564195876</v>
      </c>
      <c r="AI16" s="152">
        <f>'[6]OR-IndComSales-Annual'!TF18*2.33</f>
        <v>0</v>
      </c>
      <c r="AJ16" s="152">
        <f>'[6]OR-IndComSales-Annual'!TG18*2.33</f>
        <v>0</v>
      </c>
      <c r="AK16" s="152">
        <f>'[6]OR-IndComSales-Annual'!TH18*2.33</f>
        <v>633119.29660009441</v>
      </c>
      <c r="AL16" s="152">
        <f>'[6]OR-IndComSales-Annual'!TI18*2.33</f>
        <v>0</v>
      </c>
      <c r="AM16" s="152">
        <f>'[6]OR-IndComSales-Annual'!TJ18*2.33</f>
        <v>0</v>
      </c>
      <c r="AN16" s="152">
        <f>'[6]OR-IndComSales-Annual'!TK18*2.33</f>
        <v>0</v>
      </c>
      <c r="AO16" s="152">
        <f>'[6]OR-IndComSales-Annual'!TL18*2.33</f>
        <v>0</v>
      </c>
      <c r="AP16" s="152">
        <f>'[6]OR-IndComSales-Annual'!TM18*2.33</f>
        <v>0</v>
      </c>
      <c r="AQ16" s="152">
        <f>'[6]OR-IndComSales-Annual'!TN18*2.33</f>
        <v>0</v>
      </c>
      <c r="AR16" s="152">
        <f>'[6]OR-IndComSales-Annual'!TO18*2.33</f>
        <v>0</v>
      </c>
      <c r="AT16">
        <v>0</v>
      </c>
      <c r="AU16" s="152">
        <f>'[6]OR-Transport-Annual'!TE18*1.79</f>
        <v>1501201.8045401264</v>
      </c>
      <c r="AV16" s="152">
        <f>'[6]OR-Transport-Annual'!TF18*1.79</f>
        <v>3002403.6090802527</v>
      </c>
      <c r="AW16" s="152">
        <f>'[6]OR-Transport-Annual'!TG18*1.79</f>
        <v>1501201.8045401264</v>
      </c>
      <c r="AX16" s="152">
        <f>'[6]OR-Transport-Annual'!TH18*1.79</f>
        <v>1501201.8045401264</v>
      </c>
      <c r="AY16" s="152">
        <f>'[6]OR-Transport-Annual'!TI18*1.79</f>
        <v>0</v>
      </c>
      <c r="AZ16" s="152">
        <f>'[6]OR-Transport-Annual'!TJ18*1.79</f>
        <v>0</v>
      </c>
      <c r="BA16" s="152">
        <f>'[6]OR-Transport-Annual'!TK18*1.79</f>
        <v>1501201.8045401264</v>
      </c>
      <c r="BB16" s="152">
        <f>'[6]OR-Transport-Annual'!TL18*1.79</f>
        <v>1501201.8045401264</v>
      </c>
      <c r="BC16" s="152">
        <f>'[6]OR-Transport-Annual'!TM18*1.79</f>
        <v>750600.90226995654</v>
      </c>
      <c r="BE16" s="133">
        <f t="shared" si="1"/>
        <v>9094566.1312285718</v>
      </c>
      <c r="BF16" s="133">
        <f t="shared" si="0"/>
        <v>68221769.038436517</v>
      </c>
      <c r="BG16" s="133">
        <f t="shared" si="0"/>
        <v>130122707.7257472</v>
      </c>
      <c r="BH16" s="133">
        <f t="shared" si="0"/>
        <v>33844771.685875602</v>
      </c>
      <c r="BI16" s="133">
        <f t="shared" si="0"/>
        <v>47831383.535125889</v>
      </c>
      <c r="BJ16" s="133">
        <f t="shared" si="0"/>
        <v>0</v>
      </c>
      <c r="BK16" s="133">
        <f t="shared" si="0"/>
        <v>0</v>
      </c>
      <c r="BL16" s="133">
        <f t="shared" si="0"/>
        <v>68221769.038436517</v>
      </c>
      <c r="BM16" s="133">
        <f t="shared" si="0"/>
        <v>68221769.038436517</v>
      </c>
      <c r="BN16" s="133">
        <f t="shared" si="0"/>
        <v>16819868.1585306</v>
      </c>
      <c r="BP16" s="153">
        <f>BE16/(([4]Annual!FZ16+[4]Annual!EW16)/10)</f>
        <v>8.3956704000239052E-2</v>
      </c>
      <c r="BQ16" s="153">
        <f>BF16/(([4]Annual!GA16+[4]Annual!EX16)/10)</f>
        <v>0.71130053641252045</v>
      </c>
      <c r="BR16" s="153">
        <f>BG16/(([4]Annual!GB16+[4]Annual!EY16)/10)</f>
        <v>1.3591266639850632</v>
      </c>
      <c r="BS16" s="153">
        <f>BH16/(([4]Annual!GC16+[4]Annual!EZ16)/10)</f>
        <v>0.37785372524107913</v>
      </c>
      <c r="BT16" s="153">
        <f>BI16/(([4]Annual!GD16+[4]Annual!FA16)/10)</f>
        <v>0.58523275557373688</v>
      </c>
      <c r="BU16" s="153">
        <f>BJ16/(([4]Annual!GE16+[4]Annual!FB16)/10)</f>
        <v>0</v>
      </c>
      <c r="BV16" s="153">
        <f>BK16/(([4]Annual!GF16+[4]Annual!FC16)/10)</f>
        <v>0</v>
      </c>
      <c r="BW16" s="153">
        <f>BL16/(([4]Annual!GG16+[4]Annual!FD16)/10)</f>
        <v>0.69335422927140411</v>
      </c>
      <c r="BX16" s="153">
        <f>BM16/(([4]Annual!GH16+[4]Annual!FE16)/10)</f>
        <v>0.68797386858861231</v>
      </c>
      <c r="BY16" s="153">
        <f>BN16/(([4]Annual!GI16+[4]Annual!FF16)/10)</f>
        <v>0.24515374510690668</v>
      </c>
    </row>
    <row r="17" spans="1:77" x14ac:dyDescent="0.25">
      <c r="A17">
        <v>2037</v>
      </c>
      <c r="B17" s="133">
        <f>('[2]OR Res Incremental EE'!ST17+'[2]OR Com Incremental EE'!SI17)*'[5]Energy Efficiency'!$BR$9</f>
        <v>9207832.7500687335</v>
      </c>
      <c r="C17" s="133">
        <f>('[2]OR Res Incremental EE'!SU17+'[2]OR Com Incremental EE'!SJ17)*'[5]Energy Efficiency'!$BR$9</f>
        <v>9207832.7500687335</v>
      </c>
      <c r="D17" s="133">
        <f>('[2]OR Res Incremental EE'!SV17+'[2]OR Com Incremental EE'!SK17)*'[5]Energy Efficiency'!$BR$9</f>
        <v>35524578.788985759</v>
      </c>
      <c r="E17" s="133">
        <f>('[2]OR Res Incremental EE'!SW17+'[2]OR Com Incremental EE'!SL17)*'[5]Energy Efficiency'!$BR$9</f>
        <v>9207832.7500687335</v>
      </c>
      <c r="F17" s="133">
        <f>('[2]OR Res Incremental EE'!SX17+'[2]OR Com Incremental EE'!SM17)*'[5]Energy Efficiency'!$BR$9</f>
        <v>1430191.5998421141</v>
      </c>
      <c r="G17" s="133">
        <v>0</v>
      </c>
      <c r="H17" s="133">
        <v>0</v>
      </c>
      <c r="I17" s="133">
        <f>('[2]OR Res Incremental EE'!TA17+'[2]OR Com Incremental EE'!SP17)*'[5]Energy Efficiency'!$BR$9</f>
        <v>9207832.7500687335</v>
      </c>
      <c r="J17" s="133">
        <f>('[2]OR Res Incremental EE'!TB17+'[2]OR Com Incremental EE'!SQ17)*'[5]Energy Efficiency'!$BR$9</f>
        <v>9207832.7500687335</v>
      </c>
      <c r="K17" s="133">
        <f>('[2]OR Res Incremental EE'!TC17+'[2]OR Com Incremental EE'!SR17)*'[5]Energy Efficiency'!$BR$9</f>
        <v>9207832.7500687335</v>
      </c>
      <c r="L17" s="133"/>
      <c r="M17" s="133">
        <f>('[2]OR-Res-Existing Cust'!SO51*0.87*'[2]Key Inputs'!$C$74)+('[2]OR-Res-Existing Cust'!SO179*0.67*'[2]Key Inputs'!$C$75)+('[2]OR-Res-Cust Growth'!SQ49*0.87*'[2]Key Inputs'!$C$74)+('[2]OR-Res-Cust Growth'!SQ177*0.87*'[2]Key Inputs'!$C$75)+('[2]OR-Com-Existing Cust'!SO51*0.87*'[2]Key Inputs'!$C$78)+('[2]OR-Com-Cust Growth'!SQ49*0.87*'[2]Key Inputs'!$C$78)</f>
        <v>0</v>
      </c>
      <c r="N17" s="133">
        <f>('[2]OR-Res-Existing Cust'!SP51*0.87*'[2]Key Inputs'!$C$74)+('[2]OR-Res-Existing Cust'!SP179*0.67*'[2]Key Inputs'!$C$75)+('[2]OR-Res-Cust Growth'!SR49*0.87*'[2]Key Inputs'!$C$74)+('[2]OR-Res-Cust Growth'!SR177*0.87*'[2]Key Inputs'!$C$75)+('[2]OR-Com-Existing Cust'!SP51*0.87*'[2]Key Inputs'!$C$78)+('[2]OR-Com-Cust Growth'!SR49*0.87*'[2]Key Inputs'!$C$78)</f>
        <v>49806702.910531543</v>
      </c>
      <c r="O17" s="133">
        <f>('[2]OR-Res-Existing Cust'!SQ51*0.87*'[2]Key Inputs'!$C$74)+('[2]OR-Res-Existing Cust'!SQ179*0.67*'[2]Key Inputs'!$C$75)+('[2]OR-Res-Cust Growth'!SS49*0.87*'[2]Key Inputs'!$C$74)+('[2]OR-Res-Cust Growth'!SS177*0.87*'[2]Key Inputs'!$C$75)+('[2]OR-Com-Existing Cust'!SQ51*0.87*'[2]Key Inputs'!$C$78)+('[2]OR-Com-Cust Growth'!SS49*0.87*'[2]Key Inputs'!$C$78)</f>
        <v>95432608.206689715</v>
      </c>
      <c r="P17" s="133">
        <f>('[2]OR-Res-Existing Cust'!SR51*0.87*'[2]Key Inputs'!$C$74)+('[2]OR-Res-Existing Cust'!SR179*0.67*'[2]Key Inputs'!$C$75)+('[2]OR-Res-Cust Growth'!ST49*0.87*'[2]Key Inputs'!$C$74)+('[2]OR-Res-Cust Growth'!ST177*0.87*'[2]Key Inputs'!$C$75)+('[2]OR-Com-Existing Cust'!SR51*0.87*'[2]Key Inputs'!$C$78)+('[2]OR-Com-Cust Growth'!ST49*0.87*'[2]Key Inputs'!$C$78)</f>
        <v>10602691.605585821</v>
      </c>
      <c r="Q17" s="133">
        <f>('[2]OR-Res-Existing Cust'!SS51*0.87*'[2]Key Inputs'!$C$74)+('[2]OR-Res-Existing Cust'!SS179*0.67*'[2]Key Inputs'!$C$75)+('[2]OR-Res-Cust Growth'!SU49*0.87*'[2]Key Inputs'!$C$74)+('[2]OR-Res-Cust Growth'!SU177*0.87*'[2]Key Inputs'!$C$75)+('[2]OR-Com-Existing Cust'!SS51*0.87*'[2]Key Inputs'!$C$78)+('[2]OR-Com-Cust Growth'!SU49*0.87*'[2]Key Inputs'!$C$78)</f>
        <v>38395245.333791792</v>
      </c>
      <c r="R17" s="133">
        <f>('[2]OR-Res-Existing Cust'!ST51*0.87*'[2]Key Inputs'!$C$74)+('[2]OR-Res-Existing Cust'!ST179*0.67*'[2]Key Inputs'!$C$75)+('[2]OR-Res-Cust Growth'!SV49*0.87*'[2]Key Inputs'!$C$74)+('[2]OR-Res-Cust Growth'!SV177*0.87*'[2]Key Inputs'!$C$75)+('[2]OR-Com-Existing Cust'!ST51*0.87*'[2]Key Inputs'!$C$78)+('[2]OR-Com-Cust Growth'!SV49*0.87*'[2]Key Inputs'!$C$78)</f>
        <v>0</v>
      </c>
      <c r="S17" s="133">
        <f>('[2]OR-Res-Existing Cust'!SU51*0.87*'[2]Key Inputs'!$C$74)+('[2]OR-Res-Existing Cust'!SU179*0.67*'[2]Key Inputs'!$C$75)+('[2]OR-Res-Cust Growth'!SW49*0.87*'[2]Key Inputs'!$C$74)+('[2]OR-Res-Cust Growth'!SW177*0.87*'[2]Key Inputs'!$C$75)+('[2]OR-Com-Existing Cust'!SU51*0.87*'[2]Key Inputs'!$C$78)+('[2]OR-Com-Cust Growth'!SW49*0.87*'[2]Key Inputs'!$C$78)</f>
        <v>0</v>
      </c>
      <c r="T17" s="133">
        <f>('[2]OR-Res-Existing Cust'!SV51*0.87*'[2]Key Inputs'!$C$74)+('[2]OR-Res-Existing Cust'!SV179*0.67*'[2]Key Inputs'!$C$75)+('[2]OR-Res-Cust Growth'!SX49*0.87*'[2]Key Inputs'!$C$74)+('[2]OR-Res-Cust Growth'!SX177*0.87*'[2]Key Inputs'!$C$75)+('[2]OR-Com-Existing Cust'!SV51*0.87*'[2]Key Inputs'!$C$78)+('[2]OR-Com-Cust Growth'!SX49*0.87*'[2]Key Inputs'!$C$78)</f>
        <v>49806702.910531543</v>
      </c>
      <c r="U17" s="133">
        <f>('[2]OR-Res-Existing Cust'!SW51*0.87*'[2]Key Inputs'!$C$74)+('[2]OR-Res-Existing Cust'!SW179*0.67*'[2]Key Inputs'!$C$75)+('[2]OR-Res-Cust Growth'!SY49*0.87*'[2]Key Inputs'!$C$74)+('[2]OR-Res-Cust Growth'!SY177*0.87*'[2]Key Inputs'!$C$75)+('[2]OR-Com-Existing Cust'!SW51*0.87*'[2]Key Inputs'!$C$78)+('[2]OR-Com-Cust Growth'!SY49*0.87*'[2]Key Inputs'!$C$78)</f>
        <v>49806702.910531543</v>
      </c>
      <c r="V17" s="133">
        <f>('[2]OR-Res-Existing Cust'!SX51*0.87*'[2]Key Inputs'!$C$74)+('[2]OR-Res-Existing Cust'!SX179*0.67*'[2]Key Inputs'!$C$75)+('[2]OR-Res-Cust Growth'!SZ49*0.87*'[2]Key Inputs'!$C$74)+('[2]OR-Res-Cust Growth'!SZ177*0.87*'[2]Key Inputs'!$C$75)+('[2]OR-Com-Existing Cust'!SX51*0.87*'[2]Key Inputs'!$C$78)+('[2]OR-Com-Cust Growth'!SZ49*0.87*'[2]Key Inputs'!$C$78)</f>
        <v>3180807.4816757464</v>
      </c>
      <c r="X17" s="63">
        <f>(('[2]OR-Res-Existing Cust'!SO115+'[2]OR-Res-Cust Growth'!SQ113)*'[2]Key Inputs'!$C$73)+(('[2]OR-Com-Existing Cust'!SO115+'[2]OR-Com-Cust Growth'!SQ113)*'[2]Key Inputs'!$C$77)</f>
        <v>0</v>
      </c>
      <c r="Y17" s="63">
        <f>(('[2]OR-Res-Existing Cust'!SP115+'[2]OR-Res-Cust Growth'!SR113)*'[2]Key Inputs'!$C$73)+(('[2]OR-Com-Existing Cust'!SP115+'[2]OR-Com-Cust Growth'!SR113)*'[2]Key Inputs'!$C$77)</f>
        <v>4704352.9099646444</v>
      </c>
      <c r="Z17" s="63">
        <f>(('[2]OR-Res-Existing Cust'!SQ115+'[2]OR-Res-Cust Growth'!SS113)*'[2]Key Inputs'!$C$73)+(('[2]OR-Com-Existing Cust'!SQ115+'[2]OR-Com-Cust Growth'!SS113)*'[2]Key Inputs'!$C$77)</f>
        <v>3359851.6676313211</v>
      </c>
      <c r="AA17" s="63">
        <f>(('[2]OR-Res-Existing Cust'!SR115+'[2]OR-Res-Cust Growth'!ST113)*'[2]Key Inputs'!$C$73)+(('[2]OR-Com-Existing Cust'!SR115+'[2]OR-Com-Cust Growth'!ST113)*'[2]Key Inputs'!$C$77)</f>
        <v>11948397.135347899</v>
      </c>
      <c r="AB17" s="63">
        <f>(('[2]OR-Res-Existing Cust'!SS115+'[2]OR-Res-Cust Growth'!SU113)*'[2]Key Inputs'!$C$73)+(('[2]OR-Com-Existing Cust'!SS115+'[2]OR-Com-Cust Growth'!SU113)*'[2]Key Inputs'!$C$77)</f>
        <v>3584519.1406043698</v>
      </c>
      <c r="AC17" s="63">
        <f>(('[2]OR-Res-Existing Cust'!ST115+'[2]OR-Res-Cust Growth'!SV113)*'[2]Key Inputs'!$C$73)+(('[2]OR-Com-Existing Cust'!ST115+'[2]OR-Com-Cust Growth'!SV113)*'[2]Key Inputs'!$C$77)</f>
        <v>0</v>
      </c>
      <c r="AD17" s="63">
        <f>(('[2]OR-Res-Existing Cust'!SU115+'[2]OR-Res-Cust Growth'!SW113)*'[2]Key Inputs'!$C$73)+(('[2]OR-Com-Existing Cust'!SU115+'[2]OR-Com-Cust Growth'!SW113)*'[2]Key Inputs'!$C$77)</f>
        <v>0</v>
      </c>
      <c r="AE17" s="63">
        <f>(('[2]OR-Res-Existing Cust'!SV115+'[2]OR-Res-Cust Growth'!SX113)*'[2]Key Inputs'!$C$73)+(('[2]OR-Com-Existing Cust'!SV115+'[2]OR-Com-Cust Growth'!SX113)*'[2]Key Inputs'!$C$77)</f>
        <v>4704352.9099646444</v>
      </c>
      <c r="AF17" s="63">
        <f>(('[2]OR-Res-Existing Cust'!SW115+'[2]OR-Res-Cust Growth'!SY113)*'[2]Key Inputs'!$C$73)+(('[2]OR-Com-Existing Cust'!SW115+'[2]OR-Com-Cust Growth'!SY113)*'[2]Key Inputs'!$C$77)</f>
        <v>4704352.9099646444</v>
      </c>
      <c r="AG17" s="63">
        <f>(('[2]OR-Res-Existing Cust'!SX115+'[2]OR-Res-Cust Growth'!SZ113)*'[2]Key Inputs'!$C$73)+(('[2]OR-Com-Existing Cust'!SX115+'[2]OR-Com-Cust Growth'!SZ113)*'[2]Key Inputs'!$C$77)</f>
        <v>3584519.1406043698</v>
      </c>
      <c r="AI17" s="152">
        <f>'[6]OR-IndComSales-Annual'!TF19*2.33</f>
        <v>0</v>
      </c>
      <c r="AJ17" s="152">
        <f>'[6]OR-IndComSales-Annual'!TG19*2.33</f>
        <v>0</v>
      </c>
      <c r="AK17" s="152">
        <f>'[6]OR-IndComSales-Annual'!TH19*2.33</f>
        <v>-7484.006600094438</v>
      </c>
      <c r="AL17" s="152">
        <f>'[6]OR-IndComSales-Annual'!TI19*2.33</f>
        <v>0</v>
      </c>
      <c r="AM17" s="152">
        <f>'[6]OR-IndComSales-Annual'!TJ19*2.33</f>
        <v>0</v>
      </c>
      <c r="AN17" s="152">
        <f>'[6]OR-IndComSales-Annual'!TK19*2.33</f>
        <v>0</v>
      </c>
      <c r="AO17" s="152">
        <f>'[6]OR-IndComSales-Annual'!TL19*2.33</f>
        <v>0</v>
      </c>
      <c r="AP17" s="152">
        <f>'[6]OR-IndComSales-Annual'!TM19*2.33</f>
        <v>0</v>
      </c>
      <c r="AQ17" s="152">
        <f>'[6]OR-IndComSales-Annual'!TN19*2.33</f>
        <v>0</v>
      </c>
      <c r="AR17" s="152">
        <f>'[6]OR-IndComSales-Annual'!TO19*2.33</f>
        <v>0</v>
      </c>
      <c r="AT17">
        <v>0</v>
      </c>
      <c r="AU17" s="152">
        <f>'[6]OR-Transport-Annual'!TE19*1.79</f>
        <v>1096934.3803700376</v>
      </c>
      <c r="AV17" s="152">
        <f>'[6]OR-Transport-Annual'!TF19*1.79</f>
        <v>2193868.7607400753</v>
      </c>
      <c r="AW17" s="152">
        <f>'[6]OR-Transport-Annual'!TG19*1.79</f>
        <v>1096934.3803700376</v>
      </c>
      <c r="AX17" s="152">
        <f>'[6]OR-Transport-Annual'!TH19*1.79</f>
        <v>1096934.3803700376</v>
      </c>
      <c r="AY17" s="152">
        <f>'[6]OR-Transport-Annual'!TI19*1.79</f>
        <v>0</v>
      </c>
      <c r="AZ17" s="152">
        <f>'[6]OR-Transport-Annual'!TJ19*1.79</f>
        <v>0</v>
      </c>
      <c r="BA17" s="152">
        <f>'[6]OR-Transport-Annual'!TK19*1.79</f>
        <v>1096934.3803700376</v>
      </c>
      <c r="BB17" s="152">
        <f>'[6]OR-Transport-Annual'!TL19*1.79</f>
        <v>1096934.3803700376</v>
      </c>
      <c r="BC17" s="152">
        <f>'[6]OR-Transport-Annual'!TM19*1.79</f>
        <v>548467.19018512545</v>
      </c>
      <c r="BE17" s="133">
        <f t="shared" si="1"/>
        <v>9207832.7500687335</v>
      </c>
      <c r="BF17" s="133">
        <f t="shared" si="0"/>
        <v>64815822.950934954</v>
      </c>
      <c r="BG17" s="133">
        <f t="shared" si="0"/>
        <v>136503423.41744679</v>
      </c>
      <c r="BH17" s="133">
        <f t="shared" si="0"/>
        <v>32855855.871372491</v>
      </c>
      <c r="BI17" s="133">
        <f t="shared" si="0"/>
        <v>44506890.454608314</v>
      </c>
      <c r="BJ17" s="133">
        <f t="shared" si="0"/>
        <v>0</v>
      </c>
      <c r="BK17" s="133">
        <f t="shared" si="0"/>
        <v>0</v>
      </c>
      <c r="BL17" s="133">
        <f t="shared" si="0"/>
        <v>64815822.950934954</v>
      </c>
      <c r="BM17" s="133">
        <f t="shared" si="0"/>
        <v>64815822.950934954</v>
      </c>
      <c r="BN17" s="133">
        <f t="shared" si="0"/>
        <v>16521626.562533975</v>
      </c>
      <c r="BP17" s="153">
        <f>BE17/(([4]Annual!FZ17+[4]Annual!EW17)/10)</f>
        <v>8.5573085068909038E-2</v>
      </c>
      <c r="BQ17" s="153">
        <f>BF17/(([4]Annual!GA17+[4]Annual!EX17)/10)</f>
        <v>0.68721726927543592</v>
      </c>
      <c r="BR17" s="153">
        <f>BG17/(([4]Annual!GB17+[4]Annual!EY17)/10)</f>
        <v>1.4521672813530446</v>
      </c>
      <c r="BS17" s="153">
        <f>BH17/(([4]Annual!GC17+[4]Annual!EZ17)/10)</f>
        <v>0.37541810837837747</v>
      </c>
      <c r="BT17" s="153">
        <f>BI17/(([4]Annual!GD17+[4]Annual!FA17)/10)</f>
        <v>0.56002816569555791</v>
      </c>
      <c r="BU17" s="153">
        <f>BJ17/(([4]Annual!GE17+[4]Annual!FB17)/10)</f>
        <v>0</v>
      </c>
      <c r="BV17" s="153">
        <f>BK17/(([4]Annual!GF17+[4]Annual!FC17)/10)</f>
        <v>0</v>
      </c>
      <c r="BW17" s="153">
        <f>BL17/(([4]Annual!GG17+[4]Annual!FD17)/10)</f>
        <v>0.6693412317216455</v>
      </c>
      <c r="BX17" s="153">
        <f>BM17/(([4]Annual!GH17+[4]Annual!FE17)/10)</f>
        <v>0.66387268232783403</v>
      </c>
      <c r="BY17" s="153">
        <f>BN17/(([4]Annual!GI17+[4]Annual!FF17)/10)</f>
        <v>0.24425547368100897</v>
      </c>
    </row>
    <row r="18" spans="1:77" x14ac:dyDescent="0.25">
      <c r="A18">
        <v>2038</v>
      </c>
      <c r="B18" s="133">
        <f>('[2]OR Res Incremental EE'!ST18+'[2]OR Com Incremental EE'!SI18)*'[5]Energy Efficiency'!$BR$9</f>
        <v>8150533.9623077484</v>
      </c>
      <c r="C18" s="133">
        <f>('[2]OR Res Incremental EE'!SU18+'[2]OR Com Incremental EE'!SJ18)*'[5]Energy Efficiency'!$BR$9</f>
        <v>8150533.9623077484</v>
      </c>
      <c r="D18" s="133">
        <f>('[2]OR Res Incremental EE'!SV18+'[2]OR Com Incremental EE'!SK18)*'[5]Energy Efficiency'!$BR$9</f>
        <v>35380531.45979733</v>
      </c>
      <c r="E18" s="133">
        <f>('[2]OR Res Incremental EE'!SW18+'[2]OR Com Incremental EE'!SL18)*'[5]Energy Efficiency'!$BR$9</f>
        <v>8150533.9623077484</v>
      </c>
      <c r="F18" s="133">
        <f>('[2]OR Res Incremental EE'!SX18+'[2]OR Com Incremental EE'!SM18)*'[5]Energy Efficiency'!$BR$9</f>
        <v>1119980.5806634983</v>
      </c>
      <c r="G18" s="133">
        <v>0</v>
      </c>
      <c r="H18" s="133">
        <v>0</v>
      </c>
      <c r="I18" s="133">
        <f>('[2]OR Res Incremental EE'!TA18+'[2]OR Com Incremental EE'!SP18)*'[5]Energy Efficiency'!$BR$9</f>
        <v>8150533.9623077484</v>
      </c>
      <c r="J18" s="133">
        <f>('[2]OR Res Incremental EE'!TB18+'[2]OR Com Incremental EE'!SQ18)*'[5]Energy Efficiency'!$BR$9</f>
        <v>8150533.9623077484</v>
      </c>
      <c r="K18" s="133">
        <f>('[2]OR Res Incremental EE'!TC18+'[2]OR Com Incremental EE'!SR18)*'[5]Energy Efficiency'!$BR$9</f>
        <v>8150533.9623077484</v>
      </c>
      <c r="L18" s="133"/>
      <c r="M18" s="133">
        <f>('[2]OR-Res-Existing Cust'!SO52*0.87*'[2]Key Inputs'!$C$74)+('[2]OR-Res-Existing Cust'!SO180*0.67*'[2]Key Inputs'!$C$75)+('[2]OR-Res-Cust Growth'!SQ50*0.87*'[2]Key Inputs'!$C$74)+('[2]OR-Res-Cust Growth'!SQ178*0.87*'[2]Key Inputs'!$C$75)+('[2]OR-Com-Existing Cust'!SO52*0.87*'[2]Key Inputs'!$C$78)+('[2]OR-Com-Cust Growth'!SQ50*0.87*'[2]Key Inputs'!$C$78)</f>
        <v>0</v>
      </c>
      <c r="N18" s="133">
        <f>('[2]OR-Res-Existing Cust'!SP52*0.87*'[2]Key Inputs'!$C$74)+('[2]OR-Res-Existing Cust'!SP180*0.67*'[2]Key Inputs'!$C$75)+('[2]OR-Res-Cust Growth'!SR50*0.87*'[2]Key Inputs'!$C$74)+('[2]OR-Res-Cust Growth'!SR178*0.87*'[2]Key Inputs'!$C$75)+('[2]OR-Com-Existing Cust'!SP52*0.87*'[2]Key Inputs'!$C$78)+('[2]OR-Com-Cust Growth'!SR50*0.87*'[2]Key Inputs'!$C$78)</f>
        <v>46824832.821963243</v>
      </c>
      <c r="O18" s="133">
        <f>('[2]OR-Res-Existing Cust'!SQ52*0.87*'[2]Key Inputs'!$C$74)+('[2]OR-Res-Existing Cust'!SQ180*0.67*'[2]Key Inputs'!$C$75)+('[2]OR-Res-Cust Growth'!SS50*0.87*'[2]Key Inputs'!$C$74)+('[2]OR-Res-Cust Growth'!SS178*0.87*'[2]Key Inputs'!$C$75)+('[2]OR-Com-Existing Cust'!SQ52*0.87*'[2]Key Inputs'!$C$78)+('[2]OR-Com-Cust Growth'!SS50*0.87*'[2]Key Inputs'!$C$78)</f>
        <v>100712599.79275522</v>
      </c>
      <c r="P18" s="133">
        <f>('[2]OR-Res-Existing Cust'!SR52*0.87*'[2]Key Inputs'!$C$74)+('[2]OR-Res-Existing Cust'!SR180*0.67*'[2]Key Inputs'!$C$75)+('[2]OR-Res-Cust Growth'!ST50*0.87*'[2]Key Inputs'!$C$74)+('[2]OR-Res-Cust Growth'!ST178*0.87*'[2]Key Inputs'!$C$75)+('[2]OR-Com-Existing Cust'!SR52*0.87*'[2]Key Inputs'!$C$78)+('[2]OR-Com-Cust Growth'!ST50*0.87*'[2]Key Inputs'!$C$78)</f>
        <v>10070451.078187466</v>
      </c>
      <c r="Q18" s="133">
        <f>('[2]OR-Res-Existing Cust'!SS52*0.87*'[2]Key Inputs'!$C$74)+('[2]OR-Res-Existing Cust'!SS180*0.67*'[2]Key Inputs'!$C$75)+('[2]OR-Res-Cust Growth'!SU50*0.87*'[2]Key Inputs'!$C$74)+('[2]OR-Res-Cust Growth'!SU178*0.87*'[2]Key Inputs'!$C$75)+('[2]OR-Com-Existing Cust'!SS52*0.87*'[2]Key Inputs'!$C$78)+('[2]OR-Com-Cust Growth'!SU50*0.87*'[2]Key Inputs'!$C$78)</f>
        <v>35585289.929953635</v>
      </c>
      <c r="R18" s="133">
        <f>('[2]OR-Res-Existing Cust'!ST52*0.87*'[2]Key Inputs'!$C$74)+('[2]OR-Res-Existing Cust'!ST180*0.67*'[2]Key Inputs'!$C$75)+('[2]OR-Res-Cust Growth'!SV50*0.87*'[2]Key Inputs'!$C$74)+('[2]OR-Res-Cust Growth'!SV178*0.87*'[2]Key Inputs'!$C$75)+('[2]OR-Com-Existing Cust'!ST52*0.87*'[2]Key Inputs'!$C$78)+('[2]OR-Com-Cust Growth'!SV50*0.87*'[2]Key Inputs'!$C$78)</f>
        <v>0</v>
      </c>
      <c r="S18" s="133">
        <f>('[2]OR-Res-Existing Cust'!SU52*0.87*'[2]Key Inputs'!$C$74)+('[2]OR-Res-Existing Cust'!SU180*0.67*'[2]Key Inputs'!$C$75)+('[2]OR-Res-Cust Growth'!SW50*0.87*'[2]Key Inputs'!$C$74)+('[2]OR-Res-Cust Growth'!SW178*0.87*'[2]Key Inputs'!$C$75)+('[2]OR-Com-Existing Cust'!SU52*0.87*'[2]Key Inputs'!$C$78)+('[2]OR-Com-Cust Growth'!SW50*0.87*'[2]Key Inputs'!$C$78)</f>
        <v>0</v>
      </c>
      <c r="T18" s="133">
        <f>('[2]OR-Res-Existing Cust'!SV52*0.87*'[2]Key Inputs'!$C$74)+('[2]OR-Res-Existing Cust'!SV180*0.67*'[2]Key Inputs'!$C$75)+('[2]OR-Res-Cust Growth'!SX50*0.87*'[2]Key Inputs'!$C$74)+('[2]OR-Res-Cust Growth'!SX178*0.87*'[2]Key Inputs'!$C$75)+('[2]OR-Com-Existing Cust'!SV52*0.87*'[2]Key Inputs'!$C$78)+('[2]OR-Com-Cust Growth'!SX50*0.87*'[2]Key Inputs'!$C$78)</f>
        <v>46824832.821963243</v>
      </c>
      <c r="U18" s="133">
        <f>('[2]OR-Res-Existing Cust'!SW52*0.87*'[2]Key Inputs'!$C$74)+('[2]OR-Res-Existing Cust'!SW180*0.67*'[2]Key Inputs'!$C$75)+('[2]OR-Res-Cust Growth'!SY50*0.87*'[2]Key Inputs'!$C$74)+('[2]OR-Res-Cust Growth'!SY178*0.87*'[2]Key Inputs'!$C$75)+('[2]OR-Com-Existing Cust'!SW52*0.87*'[2]Key Inputs'!$C$78)+('[2]OR-Com-Cust Growth'!SY50*0.87*'[2]Key Inputs'!$C$78)</f>
        <v>46824832.821963243</v>
      </c>
      <c r="V18" s="133">
        <f>('[2]OR-Res-Existing Cust'!SX52*0.87*'[2]Key Inputs'!$C$74)+('[2]OR-Res-Existing Cust'!SX180*0.67*'[2]Key Inputs'!$C$75)+('[2]OR-Res-Cust Growth'!SZ50*0.87*'[2]Key Inputs'!$C$74)+('[2]OR-Res-Cust Growth'!SZ178*0.87*'[2]Key Inputs'!$C$75)+('[2]OR-Com-Existing Cust'!SX52*0.87*'[2]Key Inputs'!$C$78)+('[2]OR-Com-Cust Growth'!SZ50*0.87*'[2]Key Inputs'!$C$78)</f>
        <v>3021135.3234562399</v>
      </c>
      <c r="X18" s="63">
        <f>(('[2]OR-Res-Existing Cust'!SO116+'[2]OR-Res-Cust Growth'!SQ114)*'[2]Key Inputs'!$C$73)+(('[2]OR-Com-Existing Cust'!SO116+'[2]OR-Com-Cust Growth'!SQ114)*'[2]Key Inputs'!$C$77)</f>
        <v>0</v>
      </c>
      <c r="Y18" s="63">
        <f>(('[2]OR-Res-Existing Cust'!SP116+'[2]OR-Res-Cust Growth'!SR114)*'[2]Key Inputs'!$C$73)+(('[2]OR-Com-Existing Cust'!SP116+'[2]OR-Com-Cust Growth'!SR114)*'[2]Key Inputs'!$C$77)</f>
        <v>4641222.1520683533</v>
      </c>
      <c r="Z18" s="63">
        <f>(('[2]OR-Res-Existing Cust'!SQ116+'[2]OR-Res-Cust Growth'!SS114)*'[2]Key Inputs'!$C$73)+(('[2]OR-Com-Existing Cust'!SQ116+'[2]OR-Com-Cust Growth'!SS114)*'[2]Key Inputs'!$C$77)</f>
        <v>3388152.9144060472</v>
      </c>
      <c r="AA18" s="63">
        <f>(('[2]OR-Res-Existing Cust'!SR116+'[2]OR-Res-Cust Growth'!ST114)*'[2]Key Inputs'!$C$73)+(('[2]OR-Com-Existing Cust'!SR116+'[2]OR-Com-Cust Growth'!ST114)*'[2]Key Inputs'!$C$77)</f>
        <v>11930204.230516441</v>
      </c>
      <c r="AB18" s="63">
        <f>(('[2]OR-Res-Existing Cust'!SS116+'[2]OR-Res-Cust Growth'!SU114)*'[2]Key Inputs'!$C$73)+(('[2]OR-Com-Existing Cust'!SS116+'[2]OR-Com-Cust Growth'!SU114)*'[2]Key Inputs'!$C$77)</f>
        <v>3579061.2691549323</v>
      </c>
      <c r="AC18" s="63">
        <f>(('[2]OR-Res-Existing Cust'!ST116+'[2]OR-Res-Cust Growth'!SV114)*'[2]Key Inputs'!$C$73)+(('[2]OR-Com-Existing Cust'!ST116+'[2]OR-Com-Cust Growth'!SV114)*'[2]Key Inputs'!$C$77)</f>
        <v>0</v>
      </c>
      <c r="AD18" s="63">
        <f>(('[2]OR-Res-Existing Cust'!SU116+'[2]OR-Res-Cust Growth'!SW114)*'[2]Key Inputs'!$C$73)+(('[2]OR-Com-Existing Cust'!SU116+'[2]OR-Com-Cust Growth'!SW114)*'[2]Key Inputs'!$C$77)</f>
        <v>0</v>
      </c>
      <c r="AE18" s="63">
        <f>(('[2]OR-Res-Existing Cust'!SV116+'[2]OR-Res-Cust Growth'!SX114)*'[2]Key Inputs'!$C$73)+(('[2]OR-Com-Existing Cust'!SV116+'[2]OR-Com-Cust Growth'!SX114)*'[2]Key Inputs'!$C$77)</f>
        <v>4641222.1520683533</v>
      </c>
      <c r="AF18" s="63">
        <f>(('[2]OR-Res-Existing Cust'!SW116+'[2]OR-Res-Cust Growth'!SY114)*'[2]Key Inputs'!$C$73)+(('[2]OR-Com-Existing Cust'!SW116+'[2]OR-Com-Cust Growth'!SY114)*'[2]Key Inputs'!$C$77)</f>
        <v>4641222.1520683533</v>
      </c>
      <c r="AG18" s="63">
        <f>(('[2]OR-Res-Existing Cust'!SX116+'[2]OR-Res-Cust Growth'!SZ114)*'[2]Key Inputs'!$C$73)+(('[2]OR-Com-Existing Cust'!SX116+'[2]OR-Com-Cust Growth'!SZ114)*'[2]Key Inputs'!$C$77)</f>
        <v>3579061.2691549323</v>
      </c>
      <c r="AI18" s="152">
        <f>'[6]OR-IndComSales-Annual'!TF20*2.33</f>
        <v>0</v>
      </c>
      <c r="AJ18" s="152">
        <f>'[6]OR-IndComSales-Annual'!TG20*2.33</f>
        <v>0</v>
      </c>
      <c r="AK18" s="152">
        <f>'[6]OR-IndComSales-Annual'!TH20*2.33</f>
        <v>292047.8852002722</v>
      </c>
      <c r="AL18" s="152">
        <f>'[6]OR-IndComSales-Annual'!TI20*2.33</f>
        <v>0</v>
      </c>
      <c r="AM18" s="152">
        <f>'[6]OR-IndComSales-Annual'!TJ20*2.33</f>
        <v>0</v>
      </c>
      <c r="AN18" s="152">
        <f>'[6]OR-IndComSales-Annual'!TK20*2.33</f>
        <v>0</v>
      </c>
      <c r="AO18" s="152">
        <f>'[6]OR-IndComSales-Annual'!TL20*2.33</f>
        <v>0</v>
      </c>
      <c r="AP18" s="152">
        <f>'[6]OR-IndComSales-Annual'!TM20*2.33</f>
        <v>0</v>
      </c>
      <c r="AQ18" s="152">
        <f>'[6]OR-IndComSales-Annual'!TN20*2.33</f>
        <v>0</v>
      </c>
      <c r="AR18" s="152">
        <f>'[6]OR-IndComSales-Annual'!TO20*2.33</f>
        <v>0</v>
      </c>
      <c r="AT18">
        <v>0</v>
      </c>
      <c r="AU18" s="152">
        <f>'[6]OR-Transport-Annual'!TE20*1.79</f>
        <v>933930.58469990618</v>
      </c>
      <c r="AV18" s="152">
        <f>'[6]OR-Transport-Annual'!TF20*1.79</f>
        <v>1867861.1693998124</v>
      </c>
      <c r="AW18" s="152">
        <f>'[6]OR-Transport-Annual'!TG20*1.79</f>
        <v>933930.58469990618</v>
      </c>
      <c r="AX18" s="152">
        <f>'[6]OR-Transport-Annual'!TH20*1.79</f>
        <v>933930.58469990618</v>
      </c>
      <c r="AY18" s="152">
        <f>'[6]OR-Transport-Annual'!TI20*1.79</f>
        <v>0</v>
      </c>
      <c r="AZ18" s="152">
        <f>'[6]OR-Transport-Annual'!TJ20*1.79</f>
        <v>0</v>
      </c>
      <c r="BA18" s="152">
        <f>'[6]OR-Transport-Annual'!TK20*1.79</f>
        <v>933930.58469990618</v>
      </c>
      <c r="BB18" s="152">
        <f>'[6]OR-Transport-Annual'!TL20*1.79</f>
        <v>933930.58469990618</v>
      </c>
      <c r="BC18" s="152">
        <f>'[6]OR-Transport-Annual'!TM20*1.79</f>
        <v>466965.29234995309</v>
      </c>
      <c r="BE18" s="133">
        <f t="shared" si="1"/>
        <v>8150533.9623077484</v>
      </c>
      <c r="BF18" s="133">
        <f t="shared" si="1"/>
        <v>60550519.521039255</v>
      </c>
      <c r="BG18" s="133">
        <f t="shared" si="1"/>
        <v>141641193.22155866</v>
      </c>
      <c r="BH18" s="133">
        <f t="shared" si="1"/>
        <v>31085119.855711561</v>
      </c>
      <c r="BI18" s="133">
        <f t="shared" si="1"/>
        <v>41218262.364471965</v>
      </c>
      <c r="BJ18" s="133">
        <f t="shared" si="1"/>
        <v>0</v>
      </c>
      <c r="BK18" s="133">
        <f t="shared" si="1"/>
        <v>0</v>
      </c>
      <c r="BL18" s="133">
        <f t="shared" si="1"/>
        <v>60550519.521039255</v>
      </c>
      <c r="BM18" s="133">
        <f t="shared" si="1"/>
        <v>60550519.521039255</v>
      </c>
      <c r="BN18" s="133">
        <f t="shared" si="1"/>
        <v>15217695.847268874</v>
      </c>
      <c r="BP18" s="153">
        <f>BE18/(([4]Annual!FZ18+[4]Annual!EW18)/10)</f>
        <v>7.5784285244612726E-2</v>
      </c>
      <c r="BQ18" s="153">
        <f>BF18/(([4]Annual!GA18+[4]Annual!EX18)/10)</f>
        <v>0.64838906717714706</v>
      </c>
      <c r="BR18" s="153">
        <f>BG18/(([4]Annual!GB18+[4]Annual!EY18)/10)</f>
        <v>1.525571170670508</v>
      </c>
      <c r="BS18" s="153">
        <f>BH18/(([4]Annual!GC18+[4]Annual!EZ18)/10)</f>
        <v>0.36081370580894007</v>
      </c>
      <c r="BT18" s="153">
        <f>BI18/(([4]Annual!GD18+[4]Annual!FA18)/10)</f>
        <v>0.52969461756917335</v>
      </c>
      <c r="BU18" s="153">
        <f>BJ18/(([4]Annual!GE18+[4]Annual!FB18)/10)</f>
        <v>0</v>
      </c>
      <c r="BV18" s="153">
        <f>BK18/(([4]Annual!GF18+[4]Annual!FC18)/10)</f>
        <v>0</v>
      </c>
      <c r="BW18" s="153">
        <f>BL18/(([4]Annual!GG18+[4]Annual!FD18)/10)</f>
        <v>0.63114230262005555</v>
      </c>
      <c r="BX18" s="153">
        <f>BM18/(([4]Annual!GH18+[4]Annual!FE18)/10)</f>
        <v>0.62576925265006955</v>
      </c>
      <c r="BY18" s="153">
        <f>BN18/(([4]Annual!GI18+[4]Annual!FF18)/10)</f>
        <v>0.22673983840820194</v>
      </c>
    </row>
    <row r="19" spans="1:77" x14ac:dyDescent="0.25">
      <c r="A19">
        <v>2039</v>
      </c>
      <c r="B19" s="133">
        <f>('[2]OR Res Incremental EE'!ST19+'[2]OR Com Incremental EE'!SI19)*'[5]Energy Efficiency'!$BR$9</f>
        <v>8444566.8615232054</v>
      </c>
      <c r="C19" s="133">
        <f>('[2]OR Res Incremental EE'!SU19+'[2]OR Com Incremental EE'!SJ19)*'[5]Energy Efficiency'!$BR$9</f>
        <v>8444566.8615232054</v>
      </c>
      <c r="D19" s="133">
        <f>('[2]OR Res Incremental EE'!SV19+'[2]OR Com Incremental EE'!SK19)*'[5]Energy Efficiency'!$BR$9</f>
        <v>36460660.935947224</v>
      </c>
      <c r="E19" s="133">
        <f>('[2]OR Res Incremental EE'!SW19+'[2]OR Com Incremental EE'!SL19)*'[5]Energy Efficiency'!$BR$9</f>
        <v>8444566.8615232054</v>
      </c>
      <c r="F19" s="133">
        <f>('[2]OR Res Incremental EE'!SX19+'[2]OR Com Incremental EE'!SM19)*'[5]Energy Efficiency'!$BR$9</f>
        <v>1095146.2289769922</v>
      </c>
      <c r="G19" s="133">
        <v>0</v>
      </c>
      <c r="H19" s="133">
        <v>0</v>
      </c>
      <c r="I19" s="133">
        <f>('[2]OR Res Incremental EE'!TA19+'[2]OR Com Incremental EE'!SP19)*'[5]Energy Efficiency'!$BR$9</f>
        <v>8444566.8615232054</v>
      </c>
      <c r="J19" s="133">
        <f>('[2]OR Res Incremental EE'!TB19+'[2]OR Com Incremental EE'!SQ19)*'[5]Energy Efficiency'!$BR$9</f>
        <v>8444566.8615232054</v>
      </c>
      <c r="K19" s="133">
        <f>('[2]OR Res Incremental EE'!TC19+'[2]OR Com Incremental EE'!SR19)*'[5]Energy Efficiency'!$BR$9</f>
        <v>8444566.8615232054</v>
      </c>
      <c r="L19" s="133"/>
      <c r="M19" s="133">
        <f>('[2]OR-Res-Existing Cust'!SO53*0.87*'[2]Key Inputs'!$C$74)+('[2]OR-Res-Existing Cust'!SO181*0.67*'[2]Key Inputs'!$C$75)+('[2]OR-Res-Cust Growth'!SQ51*0.87*'[2]Key Inputs'!$C$74)+('[2]OR-Res-Cust Growth'!SQ179*0.87*'[2]Key Inputs'!$C$75)+('[2]OR-Com-Existing Cust'!SO53*0.87*'[2]Key Inputs'!$C$78)+('[2]OR-Com-Cust Growth'!SQ51*0.87*'[2]Key Inputs'!$C$78)</f>
        <v>0</v>
      </c>
      <c r="N19" s="133">
        <f>('[2]OR-Res-Existing Cust'!SP53*0.87*'[2]Key Inputs'!$C$74)+('[2]OR-Res-Existing Cust'!SP181*0.67*'[2]Key Inputs'!$C$75)+('[2]OR-Res-Cust Growth'!SR51*0.87*'[2]Key Inputs'!$C$74)+('[2]OR-Res-Cust Growth'!SR179*0.87*'[2]Key Inputs'!$C$75)+('[2]OR-Com-Existing Cust'!SP53*0.87*'[2]Key Inputs'!$C$78)+('[2]OR-Com-Cust Growth'!SR51*0.87*'[2]Key Inputs'!$C$78)</f>
        <v>43956529.50151667</v>
      </c>
      <c r="O19" s="133">
        <f>('[2]OR-Res-Existing Cust'!SQ53*0.87*'[2]Key Inputs'!$C$74)+('[2]OR-Res-Existing Cust'!SQ181*0.67*'[2]Key Inputs'!$C$75)+('[2]OR-Res-Cust Growth'!SS51*0.87*'[2]Key Inputs'!$C$74)+('[2]OR-Res-Cust Growth'!SS179*0.87*'[2]Key Inputs'!$C$75)+('[2]OR-Com-Existing Cust'!SQ53*0.87*'[2]Key Inputs'!$C$78)+('[2]OR-Com-Cust Growth'!SS51*0.87*'[2]Key Inputs'!$C$78)</f>
        <v>103821962.99011695</v>
      </c>
      <c r="P19" s="133">
        <f>('[2]OR-Res-Existing Cust'!SR53*0.87*'[2]Key Inputs'!$C$74)+('[2]OR-Res-Existing Cust'!SR181*0.67*'[2]Key Inputs'!$C$75)+('[2]OR-Res-Cust Growth'!ST51*0.87*'[2]Key Inputs'!$C$74)+('[2]OR-Res-Cust Growth'!ST179*0.87*'[2]Key Inputs'!$C$75)+('[2]OR-Com-Existing Cust'!SR53*0.87*'[2]Key Inputs'!$C$78)+('[2]OR-Com-Cust Growth'!ST51*0.87*'[2]Key Inputs'!$C$78)</f>
        <v>9883286.3402726185</v>
      </c>
      <c r="Q19" s="133">
        <f>('[2]OR-Res-Existing Cust'!SS53*0.87*'[2]Key Inputs'!$C$74)+('[2]OR-Res-Existing Cust'!SS181*0.67*'[2]Key Inputs'!$C$75)+('[2]OR-Res-Cust Growth'!SU51*0.87*'[2]Key Inputs'!$C$74)+('[2]OR-Res-Cust Growth'!SU179*0.87*'[2]Key Inputs'!$C$75)+('[2]OR-Com-Existing Cust'!SS53*0.87*'[2]Key Inputs'!$C$78)+('[2]OR-Com-Cust Growth'!SU51*0.87*'[2]Key Inputs'!$C$78)</f>
        <v>32785244.840315264</v>
      </c>
      <c r="R19" s="133">
        <f>('[2]OR-Res-Existing Cust'!ST53*0.87*'[2]Key Inputs'!$C$74)+('[2]OR-Res-Existing Cust'!ST181*0.67*'[2]Key Inputs'!$C$75)+('[2]OR-Res-Cust Growth'!SV51*0.87*'[2]Key Inputs'!$C$74)+('[2]OR-Res-Cust Growth'!SV179*0.87*'[2]Key Inputs'!$C$75)+('[2]OR-Com-Existing Cust'!ST53*0.87*'[2]Key Inputs'!$C$78)+('[2]OR-Com-Cust Growth'!SV51*0.87*'[2]Key Inputs'!$C$78)</f>
        <v>0</v>
      </c>
      <c r="S19" s="133">
        <f>('[2]OR-Res-Existing Cust'!SU53*0.87*'[2]Key Inputs'!$C$74)+('[2]OR-Res-Existing Cust'!SU181*0.67*'[2]Key Inputs'!$C$75)+('[2]OR-Res-Cust Growth'!SW51*0.87*'[2]Key Inputs'!$C$74)+('[2]OR-Res-Cust Growth'!SW179*0.87*'[2]Key Inputs'!$C$75)+('[2]OR-Com-Existing Cust'!SU53*0.87*'[2]Key Inputs'!$C$78)+('[2]OR-Com-Cust Growth'!SW51*0.87*'[2]Key Inputs'!$C$78)</f>
        <v>0</v>
      </c>
      <c r="T19" s="133">
        <f>('[2]OR-Res-Existing Cust'!SV53*0.87*'[2]Key Inputs'!$C$74)+('[2]OR-Res-Existing Cust'!SV181*0.67*'[2]Key Inputs'!$C$75)+('[2]OR-Res-Cust Growth'!SX51*0.87*'[2]Key Inputs'!$C$74)+('[2]OR-Res-Cust Growth'!SX179*0.87*'[2]Key Inputs'!$C$75)+('[2]OR-Com-Existing Cust'!SV53*0.87*'[2]Key Inputs'!$C$78)+('[2]OR-Com-Cust Growth'!SX51*0.87*'[2]Key Inputs'!$C$78)</f>
        <v>43956529.50151667</v>
      </c>
      <c r="U19" s="133">
        <f>('[2]OR-Res-Existing Cust'!SW53*0.87*'[2]Key Inputs'!$C$74)+('[2]OR-Res-Existing Cust'!SW181*0.67*'[2]Key Inputs'!$C$75)+('[2]OR-Res-Cust Growth'!SY51*0.87*'[2]Key Inputs'!$C$74)+('[2]OR-Res-Cust Growth'!SY179*0.87*'[2]Key Inputs'!$C$75)+('[2]OR-Com-Existing Cust'!SW53*0.87*'[2]Key Inputs'!$C$78)+('[2]OR-Com-Cust Growth'!SY51*0.87*'[2]Key Inputs'!$C$78)</f>
        <v>43956529.50151667</v>
      </c>
      <c r="V19" s="133">
        <f>('[2]OR-Res-Existing Cust'!SX53*0.87*'[2]Key Inputs'!$C$74)+('[2]OR-Res-Existing Cust'!SX181*0.67*'[2]Key Inputs'!$C$75)+('[2]OR-Res-Cust Growth'!SZ51*0.87*'[2]Key Inputs'!$C$74)+('[2]OR-Res-Cust Growth'!SZ179*0.87*'[2]Key Inputs'!$C$75)+('[2]OR-Com-Existing Cust'!SX53*0.87*'[2]Key Inputs'!$C$78)+('[2]OR-Com-Cust Growth'!SZ51*0.87*'[2]Key Inputs'!$C$78)</f>
        <v>2964985.9020817853</v>
      </c>
      <c r="X19" s="63">
        <f>(('[2]OR-Res-Existing Cust'!SO117+'[2]OR-Res-Cust Growth'!SQ115)*'[2]Key Inputs'!$C$73)+(('[2]OR-Com-Existing Cust'!SO117+'[2]OR-Com-Cust Growth'!SQ115)*'[2]Key Inputs'!$C$77)</f>
        <v>0</v>
      </c>
      <c r="Y19" s="63">
        <f>(('[2]OR-Res-Existing Cust'!SP117+'[2]OR-Res-Cust Growth'!SR115)*'[2]Key Inputs'!$C$73)+(('[2]OR-Com-Existing Cust'!SP117+'[2]OR-Com-Cust Growth'!SR115)*'[2]Key Inputs'!$C$77)</f>
        <v>4609951.3463834208</v>
      </c>
      <c r="Z19" s="63">
        <f>(('[2]OR-Res-Existing Cust'!SQ117+'[2]OR-Res-Cust Growth'!SS115)*'[2]Key Inputs'!$C$73)+(('[2]OR-Com-Existing Cust'!SQ117+'[2]OR-Com-Cust Growth'!SS115)*'[2]Key Inputs'!$C$77)</f>
        <v>3436490.4971693489</v>
      </c>
      <c r="AA19" s="63">
        <f>(('[2]OR-Res-Existing Cust'!SR117+'[2]OR-Res-Cust Growth'!ST115)*'[2]Key Inputs'!$C$73)+(('[2]OR-Com-Existing Cust'!SR117+'[2]OR-Com-Cust Growth'!ST115)*'[2]Key Inputs'!$C$77)</f>
        <v>11912249.85453587</v>
      </c>
      <c r="AB19" s="63">
        <f>(('[2]OR-Res-Existing Cust'!SS117+'[2]OR-Res-Cust Growth'!SU115)*'[2]Key Inputs'!$C$73)+(('[2]OR-Com-Existing Cust'!SS117+'[2]OR-Com-Cust Growth'!SU115)*'[2]Key Inputs'!$C$77)</f>
        <v>3573674.9563607611</v>
      </c>
      <c r="AC19" s="63">
        <f>(('[2]OR-Res-Existing Cust'!ST117+'[2]OR-Res-Cust Growth'!SV115)*'[2]Key Inputs'!$C$73)+(('[2]OR-Com-Existing Cust'!ST117+'[2]OR-Com-Cust Growth'!SV115)*'[2]Key Inputs'!$C$77)</f>
        <v>0</v>
      </c>
      <c r="AD19" s="63">
        <f>(('[2]OR-Res-Existing Cust'!SU117+'[2]OR-Res-Cust Growth'!SW115)*'[2]Key Inputs'!$C$73)+(('[2]OR-Com-Existing Cust'!SU117+'[2]OR-Com-Cust Growth'!SW115)*'[2]Key Inputs'!$C$77)</f>
        <v>0</v>
      </c>
      <c r="AE19" s="63">
        <f>(('[2]OR-Res-Existing Cust'!SV117+'[2]OR-Res-Cust Growth'!SX115)*'[2]Key Inputs'!$C$73)+(('[2]OR-Com-Existing Cust'!SV117+'[2]OR-Com-Cust Growth'!SX115)*'[2]Key Inputs'!$C$77)</f>
        <v>4609951.3463834208</v>
      </c>
      <c r="AF19" s="63">
        <f>(('[2]OR-Res-Existing Cust'!SW117+'[2]OR-Res-Cust Growth'!SY115)*'[2]Key Inputs'!$C$73)+(('[2]OR-Com-Existing Cust'!SW117+'[2]OR-Com-Cust Growth'!SY115)*'[2]Key Inputs'!$C$77)</f>
        <v>4609951.3463834208</v>
      </c>
      <c r="AG19" s="63">
        <f>(('[2]OR-Res-Existing Cust'!SX117+'[2]OR-Res-Cust Growth'!SZ115)*'[2]Key Inputs'!$C$73)+(('[2]OR-Com-Existing Cust'!SX117+'[2]OR-Com-Cust Growth'!SZ115)*'[2]Key Inputs'!$C$77)</f>
        <v>3573674.9563607611</v>
      </c>
      <c r="AI19" s="152">
        <f>'[6]OR-IndComSales-Annual'!TF21*2.33</f>
        <v>0</v>
      </c>
      <c r="AJ19" s="152">
        <f>'[6]OR-IndComSales-Annual'!TG21*2.33</f>
        <v>0</v>
      </c>
      <c r="AK19" s="152">
        <f>'[6]OR-IndComSales-Annual'!TH21*2.33</f>
        <v>292177.96909995558</v>
      </c>
      <c r="AL19" s="152">
        <f>'[6]OR-IndComSales-Annual'!TI21*2.33</f>
        <v>0</v>
      </c>
      <c r="AM19" s="152">
        <f>'[6]OR-IndComSales-Annual'!TJ21*2.33</f>
        <v>0</v>
      </c>
      <c r="AN19" s="152">
        <f>'[6]OR-IndComSales-Annual'!TK21*2.33</f>
        <v>0</v>
      </c>
      <c r="AO19" s="152">
        <f>'[6]OR-IndComSales-Annual'!TL21*2.33</f>
        <v>0</v>
      </c>
      <c r="AP19" s="152">
        <f>'[6]OR-IndComSales-Annual'!TM21*2.33</f>
        <v>0</v>
      </c>
      <c r="AQ19" s="152">
        <f>'[6]OR-IndComSales-Annual'!TN21*2.33</f>
        <v>0</v>
      </c>
      <c r="AR19" s="152">
        <f>'[6]OR-IndComSales-Annual'!TO21*2.33</f>
        <v>0</v>
      </c>
      <c r="AT19">
        <v>0</v>
      </c>
      <c r="AU19" s="152">
        <f>'[6]OR-Transport-Annual'!TE21*1.79</f>
        <v>856879.52992000338</v>
      </c>
      <c r="AV19" s="152">
        <f>'[6]OR-Transport-Annual'!TF21*1.79</f>
        <v>1713759.0598400068</v>
      </c>
      <c r="AW19" s="152">
        <f>'[6]OR-Transport-Annual'!TG21*1.79</f>
        <v>856879.52992000338</v>
      </c>
      <c r="AX19" s="152">
        <f>'[6]OR-Transport-Annual'!TH21*1.79</f>
        <v>856879.52992000338</v>
      </c>
      <c r="AY19" s="152">
        <f>'[6]OR-Transport-Annual'!TI21*1.79</f>
        <v>0</v>
      </c>
      <c r="AZ19" s="152">
        <f>'[6]OR-Transport-Annual'!TJ21*1.79</f>
        <v>0</v>
      </c>
      <c r="BA19" s="152">
        <f>'[6]OR-Transport-Annual'!TK21*1.79</f>
        <v>856879.52992000338</v>
      </c>
      <c r="BB19" s="152">
        <f>'[6]OR-Transport-Annual'!TL21*1.79</f>
        <v>856879.52992000338</v>
      </c>
      <c r="BC19" s="152">
        <f>'[6]OR-Transport-Annual'!TM21*1.79</f>
        <v>428439.76496000169</v>
      </c>
      <c r="BE19" s="133">
        <f t="shared" si="1"/>
        <v>8444566.8615232054</v>
      </c>
      <c r="BF19" s="133">
        <f t="shared" si="1"/>
        <v>57867927.2393433</v>
      </c>
      <c r="BG19" s="133">
        <f t="shared" si="1"/>
        <v>145725051.4521735</v>
      </c>
      <c r="BH19" s="133">
        <f t="shared" si="1"/>
        <v>31096982.586251698</v>
      </c>
      <c r="BI19" s="133">
        <f t="shared" si="1"/>
        <v>38310945.555573024</v>
      </c>
      <c r="BJ19" s="133">
        <f t="shared" si="1"/>
        <v>0</v>
      </c>
      <c r="BK19" s="133">
        <f t="shared" si="1"/>
        <v>0</v>
      </c>
      <c r="BL19" s="133">
        <f t="shared" si="1"/>
        <v>57867927.2393433</v>
      </c>
      <c r="BM19" s="133">
        <f t="shared" si="1"/>
        <v>57867927.2393433</v>
      </c>
      <c r="BN19" s="133">
        <f t="shared" si="1"/>
        <v>15411667.484925754</v>
      </c>
      <c r="BP19" s="153">
        <f>BE19/(([4]Annual!FZ19+[4]Annual!EW19)/10)</f>
        <v>7.8575255754236739E-2</v>
      </c>
      <c r="BQ19" s="153">
        <f>BF19/(([4]Annual!GA19+[4]Annual!EX19)/10)</f>
        <v>0.62561249878697112</v>
      </c>
      <c r="BR19" s="153">
        <f>BG19/(([4]Annual!GB19+[4]Annual!EY19)/10)</f>
        <v>1.5890380543993976</v>
      </c>
      <c r="BS19" s="153">
        <f>BH19/(([4]Annual!GC19+[4]Annual!EZ19)/10)</f>
        <v>0.36657511215447741</v>
      </c>
      <c r="BT19" s="153">
        <f>BI19/(([4]Annual!GD19+[4]Annual!FA19)/10)</f>
        <v>0.5027366977359321</v>
      </c>
      <c r="BU19" s="153">
        <f>BJ19/(([4]Annual!GE19+[4]Annual!FB19)/10)</f>
        <v>0</v>
      </c>
      <c r="BV19" s="153">
        <f>BK19/(([4]Annual!GF19+[4]Annual!FC19)/10)</f>
        <v>0</v>
      </c>
      <c r="BW19" s="153">
        <f>BL19/(([4]Annual!GG19+[4]Annual!FD19)/10)</f>
        <v>0.60862216917779499</v>
      </c>
      <c r="BX19" s="153">
        <f>BM19/(([4]Annual!GH19+[4]Annual!FE19)/10)</f>
        <v>0.60324394074037013</v>
      </c>
      <c r="BY19" s="153">
        <f>BN19/(([4]Annual!GI19+[4]Annual!FF19)/10)</f>
        <v>0.23137232933632143</v>
      </c>
    </row>
    <row r="20" spans="1:77" x14ac:dyDescent="0.25">
      <c r="A20">
        <v>2040</v>
      </c>
      <c r="B20" s="133">
        <f>('[2]OR Res Incremental EE'!ST20+'[2]OR Com Incremental EE'!SI20)*'[5]Energy Efficiency'!$BR$9</f>
        <v>9168283.8537528105</v>
      </c>
      <c r="C20" s="133">
        <f>('[2]OR Res Incremental EE'!SU20+'[2]OR Com Incremental EE'!SJ20)*'[5]Energy Efficiency'!$BR$9</f>
        <v>9168283.8537528105</v>
      </c>
      <c r="D20" s="133">
        <f>('[2]OR Res Incremental EE'!SV20+'[2]OR Com Incremental EE'!SK20)*'[5]Energy Efficiency'!$BR$9</f>
        <v>38238647.338640444</v>
      </c>
      <c r="E20" s="133">
        <f>('[2]OR Res Incremental EE'!SW20+'[2]OR Com Incremental EE'!SL20)*'[5]Energy Efficiency'!$BR$9</f>
        <v>9168283.8537528105</v>
      </c>
      <c r="F20" s="133">
        <f>('[2]OR Res Incremental EE'!SX20+'[2]OR Com Incremental EE'!SM20)*'[5]Energy Efficiency'!$BR$9</f>
        <v>1154961.4013493236</v>
      </c>
      <c r="G20" s="133">
        <v>0</v>
      </c>
      <c r="H20" s="133">
        <v>0</v>
      </c>
      <c r="I20" s="133">
        <f>('[2]OR Res Incremental EE'!TA20+'[2]OR Com Incremental EE'!SP20)*'[5]Energy Efficiency'!$BR$9</f>
        <v>9168283.8537528105</v>
      </c>
      <c r="J20" s="133">
        <f>('[2]OR Res Incremental EE'!TB20+'[2]OR Com Incremental EE'!SQ20)*'[5]Energy Efficiency'!$BR$9</f>
        <v>9168283.8537528105</v>
      </c>
      <c r="K20" s="133">
        <f>('[2]OR Res Incremental EE'!TC20+'[2]OR Com Incremental EE'!SR20)*'[5]Energy Efficiency'!$BR$9</f>
        <v>9168283.8537528105</v>
      </c>
      <c r="L20" s="133"/>
      <c r="M20" s="133">
        <f>('[2]OR-Res-Existing Cust'!SO54*0.87*'[2]Key Inputs'!$C$74)+('[2]OR-Res-Existing Cust'!SO182*0.67*'[2]Key Inputs'!$C$75)+('[2]OR-Res-Cust Growth'!SQ52*0.87*'[2]Key Inputs'!$C$74)+('[2]OR-Res-Cust Growth'!SQ180*0.87*'[2]Key Inputs'!$C$75)+('[2]OR-Com-Existing Cust'!SO54*0.87*'[2]Key Inputs'!$C$78)+('[2]OR-Com-Cust Growth'!SQ52*0.87*'[2]Key Inputs'!$C$78)</f>
        <v>0</v>
      </c>
      <c r="N20" s="133">
        <f>('[2]OR-Res-Existing Cust'!SP54*0.87*'[2]Key Inputs'!$C$74)+('[2]OR-Res-Existing Cust'!SP182*0.67*'[2]Key Inputs'!$C$75)+('[2]OR-Res-Cust Growth'!SR52*0.87*'[2]Key Inputs'!$C$74)+('[2]OR-Res-Cust Growth'!SR180*0.87*'[2]Key Inputs'!$C$75)+('[2]OR-Com-Existing Cust'!SP54*0.87*'[2]Key Inputs'!$C$78)+('[2]OR-Com-Cust Growth'!SR52*0.87*'[2]Key Inputs'!$C$78)</f>
        <v>41097285.804052189</v>
      </c>
      <c r="O20" s="133">
        <f>('[2]OR-Res-Existing Cust'!SQ54*0.87*'[2]Key Inputs'!$C$74)+('[2]OR-Res-Existing Cust'!SQ182*0.67*'[2]Key Inputs'!$C$75)+('[2]OR-Res-Cust Growth'!SS52*0.87*'[2]Key Inputs'!$C$74)+('[2]OR-Res-Cust Growth'!SS180*0.87*'[2]Key Inputs'!$C$75)+('[2]OR-Com-Existing Cust'!SQ54*0.87*'[2]Key Inputs'!$C$78)+('[2]OR-Com-Cust Growth'!SS52*0.87*'[2]Key Inputs'!$C$78)</f>
        <v>105283144.74284324</v>
      </c>
      <c r="P20" s="133">
        <f>('[2]OR-Res-Existing Cust'!SR54*0.87*'[2]Key Inputs'!$C$74)+('[2]OR-Res-Existing Cust'!SR182*0.67*'[2]Key Inputs'!$C$75)+('[2]OR-Res-Cust Growth'!ST52*0.87*'[2]Key Inputs'!$C$74)+('[2]OR-Res-Cust Growth'!ST180*0.87*'[2]Key Inputs'!$C$75)+('[2]OR-Com-Existing Cust'!SR54*0.87*'[2]Key Inputs'!$C$78)+('[2]OR-Com-Cust Growth'!ST52*0.87*'[2]Key Inputs'!$C$78)</f>
        <v>9695624.1327953562</v>
      </c>
      <c r="Q20" s="133">
        <f>('[2]OR-Res-Existing Cust'!SS54*0.87*'[2]Key Inputs'!$C$74)+('[2]OR-Res-Existing Cust'!SS182*0.67*'[2]Key Inputs'!$C$75)+('[2]OR-Res-Cust Growth'!SU52*0.87*'[2]Key Inputs'!$C$74)+('[2]OR-Res-Cust Growth'!SU180*0.87*'[2]Key Inputs'!$C$75)+('[2]OR-Com-Existing Cust'!SS54*0.87*'[2]Key Inputs'!$C$78)+('[2]OR-Com-Cust Growth'!SU52*0.87*'[2]Key Inputs'!$C$78)</f>
        <v>29994436.732727341</v>
      </c>
      <c r="R20" s="133">
        <f>('[2]OR-Res-Existing Cust'!ST54*0.87*'[2]Key Inputs'!$C$74)+('[2]OR-Res-Existing Cust'!ST182*0.67*'[2]Key Inputs'!$C$75)+('[2]OR-Res-Cust Growth'!SV52*0.87*'[2]Key Inputs'!$C$74)+('[2]OR-Res-Cust Growth'!SV180*0.87*'[2]Key Inputs'!$C$75)+('[2]OR-Com-Existing Cust'!ST54*0.87*'[2]Key Inputs'!$C$78)+('[2]OR-Com-Cust Growth'!SV52*0.87*'[2]Key Inputs'!$C$78)</f>
        <v>0</v>
      </c>
      <c r="S20" s="133">
        <f>('[2]OR-Res-Existing Cust'!SU54*0.87*'[2]Key Inputs'!$C$74)+('[2]OR-Res-Existing Cust'!SU182*0.67*'[2]Key Inputs'!$C$75)+('[2]OR-Res-Cust Growth'!SW52*0.87*'[2]Key Inputs'!$C$74)+('[2]OR-Res-Cust Growth'!SW180*0.87*'[2]Key Inputs'!$C$75)+('[2]OR-Com-Existing Cust'!SU54*0.87*'[2]Key Inputs'!$C$78)+('[2]OR-Com-Cust Growth'!SW52*0.87*'[2]Key Inputs'!$C$78)</f>
        <v>0</v>
      </c>
      <c r="T20" s="133">
        <f>('[2]OR-Res-Existing Cust'!SV54*0.87*'[2]Key Inputs'!$C$74)+('[2]OR-Res-Existing Cust'!SV182*0.67*'[2]Key Inputs'!$C$75)+('[2]OR-Res-Cust Growth'!SX52*0.87*'[2]Key Inputs'!$C$74)+('[2]OR-Res-Cust Growth'!SX180*0.87*'[2]Key Inputs'!$C$75)+('[2]OR-Com-Existing Cust'!SV54*0.87*'[2]Key Inputs'!$C$78)+('[2]OR-Com-Cust Growth'!SX52*0.87*'[2]Key Inputs'!$C$78)</f>
        <v>41097285.804052189</v>
      </c>
      <c r="U20" s="133">
        <f>('[2]OR-Res-Existing Cust'!SW54*0.87*'[2]Key Inputs'!$C$74)+('[2]OR-Res-Existing Cust'!SW182*0.67*'[2]Key Inputs'!$C$75)+('[2]OR-Res-Cust Growth'!SY52*0.87*'[2]Key Inputs'!$C$74)+('[2]OR-Res-Cust Growth'!SY180*0.87*'[2]Key Inputs'!$C$75)+('[2]OR-Com-Existing Cust'!SW54*0.87*'[2]Key Inputs'!$C$78)+('[2]OR-Com-Cust Growth'!SY52*0.87*'[2]Key Inputs'!$C$78)</f>
        <v>41097285.804052189</v>
      </c>
      <c r="V20" s="133">
        <f>('[2]OR-Res-Existing Cust'!SX54*0.87*'[2]Key Inputs'!$C$74)+('[2]OR-Res-Existing Cust'!SX182*0.67*'[2]Key Inputs'!$C$75)+('[2]OR-Res-Cust Growth'!SZ52*0.87*'[2]Key Inputs'!$C$74)+('[2]OR-Res-Cust Growth'!SZ180*0.87*'[2]Key Inputs'!$C$75)+('[2]OR-Com-Existing Cust'!SX54*0.87*'[2]Key Inputs'!$C$78)+('[2]OR-Com-Cust Growth'!SZ52*0.87*'[2]Key Inputs'!$C$78)</f>
        <v>2908687.2398386067</v>
      </c>
      <c r="X20" s="63">
        <f>(('[2]OR-Res-Existing Cust'!SO118+'[2]OR-Res-Cust Growth'!SQ116)*'[2]Key Inputs'!$C$73)+(('[2]OR-Com-Existing Cust'!SO118+'[2]OR-Com-Cust Growth'!SQ116)*'[2]Key Inputs'!$C$77)</f>
        <v>0</v>
      </c>
      <c r="Y20" s="63">
        <f>(('[2]OR-Res-Existing Cust'!SP118+'[2]OR-Res-Cust Growth'!SR116)*'[2]Key Inputs'!$C$73)+(('[2]OR-Com-Existing Cust'!SP118+'[2]OR-Com-Cust Growth'!SR116)*'[2]Key Inputs'!$C$77)</f>
        <v>4588610.5741301803</v>
      </c>
      <c r="Z20" s="63">
        <f>(('[2]OR-Res-Existing Cust'!SQ118+'[2]OR-Res-Cust Growth'!SS116)*'[2]Key Inputs'!$C$73)+(('[2]OR-Com-Existing Cust'!SQ118+'[2]OR-Com-Cust Growth'!SS116)*'[2]Key Inputs'!$C$77)</f>
        <v>3468171.6961170873</v>
      </c>
      <c r="AA20" s="63">
        <f>(('[2]OR-Res-Existing Cust'!SR118+'[2]OR-Res-Cust Growth'!ST116)*'[2]Key Inputs'!$C$73)+(('[2]OR-Com-Existing Cust'!SR118+'[2]OR-Com-Cust Growth'!ST116)*'[2]Key Inputs'!$C$77)</f>
        <v>11894254.829427455</v>
      </c>
      <c r="AB20" s="63">
        <f>(('[2]OR-Res-Existing Cust'!SS118+'[2]OR-Res-Cust Growth'!SU116)*'[2]Key Inputs'!$C$73)+(('[2]OR-Com-Existing Cust'!SS118+'[2]OR-Com-Cust Growth'!SU116)*'[2]Key Inputs'!$C$77)</f>
        <v>3568276.4488282367</v>
      </c>
      <c r="AC20" s="63">
        <f>(('[2]OR-Res-Existing Cust'!ST118+'[2]OR-Res-Cust Growth'!SV116)*'[2]Key Inputs'!$C$73)+(('[2]OR-Com-Existing Cust'!ST118+'[2]OR-Com-Cust Growth'!SV116)*'[2]Key Inputs'!$C$77)</f>
        <v>0</v>
      </c>
      <c r="AD20" s="63">
        <f>(('[2]OR-Res-Existing Cust'!SU118+'[2]OR-Res-Cust Growth'!SW116)*'[2]Key Inputs'!$C$73)+(('[2]OR-Com-Existing Cust'!SU118+'[2]OR-Com-Cust Growth'!SW116)*'[2]Key Inputs'!$C$77)</f>
        <v>0</v>
      </c>
      <c r="AE20" s="63">
        <f>(('[2]OR-Res-Existing Cust'!SV118+'[2]OR-Res-Cust Growth'!SX116)*'[2]Key Inputs'!$C$73)+(('[2]OR-Com-Existing Cust'!SV118+'[2]OR-Com-Cust Growth'!SX116)*'[2]Key Inputs'!$C$77)</f>
        <v>4588610.5741301803</v>
      </c>
      <c r="AF20" s="63">
        <f>(('[2]OR-Res-Existing Cust'!SW118+'[2]OR-Res-Cust Growth'!SY116)*'[2]Key Inputs'!$C$73)+(('[2]OR-Com-Existing Cust'!SW118+'[2]OR-Com-Cust Growth'!SY116)*'[2]Key Inputs'!$C$77)</f>
        <v>4588610.5741301803</v>
      </c>
      <c r="AG20" s="63">
        <f>(('[2]OR-Res-Existing Cust'!SX118+'[2]OR-Res-Cust Growth'!SZ116)*'[2]Key Inputs'!$C$73)+(('[2]OR-Com-Existing Cust'!SX118+'[2]OR-Com-Cust Growth'!SZ116)*'[2]Key Inputs'!$C$77)</f>
        <v>3568276.4488282367</v>
      </c>
      <c r="AI20" s="152">
        <f>'[6]OR-IndComSales-Annual'!TF22*2.33</f>
        <v>0</v>
      </c>
      <c r="AJ20" s="152">
        <f>'[6]OR-IndComSales-Annual'!TG22*2.33</f>
        <v>0</v>
      </c>
      <c r="AK20" s="152">
        <f>'[6]OR-IndComSales-Annual'!TH22*2.33</f>
        <v>557415.47630003339</v>
      </c>
      <c r="AL20" s="152">
        <f>'[6]OR-IndComSales-Annual'!TI22*2.33</f>
        <v>0</v>
      </c>
      <c r="AM20" s="152">
        <f>'[6]OR-IndComSales-Annual'!TJ22*2.33</f>
        <v>0</v>
      </c>
      <c r="AN20" s="152">
        <f>'[6]OR-IndComSales-Annual'!TK22*2.33</f>
        <v>0</v>
      </c>
      <c r="AO20" s="152">
        <f>'[6]OR-IndComSales-Annual'!TL22*2.33</f>
        <v>0</v>
      </c>
      <c r="AP20" s="152">
        <f>'[6]OR-IndComSales-Annual'!TM22*2.33</f>
        <v>0</v>
      </c>
      <c r="AQ20" s="152">
        <f>'[6]OR-IndComSales-Annual'!TN22*2.33</f>
        <v>0</v>
      </c>
      <c r="AR20" s="152">
        <f>'[6]OR-IndComSales-Annual'!TO22*2.33</f>
        <v>0</v>
      </c>
      <c r="AT20">
        <v>0</v>
      </c>
      <c r="AU20" s="152">
        <f>'[6]OR-Transport-Annual'!TE22*1.79</f>
        <v>646677.18609000684</v>
      </c>
      <c r="AV20" s="152">
        <f>'[6]OR-Transport-Annual'!TF22*1.79</f>
        <v>1293354.3721800137</v>
      </c>
      <c r="AW20" s="152">
        <f>'[6]OR-Transport-Annual'!TG22*1.79</f>
        <v>646677.18609000684</v>
      </c>
      <c r="AX20" s="152">
        <f>'[6]OR-Transport-Annual'!TH22*1.79</f>
        <v>646677.18609000684</v>
      </c>
      <c r="AY20" s="152">
        <f>'[6]OR-Transport-Annual'!TI22*1.79</f>
        <v>0</v>
      </c>
      <c r="AZ20" s="152">
        <f>'[6]OR-Transport-Annual'!TJ22*1.79</f>
        <v>0</v>
      </c>
      <c r="BA20" s="152">
        <f>'[6]OR-Transport-Annual'!TK22*1.79</f>
        <v>646677.18609000684</v>
      </c>
      <c r="BB20" s="152">
        <f>'[6]OR-Transport-Annual'!TL22*1.79</f>
        <v>646677.18609000684</v>
      </c>
      <c r="BC20" s="152">
        <f>'[6]OR-Transport-Annual'!TM22*1.79</f>
        <v>323338.59304500342</v>
      </c>
      <c r="BE20" s="133">
        <f t="shared" si="1"/>
        <v>9168283.8537528105</v>
      </c>
      <c r="BF20" s="133">
        <f t="shared" si="1"/>
        <v>55500857.418025181</v>
      </c>
      <c r="BG20" s="133">
        <f t="shared" si="1"/>
        <v>148840733.62608081</v>
      </c>
      <c r="BH20" s="133">
        <f t="shared" si="1"/>
        <v>31404840.002065629</v>
      </c>
      <c r="BI20" s="133">
        <f t="shared" si="1"/>
        <v>35364351.768994913</v>
      </c>
      <c r="BJ20" s="133">
        <f t="shared" si="1"/>
        <v>0</v>
      </c>
      <c r="BK20" s="133">
        <f t="shared" si="1"/>
        <v>0</v>
      </c>
      <c r="BL20" s="133">
        <f t="shared" si="1"/>
        <v>55500857.418025181</v>
      </c>
      <c r="BM20" s="133">
        <f t="shared" si="1"/>
        <v>55500857.418025181</v>
      </c>
      <c r="BN20" s="133">
        <f t="shared" si="1"/>
        <v>15968586.135464659</v>
      </c>
      <c r="BP20" s="153">
        <f>BE20/(([4]Annual!FZ20+[4]Annual!EW20)/10)</f>
        <v>8.4834666812882056E-2</v>
      </c>
      <c r="BQ20" s="153">
        <f>BF20/(([4]Annual!GA20+[4]Annual!EX20)/10)</f>
        <v>0.60203010448662964</v>
      </c>
      <c r="BR20" s="153">
        <f>BG20/(([4]Annual!GB20+[4]Annual!EY20)/10)</f>
        <v>1.6330709447294425</v>
      </c>
      <c r="BS20" s="153">
        <f>BH20/(([4]Annual!GC20+[4]Annual!EZ20)/10)</f>
        <v>0.37445966542773279</v>
      </c>
      <c r="BT20" s="153">
        <f>BI20/(([4]Annual!GD20+[4]Annual!FA20)/10)</f>
        <v>0.47104581108772769</v>
      </c>
      <c r="BU20" s="153">
        <f>BJ20/(([4]Annual!GE20+[4]Annual!FB20)/10)</f>
        <v>0</v>
      </c>
      <c r="BV20" s="153">
        <f>BK20/(([4]Annual!GF20+[4]Annual!FC20)/10)</f>
        <v>0</v>
      </c>
      <c r="BW20" s="153">
        <f>BL20/(([4]Annual!GG20+[4]Annual!FD20)/10)</f>
        <v>0.58536720233326156</v>
      </c>
      <c r="BX20" s="153">
        <f>BM20/(([4]Annual!GH20+[4]Annual!FE20)/10)</f>
        <v>0.5800536148353217</v>
      </c>
      <c r="BY20" s="153">
        <f>BN20/(([4]Annual!GI20+[4]Annual!FF20)/10)</f>
        <v>0.24021087868126775</v>
      </c>
    </row>
    <row r="21" spans="1:77" x14ac:dyDescent="0.25">
      <c r="A21">
        <v>2041</v>
      </c>
      <c r="B21" s="133">
        <f>('[2]OR Res Incremental EE'!ST21+'[2]OR Com Incremental EE'!SI21)*'[5]Energy Efficiency'!$BR$9</f>
        <v>7389804.2272372525</v>
      </c>
      <c r="C21" s="133">
        <f>('[2]OR Res Incremental EE'!SU21+'[2]OR Com Incremental EE'!SJ21)*'[5]Energy Efficiency'!$BR$9</f>
        <v>7389804.2272372525</v>
      </c>
      <c r="D21" s="133">
        <f>('[2]OR Res Incremental EE'!SV21+'[2]OR Com Incremental EE'!SK21)*'[5]Energy Efficiency'!$BR$9</f>
        <v>36285595.688330643</v>
      </c>
      <c r="E21" s="133">
        <f>('[2]OR Res Incremental EE'!SW21+'[2]OR Com Incremental EE'!SL21)*'[5]Energy Efficiency'!$BR$9</f>
        <v>7389804.2272372525</v>
      </c>
      <c r="F21" s="133">
        <f>('[2]OR Res Incremental EE'!SX21+'[2]OR Com Incremental EE'!SM21)*'[5]Energy Efficiency'!$BR$9</f>
        <v>763354.04615440243</v>
      </c>
      <c r="G21" s="133">
        <v>0</v>
      </c>
      <c r="H21" s="133">
        <v>0</v>
      </c>
      <c r="I21" s="133">
        <f>('[2]OR Res Incremental EE'!TA21+'[2]OR Com Incremental EE'!SP21)*'[5]Energy Efficiency'!$BR$9</f>
        <v>7389804.2272372525</v>
      </c>
      <c r="J21" s="133">
        <f>('[2]OR Res Incremental EE'!TB21+'[2]OR Com Incremental EE'!SQ21)*'[5]Energy Efficiency'!$BR$9</f>
        <v>7389804.2272372525</v>
      </c>
      <c r="K21" s="133">
        <f>('[2]OR Res Incremental EE'!TC21+'[2]OR Com Incremental EE'!SR21)*'[5]Energy Efficiency'!$BR$9</f>
        <v>7389804.2272372525</v>
      </c>
      <c r="L21" s="133"/>
      <c r="M21" s="133">
        <f>('[2]OR-Res-Existing Cust'!SO55*0.87*'[2]Key Inputs'!$C$74)+('[2]OR-Res-Existing Cust'!SO183*0.67*'[2]Key Inputs'!$C$75)+('[2]OR-Res-Cust Growth'!SQ53*0.87*'[2]Key Inputs'!$C$74)+('[2]OR-Res-Cust Growth'!SQ181*0.87*'[2]Key Inputs'!$C$75)+('[2]OR-Com-Existing Cust'!SO55*0.87*'[2]Key Inputs'!$C$78)+('[2]OR-Com-Cust Growth'!SQ53*0.87*'[2]Key Inputs'!$C$78)</f>
        <v>0</v>
      </c>
      <c r="N21" s="133">
        <f>('[2]OR-Res-Existing Cust'!SP55*0.87*'[2]Key Inputs'!$C$74)+('[2]OR-Res-Existing Cust'!SP183*0.67*'[2]Key Inputs'!$C$75)+('[2]OR-Res-Cust Growth'!SR53*0.87*'[2]Key Inputs'!$C$74)+('[2]OR-Res-Cust Growth'!SR181*0.87*'[2]Key Inputs'!$C$75)+('[2]OR-Com-Existing Cust'!SP55*0.87*'[2]Key Inputs'!$C$78)+('[2]OR-Com-Cust Growth'!SR53*0.87*'[2]Key Inputs'!$C$78)</f>
        <v>38257286.620863594</v>
      </c>
      <c r="O21" s="133">
        <f>('[2]OR-Res-Existing Cust'!SQ55*0.87*'[2]Key Inputs'!$C$74)+('[2]OR-Res-Existing Cust'!SQ183*0.67*'[2]Key Inputs'!$C$75)+('[2]OR-Res-Cust Growth'!SS53*0.87*'[2]Key Inputs'!$C$74)+('[2]OR-Res-Cust Growth'!SS181*0.87*'[2]Key Inputs'!$C$75)+('[2]OR-Com-Existing Cust'!SQ55*0.87*'[2]Key Inputs'!$C$78)+('[2]OR-Com-Cust Growth'!SS53*0.87*'[2]Key Inputs'!$C$78)</f>
        <v>104558617.0779722</v>
      </c>
      <c r="P21" s="133">
        <f>('[2]OR-Res-Existing Cust'!SR55*0.87*'[2]Key Inputs'!$C$74)+('[2]OR-Res-Existing Cust'!SR183*0.67*'[2]Key Inputs'!$C$75)+('[2]OR-Res-Cust Growth'!ST53*0.87*'[2]Key Inputs'!$C$74)+('[2]OR-Res-Cust Growth'!ST181*0.87*'[2]Key Inputs'!$C$75)+('[2]OR-Com-Existing Cust'!SR55*0.87*'[2]Key Inputs'!$C$78)+('[2]OR-Com-Cust Growth'!ST53*0.87*'[2]Key Inputs'!$C$78)</f>
        <v>9541578.2059866376</v>
      </c>
      <c r="Q21" s="133">
        <f>('[2]OR-Res-Existing Cust'!SS55*0.87*'[2]Key Inputs'!$C$74)+('[2]OR-Res-Existing Cust'!SS183*0.67*'[2]Key Inputs'!$C$75)+('[2]OR-Res-Cust Growth'!SU53*0.87*'[2]Key Inputs'!$C$74)+('[2]OR-Res-Cust Growth'!SU181*0.87*'[2]Key Inputs'!$C$75)+('[2]OR-Com-Existing Cust'!SS55*0.87*'[2]Key Inputs'!$C$78)+('[2]OR-Com-Cust Growth'!SU53*0.87*'[2]Key Inputs'!$C$78)</f>
        <v>27212844.029351227</v>
      </c>
      <c r="R21" s="133">
        <f>('[2]OR-Res-Existing Cust'!ST55*0.87*'[2]Key Inputs'!$C$74)+('[2]OR-Res-Existing Cust'!ST183*0.67*'[2]Key Inputs'!$C$75)+('[2]OR-Res-Cust Growth'!SV53*0.87*'[2]Key Inputs'!$C$74)+('[2]OR-Res-Cust Growth'!SV181*0.87*'[2]Key Inputs'!$C$75)+('[2]OR-Com-Existing Cust'!ST55*0.87*'[2]Key Inputs'!$C$78)+('[2]OR-Com-Cust Growth'!SV53*0.87*'[2]Key Inputs'!$C$78)</f>
        <v>0</v>
      </c>
      <c r="S21" s="133">
        <f>('[2]OR-Res-Existing Cust'!SU55*0.87*'[2]Key Inputs'!$C$74)+('[2]OR-Res-Existing Cust'!SU183*0.67*'[2]Key Inputs'!$C$75)+('[2]OR-Res-Cust Growth'!SW53*0.87*'[2]Key Inputs'!$C$74)+('[2]OR-Res-Cust Growth'!SW181*0.87*'[2]Key Inputs'!$C$75)+('[2]OR-Com-Existing Cust'!SU55*0.87*'[2]Key Inputs'!$C$78)+('[2]OR-Com-Cust Growth'!SW53*0.87*'[2]Key Inputs'!$C$78)</f>
        <v>0</v>
      </c>
      <c r="T21" s="133">
        <f>('[2]OR-Res-Existing Cust'!SV55*0.87*'[2]Key Inputs'!$C$74)+('[2]OR-Res-Existing Cust'!SV183*0.67*'[2]Key Inputs'!$C$75)+('[2]OR-Res-Cust Growth'!SX53*0.87*'[2]Key Inputs'!$C$74)+('[2]OR-Res-Cust Growth'!SX181*0.87*'[2]Key Inputs'!$C$75)+('[2]OR-Com-Existing Cust'!SV55*0.87*'[2]Key Inputs'!$C$78)+('[2]OR-Com-Cust Growth'!SX53*0.87*'[2]Key Inputs'!$C$78)</f>
        <v>38257286.620863594</v>
      </c>
      <c r="U21" s="133">
        <f>('[2]OR-Res-Existing Cust'!SW55*0.87*'[2]Key Inputs'!$C$74)+('[2]OR-Res-Existing Cust'!SW183*0.67*'[2]Key Inputs'!$C$75)+('[2]OR-Res-Cust Growth'!SY53*0.87*'[2]Key Inputs'!$C$74)+('[2]OR-Res-Cust Growth'!SY181*0.87*'[2]Key Inputs'!$C$75)+('[2]OR-Com-Existing Cust'!SW55*0.87*'[2]Key Inputs'!$C$78)+('[2]OR-Com-Cust Growth'!SY53*0.87*'[2]Key Inputs'!$C$78)</f>
        <v>38257286.620863594</v>
      </c>
      <c r="V21" s="133">
        <f>('[2]OR-Res-Existing Cust'!SX55*0.87*'[2]Key Inputs'!$C$74)+('[2]OR-Res-Existing Cust'!SX183*0.67*'[2]Key Inputs'!$C$75)+('[2]OR-Res-Cust Growth'!SZ53*0.87*'[2]Key Inputs'!$C$74)+('[2]OR-Res-Cust Growth'!SZ181*0.87*'[2]Key Inputs'!$C$75)+('[2]OR-Com-Existing Cust'!SX55*0.87*'[2]Key Inputs'!$C$78)+('[2]OR-Com-Cust Growth'!SZ53*0.87*'[2]Key Inputs'!$C$78)</f>
        <v>2862473.4617959913</v>
      </c>
      <c r="X21" s="63">
        <f>(('[2]OR-Res-Existing Cust'!SO119+'[2]OR-Res-Cust Growth'!SQ117)*'[2]Key Inputs'!$C$73)+(('[2]OR-Com-Existing Cust'!SO119+'[2]OR-Com-Cust Growth'!SQ117)*'[2]Key Inputs'!$C$77)</f>
        <v>0</v>
      </c>
      <c r="Y21" s="63">
        <f>(('[2]OR-Res-Existing Cust'!SP119+'[2]OR-Res-Cust Growth'!SR117)*'[2]Key Inputs'!$C$73)+(('[2]OR-Com-Existing Cust'!SP119+'[2]OR-Com-Cust Growth'!SR117)*'[2]Key Inputs'!$C$77)</f>
        <v>4569881.2445678841</v>
      </c>
      <c r="Z21" s="63">
        <f>(('[2]OR-Res-Existing Cust'!SQ119+'[2]OR-Res-Cust Growth'!SS117)*'[2]Key Inputs'!$C$73)+(('[2]OR-Com-Existing Cust'!SQ119+'[2]OR-Com-Cust Growth'!SS117)*'[2]Key Inputs'!$C$77)</f>
        <v>3470211.9688761318</v>
      </c>
      <c r="AA21" s="63">
        <f>(('[2]OR-Res-Existing Cust'!SR119+'[2]OR-Res-Cust Growth'!ST117)*'[2]Key Inputs'!$C$73)+(('[2]OR-Com-Existing Cust'!SR119+'[2]OR-Com-Cust Growth'!ST117)*'[2]Key Inputs'!$C$77)</f>
        <v>11876181.928984612</v>
      </c>
      <c r="AB21" s="63">
        <f>(('[2]OR-Res-Existing Cust'!SS119+'[2]OR-Res-Cust Growth'!SU117)*'[2]Key Inputs'!$C$73)+(('[2]OR-Com-Existing Cust'!SS119+'[2]OR-Com-Cust Growth'!SU117)*'[2]Key Inputs'!$C$77)</f>
        <v>3562854.5786953829</v>
      </c>
      <c r="AC21" s="63">
        <f>(('[2]OR-Res-Existing Cust'!ST119+'[2]OR-Res-Cust Growth'!SV117)*'[2]Key Inputs'!$C$73)+(('[2]OR-Com-Existing Cust'!ST119+'[2]OR-Com-Cust Growth'!SV117)*'[2]Key Inputs'!$C$77)</f>
        <v>0</v>
      </c>
      <c r="AD21" s="63">
        <f>(('[2]OR-Res-Existing Cust'!SU119+'[2]OR-Res-Cust Growth'!SW117)*'[2]Key Inputs'!$C$73)+(('[2]OR-Com-Existing Cust'!SU119+'[2]OR-Com-Cust Growth'!SW117)*'[2]Key Inputs'!$C$77)</f>
        <v>0</v>
      </c>
      <c r="AE21" s="63">
        <f>(('[2]OR-Res-Existing Cust'!SV119+'[2]OR-Res-Cust Growth'!SX117)*'[2]Key Inputs'!$C$73)+(('[2]OR-Com-Existing Cust'!SV119+'[2]OR-Com-Cust Growth'!SX117)*'[2]Key Inputs'!$C$77)</f>
        <v>4569881.2445678841</v>
      </c>
      <c r="AF21" s="63">
        <f>(('[2]OR-Res-Existing Cust'!SW119+'[2]OR-Res-Cust Growth'!SY117)*'[2]Key Inputs'!$C$73)+(('[2]OR-Com-Existing Cust'!SW119+'[2]OR-Com-Cust Growth'!SY117)*'[2]Key Inputs'!$C$77)</f>
        <v>4569881.2445678841</v>
      </c>
      <c r="AG21" s="63">
        <f>(('[2]OR-Res-Existing Cust'!SX119+'[2]OR-Res-Cust Growth'!SZ117)*'[2]Key Inputs'!$C$73)+(('[2]OR-Com-Existing Cust'!SX119+'[2]OR-Com-Cust Growth'!SZ117)*'[2]Key Inputs'!$C$77)</f>
        <v>3562854.5786953829</v>
      </c>
      <c r="AI21" s="152">
        <f>'[6]OR-IndComSales-Annual'!TF23*2.33</f>
        <v>0</v>
      </c>
      <c r="AJ21" s="152">
        <f>'[6]OR-IndComSales-Annual'!TG23*2.33</f>
        <v>0</v>
      </c>
      <c r="AK21" s="152">
        <f>'[6]OR-IndComSales-Annual'!TH23*2.33</f>
        <v>-93159.294899655579</v>
      </c>
      <c r="AL21" s="152">
        <f>'[6]OR-IndComSales-Annual'!TI23*2.33</f>
        <v>0</v>
      </c>
      <c r="AM21" s="152">
        <f>'[6]OR-IndComSales-Annual'!TJ23*2.33</f>
        <v>0</v>
      </c>
      <c r="AN21" s="152">
        <f>'[6]OR-IndComSales-Annual'!TK23*2.33</f>
        <v>0</v>
      </c>
      <c r="AO21" s="152">
        <f>'[6]OR-IndComSales-Annual'!TL23*2.33</f>
        <v>0</v>
      </c>
      <c r="AP21" s="152">
        <f>'[6]OR-IndComSales-Annual'!TM23*2.33</f>
        <v>0</v>
      </c>
      <c r="AQ21" s="152">
        <f>'[6]OR-IndComSales-Annual'!TN23*2.33</f>
        <v>0</v>
      </c>
      <c r="AR21" s="152">
        <f>'[6]OR-IndComSales-Annual'!TO23*2.33</f>
        <v>0</v>
      </c>
      <c r="AT21">
        <v>0</v>
      </c>
      <c r="AU21" s="152">
        <f>'[6]OR-Transport-Annual'!TE23*1.79</f>
        <v>455255.79254983785</v>
      </c>
      <c r="AV21" s="152">
        <f>'[6]OR-Transport-Annual'!TF23*1.79</f>
        <v>910511.58509967569</v>
      </c>
      <c r="AW21" s="152">
        <f>'[6]OR-Transport-Annual'!TG23*1.79</f>
        <v>455255.79254983785</v>
      </c>
      <c r="AX21" s="152">
        <f>'[6]OR-Transport-Annual'!TH23*1.79</f>
        <v>455255.79254983785</v>
      </c>
      <c r="AY21" s="152">
        <f>'[6]OR-Transport-Annual'!TI23*1.79</f>
        <v>0</v>
      </c>
      <c r="AZ21" s="152">
        <f>'[6]OR-Transport-Annual'!TJ23*1.79</f>
        <v>0</v>
      </c>
      <c r="BA21" s="152">
        <f>'[6]OR-Transport-Annual'!TK23*1.79</f>
        <v>455255.79254983785</v>
      </c>
      <c r="BB21" s="152">
        <f>'[6]OR-Transport-Annual'!TL23*1.79</f>
        <v>455255.79254983785</v>
      </c>
      <c r="BC21" s="152">
        <f>'[6]OR-Transport-Annual'!TM23*1.79</f>
        <v>227627.89627481223</v>
      </c>
      <c r="BE21" s="133">
        <f t="shared" si="1"/>
        <v>7389804.2272372525</v>
      </c>
      <c r="BF21" s="133">
        <f t="shared" si="1"/>
        <v>50672227.885218576</v>
      </c>
      <c r="BG21" s="133">
        <f t="shared" si="1"/>
        <v>145131777.025379</v>
      </c>
      <c r="BH21" s="133">
        <f t="shared" si="1"/>
        <v>29262820.154758338</v>
      </c>
      <c r="BI21" s="133">
        <f t="shared" si="1"/>
        <v>31994308.446750849</v>
      </c>
      <c r="BJ21" s="133">
        <f t="shared" si="1"/>
        <v>0</v>
      </c>
      <c r="BK21" s="133">
        <f t="shared" si="1"/>
        <v>0</v>
      </c>
      <c r="BL21" s="133">
        <f t="shared" si="1"/>
        <v>50672227.885218576</v>
      </c>
      <c r="BM21" s="133">
        <f t="shared" si="1"/>
        <v>50672227.885218576</v>
      </c>
      <c r="BN21" s="133">
        <f t="shared" si="1"/>
        <v>14042760.164003439</v>
      </c>
      <c r="BP21" s="153">
        <f>BE21/(([4]Annual!FZ21+[4]Annual!EW21)/10)</f>
        <v>6.8859801191901632E-2</v>
      </c>
      <c r="BQ21" s="153">
        <f>BF21/(([4]Annual!GA21+[4]Annual!EX21)/10)</f>
        <v>0.55784752903266011</v>
      </c>
      <c r="BR21" s="153">
        <f>BG21/(([4]Annual!GB21+[4]Annual!EY21)/10)</f>
        <v>1.6215796048089393</v>
      </c>
      <c r="BS21" s="153">
        <f>BH21/(([4]Annual!GC21+[4]Annual!EZ21)/10)</f>
        <v>0.35620552442707487</v>
      </c>
      <c r="BT21" s="153">
        <f>BI21/(([4]Annual!GD21+[4]Annual!FA21)/10)</f>
        <v>0.43769675965147364</v>
      </c>
      <c r="BU21" s="153">
        <f>BJ21/(([4]Annual!GE21+[4]Annual!FB21)/10)</f>
        <v>0</v>
      </c>
      <c r="BV21" s="153">
        <f>BK21/(([4]Annual!GF21+[4]Annual!FC21)/10)</f>
        <v>0</v>
      </c>
      <c r="BW21" s="153">
        <f>BL21/(([4]Annual!GG21+[4]Annual!FD21)/10)</f>
        <v>0.54220937689172932</v>
      </c>
      <c r="BX21" s="153">
        <f>BM21/(([4]Annual!GH21+[4]Annual!FE21)/10)</f>
        <v>0.53716012450287132</v>
      </c>
      <c r="BY21" s="153">
        <f>BN21/(([4]Annual!GI21+[4]Annual!FF21)/10)</f>
        <v>0.21405424775256182</v>
      </c>
    </row>
    <row r="22" spans="1:77" x14ac:dyDescent="0.25">
      <c r="A22">
        <v>2042</v>
      </c>
      <c r="B22" s="133">
        <f>('[2]OR Res Incremental EE'!ST22+'[2]OR Com Incremental EE'!SI22)*'[5]Energy Efficiency'!$BR$9</f>
        <v>3240407.3887853087</v>
      </c>
      <c r="C22" s="133">
        <f>('[2]OR Res Incremental EE'!SU22+'[2]OR Com Incremental EE'!SJ22)*'[5]Energy Efficiency'!$BR$9</f>
        <v>3240407.3887853087</v>
      </c>
      <c r="D22" s="133">
        <f>('[2]OR Res Incremental EE'!SV22+'[2]OR Com Incremental EE'!SK22)*'[5]Energy Efficiency'!$BR$9</f>
        <v>31710129.868774541</v>
      </c>
      <c r="E22" s="133">
        <f>('[2]OR Res Incremental EE'!SW22+'[2]OR Com Incremental EE'!SL22)*'[5]Energy Efficiency'!$BR$9</f>
        <v>3240407.3887853087</v>
      </c>
      <c r="F22" s="133">
        <f>('[2]OR Res Incremental EE'!SX22+'[2]OR Com Incremental EE'!SM22)*'[5]Energy Efficiency'!$BR$9</f>
        <v>2641.2667059407358</v>
      </c>
      <c r="G22" s="133">
        <v>0</v>
      </c>
      <c r="H22" s="133">
        <v>0</v>
      </c>
      <c r="I22" s="133">
        <f>('[2]OR Res Incremental EE'!TA22+'[2]OR Com Incremental EE'!SP22)*'[5]Energy Efficiency'!$BR$9</f>
        <v>3240407.3887853087</v>
      </c>
      <c r="J22" s="133">
        <f>('[2]OR Res Incremental EE'!TB22+'[2]OR Com Incremental EE'!SQ22)*'[5]Energy Efficiency'!$BR$9</f>
        <v>3240407.3887853087</v>
      </c>
      <c r="K22" s="133">
        <f>('[2]OR Res Incremental EE'!TC22+'[2]OR Com Incremental EE'!SR22)*'[5]Energy Efficiency'!$BR$9</f>
        <v>3240407.3887853087</v>
      </c>
      <c r="L22" s="133"/>
      <c r="M22" s="133">
        <f>('[2]OR-Res-Existing Cust'!SO56*0.87*'[2]Key Inputs'!$C$74)+('[2]OR-Res-Existing Cust'!SO184*0.67*'[2]Key Inputs'!$C$75)+('[2]OR-Res-Cust Growth'!SQ54*0.87*'[2]Key Inputs'!$C$74)+('[2]OR-Res-Cust Growth'!SQ182*0.87*'[2]Key Inputs'!$C$75)+('[2]OR-Com-Existing Cust'!SO56*0.87*'[2]Key Inputs'!$C$78)+('[2]OR-Com-Cust Growth'!SQ54*0.87*'[2]Key Inputs'!$C$78)</f>
        <v>0</v>
      </c>
      <c r="N22" s="133">
        <f>('[2]OR-Res-Existing Cust'!SP56*0.87*'[2]Key Inputs'!$C$74)+('[2]OR-Res-Existing Cust'!SP184*0.67*'[2]Key Inputs'!$C$75)+('[2]OR-Res-Cust Growth'!SR54*0.87*'[2]Key Inputs'!$C$74)+('[2]OR-Res-Cust Growth'!SR182*0.87*'[2]Key Inputs'!$C$75)+('[2]OR-Com-Existing Cust'!SP56*0.87*'[2]Key Inputs'!$C$78)+('[2]OR-Com-Cust Growth'!SR54*0.87*'[2]Key Inputs'!$C$78)</f>
        <v>35446139.923596635</v>
      </c>
      <c r="O22" s="133">
        <f>('[2]OR-Res-Existing Cust'!SQ56*0.87*'[2]Key Inputs'!$C$74)+('[2]OR-Res-Existing Cust'!SQ184*0.67*'[2]Key Inputs'!$C$75)+('[2]OR-Res-Cust Growth'!SS54*0.87*'[2]Key Inputs'!$C$74)+('[2]OR-Res-Cust Growth'!SS182*0.87*'[2]Key Inputs'!$C$75)+('[2]OR-Com-Existing Cust'!SQ56*0.87*'[2]Key Inputs'!$C$78)+('[2]OR-Com-Cust Growth'!SS54*0.87*'[2]Key Inputs'!$C$78)</f>
        <v>102207372.59788902</v>
      </c>
      <c r="P22" s="133">
        <f>('[2]OR-Res-Existing Cust'!SR56*0.87*'[2]Key Inputs'!$C$74)+('[2]OR-Res-Existing Cust'!SR184*0.67*'[2]Key Inputs'!$C$75)+('[2]OR-Res-Cust Growth'!ST54*0.87*'[2]Key Inputs'!$C$74)+('[2]OR-Res-Cust Growth'!ST182*0.87*'[2]Key Inputs'!$C$75)+('[2]OR-Com-Existing Cust'!SR56*0.87*'[2]Key Inputs'!$C$78)+('[2]OR-Com-Cust Growth'!ST54*0.87*'[2]Key Inputs'!$C$78)</f>
        <v>9455517.9999467283</v>
      </c>
      <c r="Q22" s="133">
        <f>('[2]OR-Res-Existing Cust'!SS56*0.87*'[2]Key Inputs'!$C$74)+('[2]OR-Res-Existing Cust'!SS184*0.67*'[2]Key Inputs'!$C$75)+('[2]OR-Res-Cust Growth'!SU54*0.87*'[2]Key Inputs'!$C$74)+('[2]OR-Res-Cust Growth'!SU182*0.87*'[2]Key Inputs'!$C$75)+('[2]OR-Com-Existing Cust'!SS56*0.87*'[2]Key Inputs'!$C$78)+('[2]OR-Com-Cust Growth'!SU54*0.87*'[2]Key Inputs'!$C$78)</f>
        <v>27174570.436343841</v>
      </c>
      <c r="R22" s="133">
        <f>('[2]OR-Res-Existing Cust'!ST56*0.87*'[2]Key Inputs'!$C$74)+('[2]OR-Res-Existing Cust'!ST184*0.67*'[2]Key Inputs'!$C$75)+('[2]OR-Res-Cust Growth'!SV54*0.87*'[2]Key Inputs'!$C$74)+('[2]OR-Res-Cust Growth'!SV182*0.87*'[2]Key Inputs'!$C$75)+('[2]OR-Com-Existing Cust'!ST56*0.87*'[2]Key Inputs'!$C$78)+('[2]OR-Com-Cust Growth'!SV54*0.87*'[2]Key Inputs'!$C$78)</f>
        <v>0</v>
      </c>
      <c r="S22" s="133">
        <f>('[2]OR-Res-Existing Cust'!SU56*0.87*'[2]Key Inputs'!$C$74)+('[2]OR-Res-Existing Cust'!SU184*0.67*'[2]Key Inputs'!$C$75)+('[2]OR-Res-Cust Growth'!SW54*0.87*'[2]Key Inputs'!$C$74)+('[2]OR-Res-Cust Growth'!SW182*0.87*'[2]Key Inputs'!$C$75)+('[2]OR-Com-Existing Cust'!SU56*0.87*'[2]Key Inputs'!$C$78)+('[2]OR-Com-Cust Growth'!SW54*0.87*'[2]Key Inputs'!$C$78)</f>
        <v>0</v>
      </c>
      <c r="T22" s="133">
        <f>('[2]OR-Res-Existing Cust'!SV56*0.87*'[2]Key Inputs'!$C$74)+('[2]OR-Res-Existing Cust'!SV184*0.67*'[2]Key Inputs'!$C$75)+('[2]OR-Res-Cust Growth'!SX54*0.87*'[2]Key Inputs'!$C$74)+('[2]OR-Res-Cust Growth'!SX182*0.87*'[2]Key Inputs'!$C$75)+('[2]OR-Com-Existing Cust'!SV56*0.87*'[2]Key Inputs'!$C$78)+('[2]OR-Com-Cust Growth'!SX54*0.87*'[2]Key Inputs'!$C$78)</f>
        <v>35446139.923596635</v>
      </c>
      <c r="U22" s="133">
        <f>('[2]OR-Res-Existing Cust'!SW56*0.87*'[2]Key Inputs'!$C$74)+('[2]OR-Res-Existing Cust'!SW184*0.67*'[2]Key Inputs'!$C$75)+('[2]OR-Res-Cust Growth'!SY54*0.87*'[2]Key Inputs'!$C$74)+('[2]OR-Res-Cust Growth'!SY182*0.87*'[2]Key Inputs'!$C$75)+('[2]OR-Com-Existing Cust'!SW56*0.87*'[2]Key Inputs'!$C$78)+('[2]OR-Com-Cust Growth'!SY54*0.87*'[2]Key Inputs'!$C$78)</f>
        <v>35446139.923596635</v>
      </c>
      <c r="V22" s="133">
        <f>('[2]OR-Res-Existing Cust'!SX56*0.87*'[2]Key Inputs'!$C$74)+('[2]OR-Res-Existing Cust'!SX184*0.67*'[2]Key Inputs'!$C$75)+('[2]OR-Res-Cust Growth'!SZ54*0.87*'[2]Key Inputs'!$C$74)+('[2]OR-Res-Cust Growth'!SZ182*0.87*'[2]Key Inputs'!$C$75)+('[2]OR-Com-Existing Cust'!SX56*0.87*'[2]Key Inputs'!$C$78)+('[2]OR-Com-Cust Growth'!SZ54*0.87*'[2]Key Inputs'!$C$78)</f>
        <v>2836655.3999840189</v>
      </c>
      <c r="X22" s="63">
        <f>(('[2]OR-Res-Existing Cust'!SO120+'[2]OR-Res-Cust Growth'!SQ118)*'[2]Key Inputs'!$C$73)+(('[2]OR-Com-Existing Cust'!SO120+'[2]OR-Com-Cust Growth'!SQ118)*'[2]Key Inputs'!$C$77)</f>
        <v>0</v>
      </c>
      <c r="Y22" s="63">
        <f>(('[2]OR-Res-Existing Cust'!SP120+'[2]OR-Res-Cust Growth'!SR118)*'[2]Key Inputs'!$C$73)+(('[2]OR-Com-Existing Cust'!SP120+'[2]OR-Com-Cust Growth'!SR118)*'[2]Key Inputs'!$C$77)</f>
        <v>4559520.5427858057</v>
      </c>
      <c r="Z22" s="63">
        <f>(('[2]OR-Res-Existing Cust'!SQ120+'[2]OR-Res-Cust Growth'!SS118)*'[2]Key Inputs'!$C$73)+(('[2]OR-Com-Existing Cust'!SQ120+'[2]OR-Com-Cust Growth'!SS118)*'[2]Key Inputs'!$C$77)</f>
        <v>3457350.5244821664</v>
      </c>
      <c r="AA22" s="63">
        <f>(('[2]OR-Res-Existing Cust'!SR120+'[2]OR-Res-Cust Growth'!ST118)*'[2]Key Inputs'!$C$73)+(('[2]OR-Com-Existing Cust'!SR120+'[2]OR-Com-Cust Growth'!ST118)*'[2]Key Inputs'!$C$77)</f>
        <v>11857866.734193668</v>
      </c>
      <c r="AB22" s="63">
        <f>(('[2]OR-Res-Existing Cust'!SS120+'[2]OR-Res-Cust Growth'!SU118)*'[2]Key Inputs'!$C$73)+(('[2]OR-Com-Existing Cust'!SS120+'[2]OR-Com-Cust Growth'!SU118)*'[2]Key Inputs'!$C$77)</f>
        <v>3557360.0202581002</v>
      </c>
      <c r="AC22" s="63">
        <f>(('[2]OR-Res-Existing Cust'!ST120+'[2]OR-Res-Cust Growth'!SV118)*'[2]Key Inputs'!$C$73)+(('[2]OR-Com-Existing Cust'!ST120+'[2]OR-Com-Cust Growth'!SV118)*'[2]Key Inputs'!$C$77)</f>
        <v>0</v>
      </c>
      <c r="AD22" s="63">
        <f>(('[2]OR-Res-Existing Cust'!SU120+'[2]OR-Res-Cust Growth'!SW118)*'[2]Key Inputs'!$C$73)+(('[2]OR-Com-Existing Cust'!SU120+'[2]OR-Com-Cust Growth'!SW118)*'[2]Key Inputs'!$C$77)</f>
        <v>0</v>
      </c>
      <c r="AE22" s="63">
        <f>(('[2]OR-Res-Existing Cust'!SV120+'[2]OR-Res-Cust Growth'!SX118)*'[2]Key Inputs'!$C$73)+(('[2]OR-Com-Existing Cust'!SV120+'[2]OR-Com-Cust Growth'!SX118)*'[2]Key Inputs'!$C$77)</f>
        <v>4559520.5427858057</v>
      </c>
      <c r="AF22" s="63">
        <f>(('[2]OR-Res-Existing Cust'!SW120+'[2]OR-Res-Cust Growth'!SY118)*'[2]Key Inputs'!$C$73)+(('[2]OR-Com-Existing Cust'!SW120+'[2]OR-Com-Cust Growth'!SY118)*'[2]Key Inputs'!$C$77)</f>
        <v>4559520.5427858057</v>
      </c>
      <c r="AG22" s="63">
        <f>(('[2]OR-Res-Existing Cust'!SX120+'[2]OR-Res-Cust Growth'!SZ118)*'[2]Key Inputs'!$C$73)+(('[2]OR-Com-Existing Cust'!SX120+'[2]OR-Com-Cust Growth'!SZ118)*'[2]Key Inputs'!$C$77)</f>
        <v>3557360.0202581002</v>
      </c>
      <c r="AI22" s="152">
        <f>'[6]OR-IndComSales-Annual'!TF24*2.33</f>
        <v>0</v>
      </c>
      <c r="AJ22" s="152">
        <f>'[6]OR-IndComSales-Annual'!TG24*2.33</f>
        <v>0</v>
      </c>
      <c r="AK22" s="152">
        <f>'[6]OR-IndComSales-Annual'!TH24*2.33</f>
        <v>108036.3448995167</v>
      </c>
      <c r="AL22" s="152">
        <f>'[6]OR-IndComSales-Annual'!TI24*2.33</f>
        <v>0</v>
      </c>
      <c r="AM22" s="152">
        <f>'[6]OR-IndComSales-Annual'!TJ24*2.33</f>
        <v>0</v>
      </c>
      <c r="AN22" s="152">
        <f>'[6]OR-IndComSales-Annual'!TK24*2.33</f>
        <v>0</v>
      </c>
      <c r="AO22" s="152">
        <f>'[6]OR-IndComSales-Annual'!TL24*2.33</f>
        <v>0</v>
      </c>
      <c r="AP22" s="152">
        <f>'[6]OR-IndComSales-Annual'!TM24*2.33</f>
        <v>0</v>
      </c>
      <c r="AQ22" s="152">
        <f>'[6]OR-IndComSales-Annual'!TN24*2.33</f>
        <v>0</v>
      </c>
      <c r="AR22" s="152">
        <f>'[6]OR-IndComSales-Annual'!TO24*2.33</f>
        <v>0</v>
      </c>
      <c r="AT22">
        <v>0</v>
      </c>
      <c r="AU22" s="152">
        <f>'[6]OR-Transport-Annual'!TE24*1.79</f>
        <v>501252.06035987794</v>
      </c>
      <c r="AV22" s="152">
        <f>'[6]OR-Transport-Annual'!TF24*1.79</f>
        <v>1002504.1207197559</v>
      </c>
      <c r="AW22" s="152">
        <f>'[6]OR-Transport-Annual'!TG24*1.79</f>
        <v>501252.06035987794</v>
      </c>
      <c r="AX22" s="152">
        <f>'[6]OR-Transport-Annual'!TH24*1.79</f>
        <v>501252.06035987794</v>
      </c>
      <c r="AY22" s="152">
        <f>'[6]OR-Transport-Annual'!TI24*1.79</f>
        <v>0</v>
      </c>
      <c r="AZ22" s="152">
        <f>'[6]OR-Transport-Annual'!TJ24*1.79</f>
        <v>0</v>
      </c>
      <c r="BA22" s="152">
        <f>'[6]OR-Transport-Annual'!TK24*1.79</f>
        <v>501252.06035987794</v>
      </c>
      <c r="BB22" s="152">
        <f>'[6]OR-Transport-Annual'!TL24*1.79</f>
        <v>501252.06035987794</v>
      </c>
      <c r="BC22" s="152">
        <f>'[6]OR-Transport-Annual'!TM24*1.79</f>
        <v>250626.03017999232</v>
      </c>
      <c r="BE22" s="133">
        <f t="shared" si="1"/>
        <v>3240407.3887853087</v>
      </c>
      <c r="BF22" s="133">
        <f t="shared" si="1"/>
        <v>43747319.915527634</v>
      </c>
      <c r="BG22" s="133">
        <f t="shared" si="1"/>
        <v>138485393.456765</v>
      </c>
      <c r="BH22" s="133">
        <f t="shared" si="1"/>
        <v>25055044.183285583</v>
      </c>
      <c r="BI22" s="133">
        <f t="shared" si="1"/>
        <v>31235823.783667758</v>
      </c>
      <c r="BJ22" s="133">
        <f t="shared" si="1"/>
        <v>0</v>
      </c>
      <c r="BK22" s="133">
        <f t="shared" si="1"/>
        <v>0</v>
      </c>
      <c r="BL22" s="133">
        <f t="shared" si="1"/>
        <v>43747319.915527634</v>
      </c>
      <c r="BM22" s="133">
        <f t="shared" si="1"/>
        <v>43747319.915527634</v>
      </c>
      <c r="BN22" s="133">
        <f t="shared" si="1"/>
        <v>9885048.8392074201</v>
      </c>
      <c r="BP22" s="153">
        <f>BE22/(([4]Annual!FZ22+[4]Annual!EW22)/10)</f>
        <v>3.0216032732895703E-2</v>
      </c>
      <c r="BQ22" s="153">
        <f>BF22/(([4]Annual!GA22+[4]Annual!EX22)/10)</f>
        <v>0.48521597092196311</v>
      </c>
      <c r="BR22" s="153">
        <f>BG22/(([4]Annual!GB22+[4]Annual!EY22)/10)</f>
        <v>1.5640269495973178</v>
      </c>
      <c r="BS22" s="153">
        <f>BH22/(([4]Annual!GC22+[4]Annual!EZ22)/10)</f>
        <v>0.30930398406378484</v>
      </c>
      <c r="BT22" s="153">
        <f>BI22/(([4]Annual!GD22+[4]Annual!FA22)/10)</f>
        <v>0.43598330579389272</v>
      </c>
      <c r="BU22" s="153">
        <f>BJ22/(([4]Annual!GE22+[4]Annual!FB22)/10)</f>
        <v>0</v>
      </c>
      <c r="BV22" s="153">
        <f>BK22/(([4]Annual!GF22+[4]Annual!FC22)/10)</f>
        <v>0</v>
      </c>
      <c r="BW22" s="153">
        <f>BL22/(([4]Annual!GG22+[4]Annual!FD22)/10)</f>
        <v>0.47144240137996268</v>
      </c>
      <c r="BX22" s="153">
        <f>BM22/(([4]Annual!GH22+[4]Annual!FE22)/10)</f>
        <v>0.46695140659022782</v>
      </c>
      <c r="BY22" s="153">
        <f>BN22/(([4]Annual!GI22+[4]Annual!FF22)/10)</f>
        <v>0.15153548936019609</v>
      </c>
    </row>
    <row r="23" spans="1:77" x14ac:dyDescent="0.25">
      <c r="A23">
        <v>2043</v>
      </c>
      <c r="B23" s="133">
        <f>('[2]OR Res Incremental EE'!ST23+'[2]OR Com Incremental EE'!SI23)*'[5]Energy Efficiency'!$BR$9</f>
        <v>5164022.145416189</v>
      </c>
      <c r="C23" s="133">
        <f>('[2]OR Res Incremental EE'!SU23+'[2]OR Com Incremental EE'!SJ23)*'[5]Energy Efficiency'!$BR$9</f>
        <v>5164022.145416189</v>
      </c>
      <c r="D23" s="133">
        <f>('[2]OR Res Incremental EE'!SV23+'[2]OR Com Incremental EE'!SK23)*'[5]Energy Efficiency'!$BR$9</f>
        <v>34238168.898045383</v>
      </c>
      <c r="E23" s="133">
        <f>('[2]OR Res Incremental EE'!SW23+'[2]OR Com Incremental EE'!SL23)*'[5]Energy Efficiency'!$BR$9</f>
        <v>5164022.145416189</v>
      </c>
      <c r="F23" s="133">
        <f>('[2]OR Res Incremental EE'!SX23+'[2]OR Com Incremental EE'!SM23)*'[5]Energy Efficiency'!$BR$9</f>
        <v>328502.23989789333</v>
      </c>
      <c r="G23" s="133">
        <v>0</v>
      </c>
      <c r="H23" s="133">
        <v>0</v>
      </c>
      <c r="I23" s="133">
        <f>('[2]OR Res Incremental EE'!TA23+'[2]OR Com Incremental EE'!SP23)*'[5]Energy Efficiency'!$BR$9</f>
        <v>5164022.145416189</v>
      </c>
      <c r="J23" s="133">
        <f>('[2]OR Res Incremental EE'!TB23+'[2]OR Com Incremental EE'!SQ23)*'[5]Energy Efficiency'!$BR$9</f>
        <v>5164022.145416189</v>
      </c>
      <c r="K23" s="133">
        <f>('[2]OR Res Incremental EE'!TC23+'[2]OR Com Incremental EE'!SR23)*'[5]Energy Efficiency'!$BR$9</f>
        <v>5164022.145416189</v>
      </c>
      <c r="L23" s="133"/>
      <c r="M23" s="133">
        <f>('[2]OR-Res-Existing Cust'!SO57*0.87*'[2]Key Inputs'!$C$74)+('[2]OR-Res-Existing Cust'!SO185*0.67*'[2]Key Inputs'!$C$75)+('[2]OR-Res-Cust Growth'!SQ55*0.87*'[2]Key Inputs'!$C$74)+('[2]OR-Res-Cust Growth'!SQ183*0.87*'[2]Key Inputs'!$C$75)+('[2]OR-Com-Existing Cust'!SO57*0.87*'[2]Key Inputs'!$C$78)+('[2]OR-Com-Cust Growth'!SQ55*0.87*'[2]Key Inputs'!$C$78)</f>
        <v>0</v>
      </c>
      <c r="N23" s="133">
        <f>('[2]OR-Res-Existing Cust'!SP57*0.87*'[2]Key Inputs'!$C$74)+('[2]OR-Res-Existing Cust'!SP185*0.67*'[2]Key Inputs'!$C$75)+('[2]OR-Res-Cust Growth'!SR55*0.87*'[2]Key Inputs'!$C$74)+('[2]OR-Res-Cust Growth'!SR183*0.87*'[2]Key Inputs'!$C$75)+('[2]OR-Com-Existing Cust'!SP57*0.87*'[2]Key Inputs'!$C$78)+('[2]OR-Com-Cust Growth'!SR55*0.87*'[2]Key Inputs'!$C$78)</f>
        <v>35364952.772937641</v>
      </c>
      <c r="O23" s="133">
        <f>('[2]OR-Res-Existing Cust'!SQ57*0.87*'[2]Key Inputs'!$C$74)+('[2]OR-Res-Existing Cust'!SQ185*0.67*'[2]Key Inputs'!$C$75)+('[2]OR-Res-Cust Growth'!SS55*0.87*'[2]Key Inputs'!$C$74)+('[2]OR-Res-Cust Growth'!SS183*0.87*'[2]Key Inputs'!$C$75)+('[2]OR-Com-Existing Cust'!SQ57*0.87*'[2]Key Inputs'!$C$78)+('[2]OR-Com-Cust Growth'!SS55*0.87*'[2]Key Inputs'!$C$78)</f>
        <v>99312963.279899582</v>
      </c>
      <c r="P23" s="133">
        <f>('[2]OR-Res-Existing Cust'!SR57*0.87*'[2]Key Inputs'!$C$74)+('[2]OR-Res-Existing Cust'!SR185*0.67*'[2]Key Inputs'!$C$75)+('[2]OR-Res-Cust Growth'!ST55*0.87*'[2]Key Inputs'!$C$74)+('[2]OR-Res-Cust Growth'!ST183*0.87*'[2]Key Inputs'!$C$75)+('[2]OR-Com-Existing Cust'!SR57*0.87*'[2]Key Inputs'!$C$78)+('[2]OR-Com-Cust Growth'!ST55*0.87*'[2]Key Inputs'!$C$78)</f>
        <v>9340712.5771659985</v>
      </c>
      <c r="Q23" s="133">
        <f>('[2]OR-Res-Existing Cust'!SS57*0.87*'[2]Key Inputs'!$C$74)+('[2]OR-Res-Existing Cust'!SS185*0.67*'[2]Key Inputs'!$C$75)+('[2]OR-Res-Cust Growth'!SU55*0.87*'[2]Key Inputs'!$C$74)+('[2]OR-Res-Cust Growth'!SU183*0.87*'[2]Key Inputs'!$C$75)+('[2]OR-Com-Existing Cust'!SS57*0.87*'[2]Key Inputs'!$C$78)+('[2]OR-Com-Cust Growth'!SU55*0.87*'[2]Key Inputs'!$C$78)</f>
        <v>27135615.833156537</v>
      </c>
      <c r="R23" s="133">
        <f>('[2]OR-Res-Existing Cust'!ST57*0.87*'[2]Key Inputs'!$C$74)+('[2]OR-Res-Existing Cust'!ST185*0.67*'[2]Key Inputs'!$C$75)+('[2]OR-Res-Cust Growth'!SV55*0.87*'[2]Key Inputs'!$C$74)+('[2]OR-Res-Cust Growth'!SV183*0.87*'[2]Key Inputs'!$C$75)+('[2]OR-Com-Existing Cust'!ST57*0.87*'[2]Key Inputs'!$C$78)+('[2]OR-Com-Cust Growth'!SV55*0.87*'[2]Key Inputs'!$C$78)</f>
        <v>0</v>
      </c>
      <c r="S23" s="133">
        <f>('[2]OR-Res-Existing Cust'!SU57*0.87*'[2]Key Inputs'!$C$74)+('[2]OR-Res-Existing Cust'!SU185*0.67*'[2]Key Inputs'!$C$75)+('[2]OR-Res-Cust Growth'!SW55*0.87*'[2]Key Inputs'!$C$74)+('[2]OR-Res-Cust Growth'!SW183*0.87*'[2]Key Inputs'!$C$75)+('[2]OR-Com-Existing Cust'!SU57*0.87*'[2]Key Inputs'!$C$78)+('[2]OR-Com-Cust Growth'!SW55*0.87*'[2]Key Inputs'!$C$78)</f>
        <v>0</v>
      </c>
      <c r="T23" s="133">
        <f>('[2]OR-Res-Existing Cust'!SV57*0.87*'[2]Key Inputs'!$C$74)+('[2]OR-Res-Existing Cust'!SV185*0.67*'[2]Key Inputs'!$C$75)+('[2]OR-Res-Cust Growth'!SX55*0.87*'[2]Key Inputs'!$C$74)+('[2]OR-Res-Cust Growth'!SX183*0.87*'[2]Key Inputs'!$C$75)+('[2]OR-Com-Existing Cust'!SV57*0.87*'[2]Key Inputs'!$C$78)+('[2]OR-Com-Cust Growth'!SX55*0.87*'[2]Key Inputs'!$C$78)</f>
        <v>35364952.772937641</v>
      </c>
      <c r="U23" s="133">
        <f>('[2]OR-Res-Existing Cust'!SW57*0.87*'[2]Key Inputs'!$C$74)+('[2]OR-Res-Existing Cust'!SW185*0.67*'[2]Key Inputs'!$C$75)+('[2]OR-Res-Cust Growth'!SY55*0.87*'[2]Key Inputs'!$C$74)+('[2]OR-Res-Cust Growth'!SY183*0.87*'[2]Key Inputs'!$C$75)+('[2]OR-Com-Existing Cust'!SW57*0.87*'[2]Key Inputs'!$C$78)+('[2]OR-Com-Cust Growth'!SY55*0.87*'[2]Key Inputs'!$C$78)</f>
        <v>35364952.772937641</v>
      </c>
      <c r="V23" s="133">
        <f>('[2]OR-Res-Existing Cust'!SX57*0.87*'[2]Key Inputs'!$C$74)+('[2]OR-Res-Existing Cust'!SX185*0.67*'[2]Key Inputs'!$C$75)+('[2]OR-Res-Cust Growth'!SZ55*0.87*'[2]Key Inputs'!$C$74)+('[2]OR-Res-Cust Growth'!SZ183*0.87*'[2]Key Inputs'!$C$75)+('[2]OR-Com-Existing Cust'!SX57*0.87*'[2]Key Inputs'!$C$78)+('[2]OR-Com-Cust Growth'!SZ55*0.87*'[2]Key Inputs'!$C$78)</f>
        <v>2802213.7731497996</v>
      </c>
      <c r="X23" s="63">
        <f>(('[2]OR-Res-Existing Cust'!SO121+'[2]OR-Res-Cust Growth'!SQ119)*'[2]Key Inputs'!$C$73)+(('[2]OR-Com-Existing Cust'!SO121+'[2]OR-Com-Cust Growth'!SQ119)*'[2]Key Inputs'!$C$77)</f>
        <v>0</v>
      </c>
      <c r="Y23" s="63">
        <f>(('[2]OR-Res-Existing Cust'!SP121+'[2]OR-Res-Cust Growth'!SR119)*'[2]Key Inputs'!$C$73)+(('[2]OR-Com-Existing Cust'!SP121+'[2]OR-Com-Cust Growth'!SR119)*'[2]Key Inputs'!$C$77)</f>
        <v>4546387.2552584745</v>
      </c>
      <c r="Z23" s="63">
        <f>(('[2]OR-Res-Existing Cust'!SQ121+'[2]OR-Res-Cust Growth'!SS119)*'[2]Key Inputs'!$C$73)+(('[2]OR-Com-Existing Cust'!SQ121+'[2]OR-Com-Cust Growth'!SS119)*'[2]Key Inputs'!$C$77)</f>
        <v>3438318.6925970088</v>
      </c>
      <c r="AA23" s="63">
        <f>(('[2]OR-Res-Existing Cust'!SR121+'[2]OR-Res-Cust Growth'!ST119)*'[2]Key Inputs'!$C$73)+(('[2]OR-Com-Existing Cust'!SR121+'[2]OR-Com-Cust Growth'!ST119)*'[2]Key Inputs'!$C$77)</f>
        <v>11839354.745957818</v>
      </c>
      <c r="AB23" s="63">
        <f>(('[2]OR-Res-Existing Cust'!SS121+'[2]OR-Res-Cust Growth'!SU119)*'[2]Key Inputs'!$C$73)+(('[2]OR-Com-Existing Cust'!SS121+'[2]OR-Com-Cust Growth'!SU119)*'[2]Key Inputs'!$C$77)</f>
        <v>3551806.4237873456</v>
      </c>
      <c r="AC23" s="63">
        <f>(('[2]OR-Res-Existing Cust'!ST121+'[2]OR-Res-Cust Growth'!SV119)*'[2]Key Inputs'!$C$73)+(('[2]OR-Com-Existing Cust'!ST121+'[2]OR-Com-Cust Growth'!SV119)*'[2]Key Inputs'!$C$77)</f>
        <v>0</v>
      </c>
      <c r="AD23" s="63">
        <f>(('[2]OR-Res-Existing Cust'!SU121+'[2]OR-Res-Cust Growth'!SW119)*'[2]Key Inputs'!$C$73)+(('[2]OR-Com-Existing Cust'!SU121+'[2]OR-Com-Cust Growth'!SW119)*'[2]Key Inputs'!$C$77)</f>
        <v>0</v>
      </c>
      <c r="AE23" s="63">
        <f>(('[2]OR-Res-Existing Cust'!SV121+'[2]OR-Res-Cust Growth'!SX119)*'[2]Key Inputs'!$C$73)+(('[2]OR-Com-Existing Cust'!SV121+'[2]OR-Com-Cust Growth'!SX119)*'[2]Key Inputs'!$C$77)</f>
        <v>4546387.2552584745</v>
      </c>
      <c r="AF23" s="63">
        <f>(('[2]OR-Res-Existing Cust'!SW121+'[2]OR-Res-Cust Growth'!SY119)*'[2]Key Inputs'!$C$73)+(('[2]OR-Com-Existing Cust'!SW121+'[2]OR-Com-Cust Growth'!SY119)*'[2]Key Inputs'!$C$77)</f>
        <v>4546387.2552584745</v>
      </c>
      <c r="AG23" s="63">
        <f>(('[2]OR-Res-Existing Cust'!SX121+'[2]OR-Res-Cust Growth'!SZ119)*'[2]Key Inputs'!$C$73)+(('[2]OR-Com-Existing Cust'!SX121+'[2]OR-Com-Cust Growth'!SZ119)*'[2]Key Inputs'!$C$77)</f>
        <v>3551806.4237873456</v>
      </c>
      <c r="AI23" s="152">
        <f>'[6]OR-IndComSales-Annual'!TF25*2.33</f>
        <v>0</v>
      </c>
      <c r="AJ23" s="152">
        <f>'[6]OR-IndComSales-Annual'!TG25*2.33</f>
        <v>0</v>
      </c>
      <c r="AK23" s="152">
        <f>'[6]OR-IndComSales-Annual'!TH25*2.33</f>
        <v>52832.260700397193</v>
      </c>
      <c r="AL23" s="152">
        <f>'[6]OR-IndComSales-Annual'!TI25*2.33</f>
        <v>0</v>
      </c>
      <c r="AM23" s="152">
        <f>'[6]OR-IndComSales-Annual'!TJ25*2.33</f>
        <v>0</v>
      </c>
      <c r="AN23" s="152">
        <f>'[6]OR-IndComSales-Annual'!TK25*2.33</f>
        <v>0</v>
      </c>
      <c r="AO23" s="152">
        <f>'[6]OR-IndComSales-Annual'!TL25*2.33</f>
        <v>0</v>
      </c>
      <c r="AP23" s="152">
        <f>'[6]OR-IndComSales-Annual'!TM25*2.33</f>
        <v>0</v>
      </c>
      <c r="AQ23" s="152">
        <f>'[6]OR-IndComSales-Annual'!TN25*2.33</f>
        <v>0</v>
      </c>
      <c r="AR23" s="152">
        <f>'[6]OR-IndComSales-Annual'!TO25*2.33</f>
        <v>0</v>
      </c>
      <c r="AT23">
        <v>0</v>
      </c>
      <c r="AU23" s="152">
        <f>'[6]OR-Transport-Annual'!TE25*1.79</f>
        <v>566322.53595011949</v>
      </c>
      <c r="AV23" s="152">
        <f>'[6]OR-Transport-Annual'!TF25*1.79</f>
        <v>1132645.071900239</v>
      </c>
      <c r="AW23" s="152">
        <f>'[6]OR-Transport-Annual'!TG25*1.79</f>
        <v>566322.53595011949</v>
      </c>
      <c r="AX23" s="152">
        <f>'[6]OR-Transport-Annual'!TH25*1.79</f>
        <v>566322.53595011949</v>
      </c>
      <c r="AY23" s="152">
        <f>'[6]OR-Transport-Annual'!TI25*1.79</f>
        <v>0</v>
      </c>
      <c r="AZ23" s="152">
        <f>'[6]OR-Transport-Annual'!TJ25*1.79</f>
        <v>0</v>
      </c>
      <c r="BA23" s="152">
        <f>'[6]OR-Transport-Annual'!TK25*1.79</f>
        <v>566322.53595011949</v>
      </c>
      <c r="BB23" s="152">
        <f>'[6]OR-Transport-Annual'!TL25*1.79</f>
        <v>566322.53595011949</v>
      </c>
      <c r="BC23" s="152">
        <f>'[6]OR-Transport-Annual'!TM25*1.79</f>
        <v>283161.26797505975</v>
      </c>
      <c r="BE23" s="133">
        <f t="shared" si="1"/>
        <v>5164022.145416189</v>
      </c>
      <c r="BF23" s="133">
        <f t="shared" si="1"/>
        <v>45641684.709562413</v>
      </c>
      <c r="BG23" s="133">
        <f t="shared" si="1"/>
        <v>138174928.20314261</v>
      </c>
      <c r="BH23" s="133">
        <f t="shared" si="1"/>
        <v>26910412.004490126</v>
      </c>
      <c r="BI23" s="133">
        <f t="shared" si="1"/>
        <v>31582247.032791894</v>
      </c>
      <c r="BJ23" s="133">
        <f t="shared" si="1"/>
        <v>0</v>
      </c>
      <c r="BK23" s="133">
        <f t="shared" si="1"/>
        <v>0</v>
      </c>
      <c r="BL23" s="133">
        <f t="shared" si="1"/>
        <v>45641684.709562413</v>
      </c>
      <c r="BM23" s="133">
        <f t="shared" si="1"/>
        <v>45641684.709562413</v>
      </c>
      <c r="BN23" s="133">
        <f t="shared" si="1"/>
        <v>11801203.610328395</v>
      </c>
      <c r="BP23" s="153">
        <f>BE23/(([4]Annual!FZ23+[4]Annual!EW23)/10)</f>
        <v>4.8191612894845234E-2</v>
      </c>
      <c r="BQ23" s="153">
        <f>BF23/(([4]Annual!GA23+[4]Annual!EX23)/10)</f>
        <v>0.51002632574848905</v>
      </c>
      <c r="BR23" s="153">
        <f>BG23/(([4]Annual!GB23+[4]Annual!EY23)/10)</f>
        <v>1.5764283084525164</v>
      </c>
      <c r="BS23" s="153">
        <f>BH23/(([4]Annual!GC23+[4]Annual!EZ23)/10)</f>
        <v>0.33754662382149392</v>
      </c>
      <c r="BT23" s="153">
        <f>BI23/(([4]Annual!GD23+[4]Annual!FA23)/10)</f>
        <v>0.44997872621057355</v>
      </c>
      <c r="BU23" s="153">
        <f>BJ23/(([4]Annual!GE23+[4]Annual!FB23)/10)</f>
        <v>0</v>
      </c>
      <c r="BV23" s="153">
        <f>BK23/(([4]Annual!GF23+[4]Annual!FC23)/10)</f>
        <v>0</v>
      </c>
      <c r="BW23" s="153">
        <f>BL23/(([4]Annual!GG23+[4]Annual!FD23)/10)</f>
        <v>0.49529436245672837</v>
      </c>
      <c r="BX23" s="153">
        <f>BM23/(([4]Annual!GH23+[4]Annual!FE23)/10)</f>
        <v>0.4904601069369583</v>
      </c>
      <c r="BY23" s="153">
        <f>BN23/(([4]Annual!GI23+[4]Annual!FF23)/10)</f>
        <v>0.18191948978013658</v>
      </c>
    </row>
    <row r="24" spans="1:77" x14ac:dyDescent="0.25">
      <c r="A24">
        <v>2044</v>
      </c>
      <c r="B24" s="133">
        <f>('[2]OR Res Incremental EE'!ST24+'[2]OR Com Incremental EE'!SI24)*'[5]Energy Efficiency'!$BR$9</f>
        <v>6002354.2729098573</v>
      </c>
      <c r="C24" s="133">
        <f>('[2]OR Res Incremental EE'!SU24+'[2]OR Com Incremental EE'!SJ24)*'[5]Energy Efficiency'!$BR$9</f>
        <v>6002354.2729098573</v>
      </c>
      <c r="D24" s="133">
        <f>('[2]OR Res Incremental EE'!SV24+'[2]OR Com Incremental EE'!SK24)*'[5]Energy Efficiency'!$BR$9</f>
        <v>35872556.041658148</v>
      </c>
      <c r="E24" s="133">
        <f>('[2]OR Res Incremental EE'!SW24+'[2]OR Com Incremental EE'!SL24)*'[5]Energy Efficiency'!$BR$9</f>
        <v>6002354.2729098573</v>
      </c>
      <c r="F24" s="133">
        <f>('[2]OR Res Incremental EE'!SX24+'[2]OR Com Incremental EE'!SM24)*'[5]Energy Efficiency'!$BR$9</f>
        <v>452891.01511615497</v>
      </c>
      <c r="G24" s="133">
        <v>0</v>
      </c>
      <c r="H24" s="133">
        <v>0</v>
      </c>
      <c r="I24" s="133">
        <f>('[2]OR Res Incremental EE'!TA24+'[2]OR Com Incremental EE'!SP24)*'[5]Energy Efficiency'!$BR$9</f>
        <v>6002354.2729098573</v>
      </c>
      <c r="J24" s="133">
        <f>('[2]OR Res Incremental EE'!TB24+'[2]OR Com Incremental EE'!SQ24)*'[5]Energy Efficiency'!$BR$9</f>
        <v>6002354.2729098573</v>
      </c>
      <c r="K24" s="133">
        <f>('[2]OR Res Incremental EE'!TC24+'[2]OR Com Incremental EE'!SR24)*'[5]Energy Efficiency'!$BR$9</f>
        <v>6002354.2729098573</v>
      </c>
      <c r="L24" s="133"/>
      <c r="M24" s="133">
        <f>('[2]OR-Res-Existing Cust'!SO58*0.87*'[2]Key Inputs'!$C$74)+('[2]OR-Res-Existing Cust'!SO186*0.67*'[2]Key Inputs'!$C$75)+('[2]OR-Res-Cust Growth'!SQ56*0.87*'[2]Key Inputs'!$C$74)+('[2]OR-Res-Cust Growth'!SQ184*0.87*'[2]Key Inputs'!$C$75)+('[2]OR-Com-Existing Cust'!SO58*0.87*'[2]Key Inputs'!$C$78)+('[2]OR-Com-Cust Growth'!SQ56*0.87*'[2]Key Inputs'!$C$78)</f>
        <v>0</v>
      </c>
      <c r="N24" s="133">
        <f>('[2]OR-Res-Existing Cust'!SP58*0.87*'[2]Key Inputs'!$C$74)+('[2]OR-Res-Existing Cust'!SP186*0.67*'[2]Key Inputs'!$C$75)+('[2]OR-Res-Cust Growth'!SR56*0.87*'[2]Key Inputs'!$C$74)+('[2]OR-Res-Cust Growth'!SR184*0.87*'[2]Key Inputs'!$C$75)+('[2]OR-Com-Existing Cust'!SP58*0.87*'[2]Key Inputs'!$C$78)+('[2]OR-Com-Cust Growth'!SR56*0.87*'[2]Key Inputs'!$C$78)</f>
        <v>35261837.559349984</v>
      </c>
      <c r="O24" s="133">
        <f>('[2]OR-Res-Existing Cust'!SQ58*0.87*'[2]Key Inputs'!$C$74)+('[2]OR-Res-Existing Cust'!SQ186*0.67*'[2]Key Inputs'!$C$75)+('[2]OR-Res-Cust Growth'!SS56*0.87*'[2]Key Inputs'!$C$74)+('[2]OR-Res-Cust Growth'!SS184*0.87*'[2]Key Inputs'!$C$75)+('[2]OR-Com-Existing Cust'!SQ58*0.87*'[2]Key Inputs'!$C$78)+('[2]OR-Com-Cust Growth'!SS56*0.87*'[2]Key Inputs'!$C$78)</f>
        <v>96419391.062123686</v>
      </c>
      <c r="P24" s="133">
        <f>('[2]OR-Res-Existing Cust'!SR58*0.87*'[2]Key Inputs'!$C$74)+('[2]OR-Res-Existing Cust'!SR186*0.67*'[2]Key Inputs'!$C$75)+('[2]OR-Res-Cust Growth'!ST56*0.87*'[2]Key Inputs'!$C$74)+('[2]OR-Res-Cust Growth'!ST184*0.87*'[2]Key Inputs'!$C$75)+('[2]OR-Com-Existing Cust'!SR58*0.87*'[2]Key Inputs'!$C$78)+('[2]OR-Com-Cust Growth'!ST56*0.87*'[2]Key Inputs'!$C$78)</f>
        <v>9156971.2109220847</v>
      </c>
      <c r="Q24" s="133">
        <f>('[2]OR-Res-Existing Cust'!SS58*0.87*'[2]Key Inputs'!$C$74)+('[2]OR-Res-Existing Cust'!SS186*0.67*'[2]Key Inputs'!$C$75)+('[2]OR-Res-Cust Growth'!SU56*0.87*'[2]Key Inputs'!$C$74)+('[2]OR-Res-Cust Growth'!SU184*0.87*'[2]Key Inputs'!$C$75)+('[2]OR-Com-Existing Cust'!SS58*0.87*'[2]Key Inputs'!$C$78)+('[2]OR-Com-Cust Growth'!SU56*0.87*'[2]Key Inputs'!$C$78)</f>
        <v>27095621.83006113</v>
      </c>
      <c r="R24" s="133">
        <f>('[2]OR-Res-Existing Cust'!ST58*0.87*'[2]Key Inputs'!$C$74)+('[2]OR-Res-Existing Cust'!ST186*0.67*'[2]Key Inputs'!$C$75)+('[2]OR-Res-Cust Growth'!SV56*0.87*'[2]Key Inputs'!$C$74)+('[2]OR-Res-Cust Growth'!SV184*0.87*'[2]Key Inputs'!$C$75)+('[2]OR-Com-Existing Cust'!ST58*0.87*'[2]Key Inputs'!$C$78)+('[2]OR-Com-Cust Growth'!SV56*0.87*'[2]Key Inputs'!$C$78)</f>
        <v>0</v>
      </c>
      <c r="S24" s="133">
        <f>('[2]OR-Res-Existing Cust'!SU58*0.87*'[2]Key Inputs'!$C$74)+('[2]OR-Res-Existing Cust'!SU186*0.67*'[2]Key Inputs'!$C$75)+('[2]OR-Res-Cust Growth'!SW56*0.87*'[2]Key Inputs'!$C$74)+('[2]OR-Res-Cust Growth'!SW184*0.87*'[2]Key Inputs'!$C$75)+('[2]OR-Com-Existing Cust'!SU58*0.87*'[2]Key Inputs'!$C$78)+('[2]OR-Com-Cust Growth'!SW56*0.87*'[2]Key Inputs'!$C$78)</f>
        <v>0</v>
      </c>
      <c r="T24" s="133">
        <f>('[2]OR-Res-Existing Cust'!SV58*0.87*'[2]Key Inputs'!$C$74)+('[2]OR-Res-Existing Cust'!SV186*0.67*'[2]Key Inputs'!$C$75)+('[2]OR-Res-Cust Growth'!SX56*0.87*'[2]Key Inputs'!$C$74)+('[2]OR-Res-Cust Growth'!SX184*0.87*'[2]Key Inputs'!$C$75)+('[2]OR-Com-Existing Cust'!SV58*0.87*'[2]Key Inputs'!$C$78)+('[2]OR-Com-Cust Growth'!SX56*0.87*'[2]Key Inputs'!$C$78)</f>
        <v>35261837.559349984</v>
      </c>
      <c r="U24" s="133">
        <f>('[2]OR-Res-Existing Cust'!SW58*0.87*'[2]Key Inputs'!$C$74)+('[2]OR-Res-Existing Cust'!SW186*0.67*'[2]Key Inputs'!$C$75)+('[2]OR-Res-Cust Growth'!SY56*0.87*'[2]Key Inputs'!$C$74)+('[2]OR-Res-Cust Growth'!SY184*0.87*'[2]Key Inputs'!$C$75)+('[2]OR-Com-Existing Cust'!SW58*0.87*'[2]Key Inputs'!$C$78)+('[2]OR-Com-Cust Growth'!SY56*0.87*'[2]Key Inputs'!$C$78)</f>
        <v>35261837.559349984</v>
      </c>
      <c r="V24" s="133">
        <f>('[2]OR-Res-Existing Cust'!SX58*0.87*'[2]Key Inputs'!$C$74)+('[2]OR-Res-Existing Cust'!SX186*0.67*'[2]Key Inputs'!$C$75)+('[2]OR-Res-Cust Growth'!SZ56*0.87*'[2]Key Inputs'!$C$74)+('[2]OR-Res-Cust Growth'!SZ184*0.87*'[2]Key Inputs'!$C$75)+('[2]OR-Com-Existing Cust'!SX58*0.87*'[2]Key Inputs'!$C$78)+('[2]OR-Com-Cust Growth'!SZ56*0.87*'[2]Key Inputs'!$C$78)</f>
        <v>2747091.3632766251</v>
      </c>
      <c r="X24" s="63">
        <f>(('[2]OR-Res-Existing Cust'!SO122+'[2]OR-Res-Cust Growth'!SQ120)*'[2]Key Inputs'!$C$73)+(('[2]OR-Com-Existing Cust'!SO122+'[2]OR-Com-Cust Growth'!SQ120)*'[2]Key Inputs'!$C$77)</f>
        <v>0</v>
      </c>
      <c r="Y24" s="63">
        <f>(('[2]OR-Res-Existing Cust'!SP122+'[2]OR-Res-Cust Growth'!SR120)*'[2]Key Inputs'!$C$73)+(('[2]OR-Com-Existing Cust'!SP122+'[2]OR-Com-Cust Growth'!SR120)*'[2]Key Inputs'!$C$77)</f>
        <v>4527082.6556515396</v>
      </c>
      <c r="Z24" s="63">
        <f>(('[2]OR-Res-Existing Cust'!SQ122+'[2]OR-Res-Cust Growth'!SS120)*'[2]Key Inputs'!$C$73)+(('[2]OR-Com-Existing Cust'!SQ122+'[2]OR-Com-Cust Growth'!SS120)*'[2]Key Inputs'!$C$77)</f>
        <v>3405355.7218862823</v>
      </c>
      <c r="AA24" s="63">
        <f>(('[2]OR-Res-Existing Cust'!SR122+'[2]OR-Res-Cust Growth'!ST120)*'[2]Key Inputs'!$C$73)+(('[2]OR-Com-Existing Cust'!SR122+'[2]OR-Com-Cust Growth'!ST120)*'[2]Key Inputs'!$C$77)</f>
        <v>11820744.191248059</v>
      </c>
      <c r="AB24" s="63">
        <f>(('[2]OR-Res-Existing Cust'!SS122+'[2]OR-Res-Cust Growth'!SU120)*'[2]Key Inputs'!$C$73)+(('[2]OR-Com-Existing Cust'!SS122+'[2]OR-Com-Cust Growth'!SU120)*'[2]Key Inputs'!$C$77)</f>
        <v>3546223.2573744175</v>
      </c>
      <c r="AC24" s="63">
        <f>(('[2]OR-Res-Existing Cust'!ST122+'[2]OR-Res-Cust Growth'!SV120)*'[2]Key Inputs'!$C$73)+(('[2]OR-Com-Existing Cust'!ST122+'[2]OR-Com-Cust Growth'!SV120)*'[2]Key Inputs'!$C$77)</f>
        <v>0</v>
      </c>
      <c r="AD24" s="63">
        <f>(('[2]OR-Res-Existing Cust'!SU122+'[2]OR-Res-Cust Growth'!SW120)*'[2]Key Inputs'!$C$73)+(('[2]OR-Com-Existing Cust'!SU122+'[2]OR-Com-Cust Growth'!SW120)*'[2]Key Inputs'!$C$77)</f>
        <v>0</v>
      </c>
      <c r="AE24" s="63">
        <f>(('[2]OR-Res-Existing Cust'!SV122+'[2]OR-Res-Cust Growth'!SX120)*'[2]Key Inputs'!$C$73)+(('[2]OR-Com-Existing Cust'!SV122+'[2]OR-Com-Cust Growth'!SX120)*'[2]Key Inputs'!$C$77)</f>
        <v>4527082.6556515396</v>
      </c>
      <c r="AF24" s="63">
        <f>(('[2]OR-Res-Existing Cust'!SW122+'[2]OR-Res-Cust Growth'!SY120)*'[2]Key Inputs'!$C$73)+(('[2]OR-Com-Existing Cust'!SW122+'[2]OR-Com-Cust Growth'!SY120)*'[2]Key Inputs'!$C$77)</f>
        <v>4527082.6556515396</v>
      </c>
      <c r="AG24" s="63">
        <f>(('[2]OR-Res-Existing Cust'!SX122+'[2]OR-Res-Cust Growth'!SZ120)*'[2]Key Inputs'!$C$73)+(('[2]OR-Com-Existing Cust'!SX122+'[2]OR-Com-Cust Growth'!SZ120)*'[2]Key Inputs'!$C$77)</f>
        <v>3546223.2573744175</v>
      </c>
      <c r="AI24" s="152">
        <f>'[6]OR-IndComSales-Annual'!TF26*2.33</f>
        <v>0</v>
      </c>
      <c r="AJ24" s="152">
        <f>'[6]OR-IndComSales-Annual'!TG26*2.33</f>
        <v>0</v>
      </c>
      <c r="AK24" s="152">
        <f>'[6]OR-IndComSales-Annual'!TH26*2.33</f>
        <v>354992.29929946392</v>
      </c>
      <c r="AL24" s="152">
        <f>'[6]OR-IndComSales-Annual'!TI26*2.33</f>
        <v>0</v>
      </c>
      <c r="AM24" s="152">
        <f>'[6]OR-IndComSales-Annual'!TJ26*2.33</f>
        <v>0</v>
      </c>
      <c r="AN24" s="152">
        <f>'[6]OR-IndComSales-Annual'!TK26*2.33</f>
        <v>0</v>
      </c>
      <c r="AO24" s="152">
        <f>'[6]OR-IndComSales-Annual'!TL26*2.33</f>
        <v>0</v>
      </c>
      <c r="AP24" s="152">
        <f>'[6]OR-IndComSales-Annual'!TM26*2.33</f>
        <v>0</v>
      </c>
      <c r="AQ24" s="152">
        <f>'[6]OR-IndComSales-Annual'!TN26*2.33</f>
        <v>0</v>
      </c>
      <c r="AR24" s="152">
        <f>'[6]OR-IndComSales-Annual'!TO26*2.33</f>
        <v>0</v>
      </c>
      <c r="AT24">
        <v>0</v>
      </c>
      <c r="AU24" s="152">
        <f>'[6]OR-Transport-Annual'!TE26*1.79</f>
        <v>436863.92740011099</v>
      </c>
      <c r="AV24" s="152">
        <f>'[6]OR-Transport-Annual'!TF26*1.79</f>
        <v>873727.85480022198</v>
      </c>
      <c r="AW24" s="152">
        <f>'[6]OR-Transport-Annual'!TG26*1.79</f>
        <v>436863.92740011099</v>
      </c>
      <c r="AX24" s="152">
        <f>'[6]OR-Transport-Annual'!TH26*1.79</f>
        <v>436863.92740011099</v>
      </c>
      <c r="AY24" s="152">
        <f>'[6]OR-Transport-Annual'!TI26*1.79</f>
        <v>0</v>
      </c>
      <c r="AZ24" s="152">
        <f>'[6]OR-Transport-Annual'!TJ26*1.79</f>
        <v>0</v>
      </c>
      <c r="BA24" s="152">
        <f>'[6]OR-Transport-Annual'!TK26*1.79</f>
        <v>436863.92740011099</v>
      </c>
      <c r="BB24" s="152">
        <f>'[6]OR-Transport-Annual'!TL26*1.79</f>
        <v>436863.92740011099</v>
      </c>
      <c r="BC24" s="152">
        <f>'[6]OR-Transport-Annual'!TM26*1.79</f>
        <v>218431.96370005549</v>
      </c>
      <c r="BE24" s="133">
        <f t="shared" si="1"/>
        <v>6002354.2729098573</v>
      </c>
      <c r="BF24" s="133">
        <f t="shared" si="1"/>
        <v>46228138.415311493</v>
      </c>
      <c r="BG24" s="133">
        <f t="shared" si="1"/>
        <v>136926022.97976783</v>
      </c>
      <c r="BH24" s="133">
        <f t="shared" si="1"/>
        <v>27416933.602480114</v>
      </c>
      <c r="BI24" s="133">
        <f t="shared" si="1"/>
        <v>31531600.029951815</v>
      </c>
      <c r="BJ24" s="133">
        <f t="shared" si="1"/>
        <v>0</v>
      </c>
      <c r="BK24" s="133">
        <f t="shared" si="1"/>
        <v>0</v>
      </c>
      <c r="BL24" s="133">
        <f t="shared" si="1"/>
        <v>46228138.415311493</v>
      </c>
      <c r="BM24" s="133">
        <f t="shared" si="1"/>
        <v>46228138.415311493</v>
      </c>
      <c r="BN24" s="133">
        <f t="shared" si="1"/>
        <v>12514100.857260955</v>
      </c>
      <c r="BP24" s="153">
        <f>BE24/(([4]Annual!FZ24+[4]Annual!EW24)/10)</f>
        <v>5.5694467674040918E-2</v>
      </c>
      <c r="BQ24" s="153">
        <f>BF24/(([4]Annual!GA24+[4]Annual!EX24)/10)</f>
        <v>0.51725051151264045</v>
      </c>
      <c r="BR24" s="153">
        <f>BG24/(([4]Annual!GB24+[4]Annual!EY24)/10)</f>
        <v>1.5685366177332245</v>
      </c>
      <c r="BS24" s="153">
        <f>BH24/(([4]Annual!GC24+[4]Annual!EZ24)/10)</f>
        <v>0.34761117932089414</v>
      </c>
      <c r="BT24" s="153">
        <f>BI24/(([4]Annual!GD24+[4]Annual!FA24)/10)</f>
        <v>0.45576820300240606</v>
      </c>
      <c r="BU24" s="153">
        <f>BJ24/(([4]Annual!GE24+[4]Annual!FB24)/10)</f>
        <v>0</v>
      </c>
      <c r="BV24" s="153">
        <f>BK24/(([4]Annual!GF24+[4]Annual!FC24)/10)</f>
        <v>0</v>
      </c>
      <c r="BW24" s="153">
        <f>BL24/(([4]Annual!GG24+[4]Annual!FD24)/10)</f>
        <v>0.50210711117330042</v>
      </c>
      <c r="BX24" s="153">
        <f>BM24/(([4]Annual!GH24+[4]Annual!FE24)/10)</f>
        <v>0.49712091351812632</v>
      </c>
      <c r="BY24" s="153">
        <f>BN24/(([4]Annual!GI24+[4]Annual!FF24)/10)</f>
        <v>0.19288973760134326</v>
      </c>
    </row>
    <row r="25" spans="1:77" x14ac:dyDescent="0.25">
      <c r="A25">
        <v>2045</v>
      </c>
      <c r="B25" s="133">
        <f>('[2]OR Res Incremental EE'!ST25+'[2]OR Com Incremental EE'!SI25)*'[5]Energy Efficiency'!$BR$9</f>
        <v>6045290.4658323014</v>
      </c>
      <c r="C25" s="133">
        <f>('[2]OR Res Incremental EE'!SU25+'[2]OR Com Incremental EE'!SJ25)*'[5]Energy Efficiency'!$BR$9</f>
        <v>6045290.4658323014</v>
      </c>
      <c r="D25" s="133">
        <f>('[2]OR Res Incremental EE'!SV25+'[2]OR Com Incremental EE'!SK25)*'[5]Energy Efficiency'!$BR$9</f>
        <v>35866044.245980762</v>
      </c>
      <c r="E25" s="133">
        <f>('[2]OR Res Incremental EE'!SW25+'[2]OR Com Incremental EE'!SL25)*'[5]Energy Efficiency'!$BR$9</f>
        <v>6045290.4658323014</v>
      </c>
      <c r="F25" s="133">
        <f>('[2]OR Res Incremental EE'!SX25+'[2]OR Com Incremental EE'!SM25)*'[5]Energy Efficiency'!$BR$9</f>
        <v>442458.43331907631</v>
      </c>
      <c r="G25" s="133">
        <v>0</v>
      </c>
      <c r="H25" s="133">
        <v>0</v>
      </c>
      <c r="I25" s="133">
        <f>('[2]OR Res Incremental EE'!TA25+'[2]OR Com Incremental EE'!SP25)*'[5]Energy Efficiency'!$BR$9</f>
        <v>6045290.4658323014</v>
      </c>
      <c r="J25" s="133">
        <f>('[2]OR Res Incremental EE'!TB25+'[2]OR Com Incremental EE'!SQ25)*'[5]Energy Efficiency'!$BR$9</f>
        <v>6045290.4658323014</v>
      </c>
      <c r="K25" s="133">
        <f>('[2]OR Res Incremental EE'!TC25+'[2]OR Com Incremental EE'!SR25)*'[5]Energy Efficiency'!$BR$9</f>
        <v>6045290.4658323014</v>
      </c>
      <c r="L25" s="133"/>
      <c r="M25" s="133">
        <f>('[2]OR-Res-Existing Cust'!SO59*0.87*'[2]Key Inputs'!$C$74)+('[2]OR-Res-Existing Cust'!SO187*0.67*'[2]Key Inputs'!$C$75)+('[2]OR-Res-Cust Growth'!SQ57*0.87*'[2]Key Inputs'!$C$74)+('[2]OR-Res-Cust Growth'!SQ185*0.87*'[2]Key Inputs'!$C$75)+('[2]OR-Com-Existing Cust'!SO59*0.87*'[2]Key Inputs'!$C$78)+('[2]OR-Com-Cust Growth'!SQ57*0.87*'[2]Key Inputs'!$C$78)</f>
        <v>0</v>
      </c>
      <c r="N25" s="133">
        <f>('[2]OR-Res-Existing Cust'!SP59*0.87*'[2]Key Inputs'!$C$74)+('[2]OR-Res-Existing Cust'!SP187*0.67*'[2]Key Inputs'!$C$75)+('[2]OR-Res-Cust Growth'!SR57*0.87*'[2]Key Inputs'!$C$74)+('[2]OR-Res-Cust Growth'!SR185*0.87*'[2]Key Inputs'!$C$75)+('[2]OR-Com-Existing Cust'!SP59*0.87*'[2]Key Inputs'!$C$78)+('[2]OR-Com-Cust Growth'!SR57*0.87*'[2]Key Inputs'!$C$78)</f>
        <v>35156739.011799708</v>
      </c>
      <c r="O25" s="133">
        <f>('[2]OR-Res-Existing Cust'!SQ59*0.87*'[2]Key Inputs'!$C$74)+('[2]OR-Res-Existing Cust'!SQ187*0.67*'[2]Key Inputs'!$C$75)+('[2]OR-Res-Cust Growth'!SS57*0.87*'[2]Key Inputs'!$C$74)+('[2]OR-Res-Cust Growth'!SS185*0.87*'[2]Key Inputs'!$C$75)+('[2]OR-Com-Existing Cust'!SQ59*0.87*'[2]Key Inputs'!$C$78)+('[2]OR-Com-Cust Growth'!SS57*0.87*'[2]Key Inputs'!$C$78)</f>
        <v>92987777.667493954</v>
      </c>
      <c r="P25" s="133">
        <f>('[2]OR-Res-Existing Cust'!SR59*0.87*'[2]Key Inputs'!$C$74)+('[2]OR-Res-Existing Cust'!SR187*0.67*'[2]Key Inputs'!$C$75)+('[2]OR-Res-Cust Growth'!ST57*0.87*'[2]Key Inputs'!$C$74)+('[2]OR-Res-Cust Growth'!ST185*0.87*'[2]Key Inputs'!$C$75)+('[2]OR-Com-Existing Cust'!SR59*0.87*'[2]Key Inputs'!$C$78)+('[2]OR-Com-Cust Growth'!ST57*0.87*'[2]Key Inputs'!$C$78)</f>
        <v>8975589.284759488</v>
      </c>
      <c r="Q25" s="133">
        <f>('[2]OR-Res-Existing Cust'!SS59*0.87*'[2]Key Inputs'!$C$74)+('[2]OR-Res-Existing Cust'!SS187*0.67*'[2]Key Inputs'!$C$75)+('[2]OR-Res-Cust Growth'!SU57*0.87*'[2]Key Inputs'!$C$74)+('[2]OR-Res-Cust Growth'!SU185*0.87*'[2]Key Inputs'!$C$75)+('[2]OR-Com-Existing Cust'!SS59*0.87*'[2]Key Inputs'!$C$78)+('[2]OR-Com-Cust Growth'!SU57*0.87*'[2]Key Inputs'!$C$78)</f>
        <v>27053385.188643221</v>
      </c>
      <c r="R25" s="133">
        <f>('[2]OR-Res-Existing Cust'!ST59*0.87*'[2]Key Inputs'!$C$74)+('[2]OR-Res-Existing Cust'!ST187*0.67*'[2]Key Inputs'!$C$75)+('[2]OR-Res-Cust Growth'!SV57*0.87*'[2]Key Inputs'!$C$74)+('[2]OR-Res-Cust Growth'!SV185*0.87*'[2]Key Inputs'!$C$75)+('[2]OR-Com-Existing Cust'!ST59*0.87*'[2]Key Inputs'!$C$78)+('[2]OR-Com-Cust Growth'!SV57*0.87*'[2]Key Inputs'!$C$78)</f>
        <v>0</v>
      </c>
      <c r="S25" s="133">
        <f>('[2]OR-Res-Existing Cust'!SU59*0.87*'[2]Key Inputs'!$C$74)+('[2]OR-Res-Existing Cust'!SU187*0.67*'[2]Key Inputs'!$C$75)+('[2]OR-Res-Cust Growth'!SW57*0.87*'[2]Key Inputs'!$C$74)+('[2]OR-Res-Cust Growth'!SW185*0.87*'[2]Key Inputs'!$C$75)+('[2]OR-Com-Existing Cust'!SU59*0.87*'[2]Key Inputs'!$C$78)+('[2]OR-Com-Cust Growth'!SW57*0.87*'[2]Key Inputs'!$C$78)</f>
        <v>0</v>
      </c>
      <c r="T25" s="133">
        <f>('[2]OR-Res-Existing Cust'!SV59*0.87*'[2]Key Inputs'!$C$74)+('[2]OR-Res-Existing Cust'!SV187*0.67*'[2]Key Inputs'!$C$75)+('[2]OR-Res-Cust Growth'!SX57*0.87*'[2]Key Inputs'!$C$74)+('[2]OR-Res-Cust Growth'!SX185*0.87*'[2]Key Inputs'!$C$75)+('[2]OR-Com-Existing Cust'!SV59*0.87*'[2]Key Inputs'!$C$78)+('[2]OR-Com-Cust Growth'!SX57*0.87*'[2]Key Inputs'!$C$78)</f>
        <v>35156739.011799708</v>
      </c>
      <c r="U25" s="133">
        <f>('[2]OR-Res-Existing Cust'!SW59*0.87*'[2]Key Inputs'!$C$74)+('[2]OR-Res-Existing Cust'!SW187*0.67*'[2]Key Inputs'!$C$75)+('[2]OR-Res-Cust Growth'!SY57*0.87*'[2]Key Inputs'!$C$74)+('[2]OR-Res-Cust Growth'!SY185*0.87*'[2]Key Inputs'!$C$75)+('[2]OR-Com-Existing Cust'!SW59*0.87*'[2]Key Inputs'!$C$78)+('[2]OR-Com-Cust Growth'!SY57*0.87*'[2]Key Inputs'!$C$78)</f>
        <v>35156739.011799708</v>
      </c>
      <c r="V25" s="133">
        <f>('[2]OR-Res-Existing Cust'!SX59*0.87*'[2]Key Inputs'!$C$74)+('[2]OR-Res-Existing Cust'!SX187*0.67*'[2]Key Inputs'!$C$75)+('[2]OR-Res-Cust Growth'!SZ57*0.87*'[2]Key Inputs'!$C$74)+('[2]OR-Res-Cust Growth'!SZ185*0.87*'[2]Key Inputs'!$C$75)+('[2]OR-Com-Existing Cust'!SX59*0.87*'[2]Key Inputs'!$C$78)+('[2]OR-Com-Cust Growth'!SZ57*0.87*'[2]Key Inputs'!$C$78)</f>
        <v>2692676.7854278465</v>
      </c>
      <c r="X25" s="63">
        <f>(('[2]OR-Res-Existing Cust'!SO123+'[2]OR-Res-Cust Growth'!SQ121)*'[2]Key Inputs'!$C$73)+(('[2]OR-Com-Existing Cust'!SO123+'[2]OR-Com-Cust Growth'!SQ121)*'[2]Key Inputs'!$C$77)</f>
        <v>0</v>
      </c>
      <c r="Y25" s="63">
        <f>(('[2]OR-Res-Existing Cust'!SP123+'[2]OR-Res-Cust Growth'!SR121)*'[2]Key Inputs'!$C$73)+(('[2]OR-Com-Existing Cust'!SP123+'[2]OR-Com-Cust Growth'!SR121)*'[2]Key Inputs'!$C$77)</f>
        <v>4505365.8188695768</v>
      </c>
      <c r="Z25" s="63">
        <f>(('[2]OR-Res-Existing Cust'!SQ123+'[2]OR-Res-Cust Growth'!SS121)*'[2]Key Inputs'!$C$73)+(('[2]OR-Com-Existing Cust'!SQ123+'[2]OR-Com-Cust Growth'!SS121)*'[2]Key Inputs'!$C$77)</f>
        <v>3366941.4534220318</v>
      </c>
      <c r="AA25" s="63">
        <f>(('[2]OR-Res-Existing Cust'!SR123+'[2]OR-Res-Cust Growth'!ST121)*'[2]Key Inputs'!$C$73)+(('[2]OR-Com-Existing Cust'!SR123+'[2]OR-Com-Cust Growth'!ST121)*'[2]Key Inputs'!$C$77)</f>
        <v>11802105.291981049</v>
      </c>
      <c r="AB25" s="63">
        <f>(('[2]OR-Res-Existing Cust'!SS123+'[2]OR-Res-Cust Growth'!SU121)*'[2]Key Inputs'!$C$73)+(('[2]OR-Com-Existing Cust'!SS123+'[2]OR-Com-Cust Growth'!SU121)*'[2]Key Inputs'!$C$77)</f>
        <v>3540631.5875943145</v>
      </c>
      <c r="AC25" s="63">
        <f>(('[2]OR-Res-Existing Cust'!ST123+'[2]OR-Res-Cust Growth'!SV121)*'[2]Key Inputs'!$C$73)+(('[2]OR-Com-Existing Cust'!ST123+'[2]OR-Com-Cust Growth'!SV121)*'[2]Key Inputs'!$C$77)</f>
        <v>0</v>
      </c>
      <c r="AD25" s="63">
        <f>(('[2]OR-Res-Existing Cust'!SU123+'[2]OR-Res-Cust Growth'!SW121)*'[2]Key Inputs'!$C$73)+(('[2]OR-Com-Existing Cust'!SU123+'[2]OR-Com-Cust Growth'!SW121)*'[2]Key Inputs'!$C$77)</f>
        <v>0</v>
      </c>
      <c r="AE25" s="63">
        <f>(('[2]OR-Res-Existing Cust'!SV123+'[2]OR-Res-Cust Growth'!SX121)*'[2]Key Inputs'!$C$73)+(('[2]OR-Com-Existing Cust'!SV123+'[2]OR-Com-Cust Growth'!SX121)*'[2]Key Inputs'!$C$77)</f>
        <v>4505365.8188695768</v>
      </c>
      <c r="AF25" s="63">
        <f>(('[2]OR-Res-Existing Cust'!SW123+'[2]OR-Res-Cust Growth'!SY121)*'[2]Key Inputs'!$C$73)+(('[2]OR-Com-Existing Cust'!SW123+'[2]OR-Com-Cust Growth'!SY121)*'[2]Key Inputs'!$C$77)</f>
        <v>4505365.8188695768</v>
      </c>
      <c r="AG25" s="63">
        <f>(('[2]OR-Res-Existing Cust'!SX123+'[2]OR-Res-Cust Growth'!SZ121)*'[2]Key Inputs'!$C$73)+(('[2]OR-Com-Existing Cust'!SX123+'[2]OR-Com-Cust Growth'!SZ121)*'[2]Key Inputs'!$C$77)</f>
        <v>3540631.5875943145</v>
      </c>
      <c r="AI25" s="152">
        <f>'[6]OR-IndComSales-Annual'!TF27*2.33</f>
        <v>0</v>
      </c>
      <c r="AJ25" s="152">
        <f>'[6]OR-IndComSales-Annual'!TG27*2.33</f>
        <v>0</v>
      </c>
      <c r="AK25" s="152">
        <f>'[6]OR-IndComSales-Annual'!TH27*2.33</f>
        <v>-254619.79040005835</v>
      </c>
      <c r="AL25" s="152">
        <f>'[6]OR-IndComSales-Annual'!TI27*2.33</f>
        <v>0</v>
      </c>
      <c r="AM25" s="152">
        <f>'[6]OR-IndComSales-Annual'!TJ27*2.33</f>
        <v>0</v>
      </c>
      <c r="AN25" s="152">
        <f>'[6]OR-IndComSales-Annual'!TK27*2.33</f>
        <v>0</v>
      </c>
      <c r="AO25" s="152">
        <f>'[6]OR-IndComSales-Annual'!TL27*2.33</f>
        <v>0</v>
      </c>
      <c r="AP25" s="152">
        <f>'[6]OR-IndComSales-Annual'!TM27*2.33</f>
        <v>0</v>
      </c>
      <c r="AQ25" s="152">
        <f>'[6]OR-IndComSales-Annual'!TN27*2.33</f>
        <v>0</v>
      </c>
      <c r="AR25" s="152">
        <f>'[6]OR-IndComSales-Annual'!TO27*2.33</f>
        <v>0</v>
      </c>
      <c r="AT25">
        <v>0</v>
      </c>
      <c r="AU25" s="152">
        <f>'[6]OR-Transport-Annual'!TE27*1.79</f>
        <v>0</v>
      </c>
      <c r="AV25" s="152">
        <f>'[6]OR-Transport-Annual'!TF27*1.79</f>
        <v>0</v>
      </c>
      <c r="AW25" s="152">
        <f>'[6]OR-Transport-Annual'!TG27*1.79</f>
        <v>0</v>
      </c>
      <c r="AX25" s="152">
        <f>'[6]OR-Transport-Annual'!TH27*1.79</f>
        <v>0</v>
      </c>
      <c r="AY25" s="152">
        <f>'[6]OR-Transport-Annual'!TI27*1.79</f>
        <v>0</v>
      </c>
      <c r="AZ25" s="152">
        <f>'[6]OR-Transport-Annual'!TJ27*1.79</f>
        <v>0</v>
      </c>
      <c r="BA25" s="152">
        <f>'[6]OR-Transport-Annual'!TK27*1.79</f>
        <v>0</v>
      </c>
      <c r="BB25" s="152">
        <f>'[6]OR-Transport-Annual'!TL27*1.79</f>
        <v>0</v>
      </c>
      <c r="BC25" s="152">
        <f>'[6]OR-Transport-Annual'!TM27*1.79</f>
        <v>0</v>
      </c>
      <c r="BE25" s="133">
        <f t="shared" si="1"/>
        <v>6045290.4658323014</v>
      </c>
      <c r="BF25" s="133">
        <f t="shared" si="1"/>
        <v>45707395.296501584</v>
      </c>
      <c r="BG25" s="133">
        <f t="shared" si="1"/>
        <v>131966143.57649668</v>
      </c>
      <c r="BH25" s="133">
        <f t="shared" si="1"/>
        <v>26822985.042572837</v>
      </c>
      <c r="BI25" s="133">
        <f t="shared" si="1"/>
        <v>31036475.209556613</v>
      </c>
      <c r="BJ25" s="133">
        <f t="shared" si="1"/>
        <v>0</v>
      </c>
      <c r="BK25" s="133">
        <f t="shared" si="1"/>
        <v>0</v>
      </c>
      <c r="BL25" s="133">
        <f t="shared" si="1"/>
        <v>45707395.296501584</v>
      </c>
      <c r="BM25" s="133">
        <f t="shared" si="1"/>
        <v>45707395.296501584</v>
      </c>
      <c r="BN25" s="133">
        <f t="shared" si="1"/>
        <v>12278598.838854462</v>
      </c>
      <c r="BP25" s="153">
        <f>BE25/(([4]Annual!FZ25+[4]Annual!EW25)/10)</f>
        <v>5.6469802811211729E-2</v>
      </c>
      <c r="BQ25" s="153">
        <f>BF25/(([4]Annual!GA25+[4]Annual!EX25)/10)</f>
        <v>0.51860665495675307</v>
      </c>
      <c r="BR25" s="153">
        <f>BG25/(([4]Annual!GB25+[4]Annual!EY25)/10)</f>
        <v>1.5370543986924325</v>
      </c>
      <c r="BS25" s="153">
        <f>BH25/(([4]Annual!GC25+[4]Annual!EZ25)/10)</f>
        <v>0.34851008066426453</v>
      </c>
      <c r="BT25" s="153">
        <f>BI25/(([4]Annual!GD25+[4]Annual!FA25)/10)</f>
        <v>0.46113705461416216</v>
      </c>
      <c r="BU25" s="153">
        <f>BJ25/(([4]Annual!GE25+[4]Annual!FB25)/10)</f>
        <v>0</v>
      </c>
      <c r="BV25" s="153">
        <f>BK25/(([4]Annual!GF25+[4]Annual!FC25)/10)</f>
        <v>0</v>
      </c>
      <c r="BW25" s="153">
        <f>BL25/(([4]Annual!GG25+[4]Annual!FD25)/10)</f>
        <v>0.50335691362614865</v>
      </c>
      <c r="BX25" s="153">
        <f>BM25/(([4]Annual!GH25+[4]Annual!FE25)/10)</f>
        <v>0.49834421485745117</v>
      </c>
      <c r="BY25" s="153">
        <f>BN25/(([4]Annual!GI25+[4]Annual!FF25)/10)</f>
        <v>0.1918178931184728</v>
      </c>
    </row>
    <row r="26" spans="1:77" x14ac:dyDescent="0.25">
      <c r="A26">
        <v>2046</v>
      </c>
      <c r="B26" s="133">
        <f>('[2]OR Res Incremental EE'!ST26+'[2]OR Com Incremental EE'!SI26)*'[5]Energy Efficiency'!$BR$9</f>
        <v>6826249.2529607499</v>
      </c>
      <c r="C26" s="133">
        <f>('[2]OR Res Incremental EE'!SU26+'[2]OR Com Incremental EE'!SJ26)*'[5]Energy Efficiency'!$BR$9</f>
        <v>6826249.2529607499</v>
      </c>
      <c r="D26" s="133">
        <f>('[2]OR Res Incremental EE'!SV26+'[2]OR Com Incremental EE'!SK26)*'[5]Energy Efficiency'!$BR$9</f>
        <v>37239454.179918408</v>
      </c>
      <c r="E26" s="133">
        <f>('[2]OR Res Incremental EE'!SW26+'[2]OR Com Incremental EE'!SL26)*'[5]Energy Efficiency'!$BR$9</f>
        <v>6826249.2529607499</v>
      </c>
      <c r="F26" s="133">
        <f>('[2]OR Res Incremental EE'!SX26+'[2]OR Com Incremental EE'!SM26)*'[5]Energy Efficiency'!$BR$9</f>
        <v>545756.06102711486</v>
      </c>
      <c r="G26" s="133">
        <v>0</v>
      </c>
      <c r="H26" s="133">
        <v>0</v>
      </c>
      <c r="I26" s="133">
        <f>('[2]OR Res Incremental EE'!TA26+'[2]OR Com Incremental EE'!SP26)*'[5]Energy Efficiency'!$BR$9</f>
        <v>6826249.2529607499</v>
      </c>
      <c r="J26" s="133">
        <f>('[2]OR Res Incremental EE'!TB26+'[2]OR Com Incremental EE'!SQ26)*'[5]Energy Efficiency'!$BR$9</f>
        <v>6826249.2529607499</v>
      </c>
      <c r="K26" s="133">
        <f>('[2]OR Res Incremental EE'!TC26+'[2]OR Com Incremental EE'!SR26)*'[5]Energy Efficiency'!$BR$9</f>
        <v>6826249.2529607499</v>
      </c>
      <c r="L26" s="133"/>
      <c r="M26" s="133">
        <f>('[2]OR-Res-Existing Cust'!SO60*0.87*'[2]Key Inputs'!$C$74)+('[2]OR-Res-Existing Cust'!SO188*0.67*'[2]Key Inputs'!$C$75)+('[2]OR-Res-Cust Growth'!SQ58*0.87*'[2]Key Inputs'!$C$74)+('[2]OR-Res-Cust Growth'!SQ186*0.87*'[2]Key Inputs'!$C$75)+('[2]OR-Com-Existing Cust'!SO60*0.87*'[2]Key Inputs'!$C$78)+('[2]OR-Com-Cust Growth'!SQ58*0.87*'[2]Key Inputs'!$C$78)</f>
        <v>0</v>
      </c>
      <c r="N26" s="133">
        <f>('[2]OR-Res-Existing Cust'!SP60*0.87*'[2]Key Inputs'!$C$74)+('[2]OR-Res-Existing Cust'!SP188*0.67*'[2]Key Inputs'!$C$75)+('[2]OR-Res-Cust Growth'!SR58*0.87*'[2]Key Inputs'!$C$74)+('[2]OR-Res-Cust Growth'!SR186*0.87*'[2]Key Inputs'!$C$75)+('[2]OR-Com-Existing Cust'!SP60*0.87*'[2]Key Inputs'!$C$78)+('[2]OR-Com-Cust Growth'!SR58*0.87*'[2]Key Inputs'!$C$78)</f>
        <v>35049206.016017735</v>
      </c>
      <c r="O26" s="133">
        <f>('[2]OR-Res-Existing Cust'!SQ60*0.87*'[2]Key Inputs'!$C$74)+('[2]OR-Res-Existing Cust'!SQ188*0.67*'[2]Key Inputs'!$C$75)+('[2]OR-Res-Cust Growth'!SS58*0.87*'[2]Key Inputs'!$C$74)+('[2]OR-Res-Cust Growth'!SS186*0.87*'[2]Key Inputs'!$C$75)+('[2]OR-Com-Existing Cust'!SQ60*0.87*'[2]Key Inputs'!$C$78)+('[2]OR-Com-Cust Growth'!SS58*0.87*'[2]Key Inputs'!$C$78)</f>
        <v>89563177.472055569</v>
      </c>
      <c r="P26" s="133">
        <f>('[2]OR-Res-Existing Cust'!SR60*0.87*'[2]Key Inputs'!$C$74)+('[2]OR-Res-Existing Cust'!SR188*0.67*'[2]Key Inputs'!$C$75)+('[2]OR-Res-Cust Growth'!ST58*0.87*'[2]Key Inputs'!$C$74)+('[2]OR-Res-Cust Growth'!ST186*0.87*'[2]Key Inputs'!$C$75)+('[2]OR-Com-Existing Cust'!SR60*0.87*'[2]Key Inputs'!$C$78)+('[2]OR-Com-Cust Growth'!ST58*0.87*'[2]Key Inputs'!$C$78)</f>
        <v>8792404.8770564981</v>
      </c>
      <c r="Q26" s="133">
        <f>('[2]OR-Res-Existing Cust'!SS60*0.87*'[2]Key Inputs'!$C$74)+('[2]OR-Res-Existing Cust'!SS188*0.67*'[2]Key Inputs'!$C$75)+('[2]OR-Res-Cust Growth'!SU58*0.87*'[2]Key Inputs'!$C$74)+('[2]OR-Res-Cust Growth'!SU186*0.87*'[2]Key Inputs'!$C$75)+('[2]OR-Com-Existing Cust'!SS60*0.87*'[2]Key Inputs'!$C$78)+('[2]OR-Com-Cust Growth'!SU58*0.87*'[2]Key Inputs'!$C$78)</f>
        <v>27009570.460750662</v>
      </c>
      <c r="R26" s="133">
        <f>('[2]OR-Res-Existing Cust'!ST60*0.87*'[2]Key Inputs'!$C$74)+('[2]OR-Res-Existing Cust'!ST188*0.67*'[2]Key Inputs'!$C$75)+('[2]OR-Res-Cust Growth'!SV58*0.87*'[2]Key Inputs'!$C$74)+('[2]OR-Res-Cust Growth'!SV186*0.87*'[2]Key Inputs'!$C$75)+('[2]OR-Com-Existing Cust'!ST60*0.87*'[2]Key Inputs'!$C$78)+('[2]OR-Com-Cust Growth'!SV58*0.87*'[2]Key Inputs'!$C$78)</f>
        <v>0</v>
      </c>
      <c r="S26" s="133">
        <f>('[2]OR-Res-Existing Cust'!SU60*0.87*'[2]Key Inputs'!$C$74)+('[2]OR-Res-Existing Cust'!SU188*0.67*'[2]Key Inputs'!$C$75)+('[2]OR-Res-Cust Growth'!SW58*0.87*'[2]Key Inputs'!$C$74)+('[2]OR-Res-Cust Growth'!SW186*0.87*'[2]Key Inputs'!$C$75)+('[2]OR-Com-Existing Cust'!SU60*0.87*'[2]Key Inputs'!$C$78)+('[2]OR-Com-Cust Growth'!SW58*0.87*'[2]Key Inputs'!$C$78)</f>
        <v>0</v>
      </c>
      <c r="T26" s="133">
        <f>('[2]OR-Res-Existing Cust'!SV60*0.87*'[2]Key Inputs'!$C$74)+('[2]OR-Res-Existing Cust'!SV188*0.67*'[2]Key Inputs'!$C$75)+('[2]OR-Res-Cust Growth'!SX58*0.87*'[2]Key Inputs'!$C$74)+('[2]OR-Res-Cust Growth'!SX186*0.87*'[2]Key Inputs'!$C$75)+('[2]OR-Com-Existing Cust'!SV60*0.87*'[2]Key Inputs'!$C$78)+('[2]OR-Com-Cust Growth'!SX58*0.87*'[2]Key Inputs'!$C$78)</f>
        <v>35049206.016017735</v>
      </c>
      <c r="U26" s="133">
        <f>('[2]OR-Res-Existing Cust'!SW60*0.87*'[2]Key Inputs'!$C$74)+('[2]OR-Res-Existing Cust'!SW188*0.67*'[2]Key Inputs'!$C$75)+('[2]OR-Res-Cust Growth'!SY58*0.87*'[2]Key Inputs'!$C$74)+('[2]OR-Res-Cust Growth'!SY186*0.87*'[2]Key Inputs'!$C$75)+('[2]OR-Com-Existing Cust'!SW60*0.87*'[2]Key Inputs'!$C$78)+('[2]OR-Com-Cust Growth'!SY58*0.87*'[2]Key Inputs'!$C$78)</f>
        <v>35049206.016017735</v>
      </c>
      <c r="V26" s="133">
        <f>('[2]OR-Res-Existing Cust'!SX60*0.87*'[2]Key Inputs'!$C$74)+('[2]OR-Res-Existing Cust'!SX188*0.67*'[2]Key Inputs'!$C$75)+('[2]OR-Res-Cust Growth'!SZ58*0.87*'[2]Key Inputs'!$C$74)+('[2]OR-Res-Cust Growth'!SZ186*0.87*'[2]Key Inputs'!$C$75)+('[2]OR-Com-Existing Cust'!SX60*0.87*'[2]Key Inputs'!$C$78)+('[2]OR-Com-Cust Growth'!SZ58*0.87*'[2]Key Inputs'!$C$78)</f>
        <v>2637721.463116949</v>
      </c>
      <c r="X26" s="63">
        <f>(('[2]OR-Res-Existing Cust'!SO124+'[2]OR-Res-Cust Growth'!SQ122)*'[2]Key Inputs'!$C$73)+(('[2]OR-Com-Existing Cust'!SO124+'[2]OR-Com-Cust Growth'!SQ122)*'[2]Key Inputs'!$C$77)</f>
        <v>0</v>
      </c>
      <c r="Y26" s="63">
        <f>(('[2]OR-Res-Existing Cust'!SP124+'[2]OR-Res-Cust Growth'!SR122)*'[2]Key Inputs'!$C$73)+(('[2]OR-Com-Existing Cust'!SP124+'[2]OR-Com-Cust Growth'!SR122)*'[2]Key Inputs'!$C$77)</f>
        <v>4484212.7358184885</v>
      </c>
      <c r="Z26" s="63">
        <f>(('[2]OR-Res-Existing Cust'!SQ124+'[2]OR-Res-Cust Growth'!SS122)*'[2]Key Inputs'!$C$73)+(('[2]OR-Com-Existing Cust'!SQ124+'[2]OR-Com-Cust Growth'!SS122)*'[2]Key Inputs'!$C$77)</f>
        <v>3329832.1920427252</v>
      </c>
      <c r="AA26" s="63">
        <f>(('[2]OR-Res-Existing Cust'!SR124+'[2]OR-Res-Cust Growth'!ST122)*'[2]Key Inputs'!$C$73)+(('[2]OR-Com-Existing Cust'!SR124+'[2]OR-Com-Cust Growth'!ST122)*'[2]Key Inputs'!$C$77)</f>
        <v>11783419.555998594</v>
      </c>
      <c r="AB26" s="63">
        <f>(('[2]OR-Res-Existing Cust'!SS124+'[2]OR-Res-Cust Growth'!SU122)*'[2]Key Inputs'!$C$73)+(('[2]OR-Com-Existing Cust'!SS124+'[2]OR-Com-Cust Growth'!SU122)*'[2]Key Inputs'!$C$77)</f>
        <v>3535025.8667995781</v>
      </c>
      <c r="AC26" s="63">
        <f>(('[2]OR-Res-Existing Cust'!ST124+'[2]OR-Res-Cust Growth'!SV122)*'[2]Key Inputs'!$C$73)+(('[2]OR-Com-Existing Cust'!ST124+'[2]OR-Com-Cust Growth'!SV122)*'[2]Key Inputs'!$C$77)</f>
        <v>0</v>
      </c>
      <c r="AD26" s="63">
        <f>(('[2]OR-Res-Existing Cust'!SU124+'[2]OR-Res-Cust Growth'!SW122)*'[2]Key Inputs'!$C$73)+(('[2]OR-Com-Existing Cust'!SU124+'[2]OR-Com-Cust Growth'!SW122)*'[2]Key Inputs'!$C$77)</f>
        <v>0</v>
      </c>
      <c r="AE26" s="63">
        <f>(('[2]OR-Res-Existing Cust'!SV124+'[2]OR-Res-Cust Growth'!SX122)*'[2]Key Inputs'!$C$73)+(('[2]OR-Com-Existing Cust'!SV124+'[2]OR-Com-Cust Growth'!SX122)*'[2]Key Inputs'!$C$77)</f>
        <v>4484212.7358184885</v>
      </c>
      <c r="AF26" s="63">
        <f>(('[2]OR-Res-Existing Cust'!SW124+'[2]OR-Res-Cust Growth'!SY122)*'[2]Key Inputs'!$C$73)+(('[2]OR-Com-Existing Cust'!SW124+'[2]OR-Com-Cust Growth'!SY122)*'[2]Key Inputs'!$C$77)</f>
        <v>4484212.7358184885</v>
      </c>
      <c r="AG26" s="63">
        <f>(('[2]OR-Res-Existing Cust'!SX124+'[2]OR-Res-Cust Growth'!SZ122)*'[2]Key Inputs'!$C$73)+(('[2]OR-Com-Existing Cust'!SX124+'[2]OR-Com-Cust Growth'!SZ122)*'[2]Key Inputs'!$C$77)</f>
        <v>3535025.8667995781</v>
      </c>
      <c r="AI26" s="152">
        <f>'[6]OR-IndComSales-Annual'!TF28*2.33</f>
        <v>0</v>
      </c>
      <c r="AJ26" s="152">
        <f>'[6]OR-IndComSales-Annual'!TG28*2.33</f>
        <v>0</v>
      </c>
      <c r="AK26" s="152">
        <f>'[6]OR-IndComSales-Annual'!TH28*2.33</f>
        <v>47575.664200091662</v>
      </c>
      <c r="AL26" s="152">
        <f>'[6]OR-IndComSales-Annual'!TI28*2.33</f>
        <v>0</v>
      </c>
      <c r="AM26" s="152">
        <f>'[6]OR-IndComSales-Annual'!TJ28*2.33</f>
        <v>0</v>
      </c>
      <c r="AN26" s="152">
        <f>'[6]OR-IndComSales-Annual'!TK28*2.33</f>
        <v>0</v>
      </c>
      <c r="AO26" s="152">
        <f>'[6]OR-IndComSales-Annual'!TL28*2.33</f>
        <v>0</v>
      </c>
      <c r="AP26" s="152">
        <f>'[6]OR-IndComSales-Annual'!TM28*2.33</f>
        <v>0</v>
      </c>
      <c r="AQ26" s="152">
        <f>'[6]OR-IndComSales-Annual'!TN28*2.33</f>
        <v>0</v>
      </c>
      <c r="AR26" s="152">
        <f>'[6]OR-IndComSales-Annual'!TO28*2.33</f>
        <v>0</v>
      </c>
      <c r="AT26">
        <v>0</v>
      </c>
      <c r="AU26" s="152">
        <f>'[6]OR-Transport-Annual'!TE28*1.79</f>
        <v>0</v>
      </c>
      <c r="AV26" s="152">
        <f>'[6]OR-Transport-Annual'!TF28*1.79</f>
        <v>0</v>
      </c>
      <c r="AW26" s="152">
        <f>'[6]OR-Transport-Annual'!TG28*1.79</f>
        <v>0</v>
      </c>
      <c r="AX26" s="152">
        <f>'[6]OR-Transport-Annual'!TH28*1.79</f>
        <v>0</v>
      </c>
      <c r="AY26" s="152">
        <f>'[6]OR-Transport-Annual'!TI28*1.79</f>
        <v>0</v>
      </c>
      <c r="AZ26" s="152">
        <f>'[6]OR-Transport-Annual'!TJ28*1.79</f>
        <v>0</v>
      </c>
      <c r="BA26" s="152">
        <f>'[6]OR-Transport-Annual'!TK28*1.79</f>
        <v>0</v>
      </c>
      <c r="BB26" s="152">
        <f>'[6]OR-Transport-Annual'!TL28*1.79</f>
        <v>0</v>
      </c>
      <c r="BC26" s="152">
        <f>'[6]OR-Transport-Annual'!TM28*1.79</f>
        <v>0</v>
      </c>
      <c r="BE26" s="133">
        <f t="shared" si="1"/>
        <v>6826249.2529607499</v>
      </c>
      <c r="BF26" s="133">
        <f t="shared" si="1"/>
        <v>46359668.004796974</v>
      </c>
      <c r="BG26" s="133">
        <f t="shared" si="1"/>
        <v>130180039.5082168</v>
      </c>
      <c r="BH26" s="133">
        <f t="shared" si="1"/>
        <v>27402073.686015841</v>
      </c>
      <c r="BI26" s="133">
        <f t="shared" si="1"/>
        <v>31090352.388577353</v>
      </c>
      <c r="BJ26" s="133">
        <f t="shared" si="1"/>
        <v>0</v>
      </c>
      <c r="BK26" s="133">
        <f t="shared" si="1"/>
        <v>0</v>
      </c>
      <c r="BL26" s="133">
        <f t="shared" si="1"/>
        <v>46359668.004796974</v>
      </c>
      <c r="BM26" s="133">
        <f t="shared" si="1"/>
        <v>46359668.004796974</v>
      </c>
      <c r="BN26" s="133">
        <f t="shared" si="1"/>
        <v>12998996.582877276</v>
      </c>
      <c r="BP26" s="153">
        <f>BE26/(([4]Annual!FZ26+[4]Annual!EW26)/10)</f>
        <v>6.3790974177590831E-2</v>
      </c>
      <c r="BQ26" s="153">
        <f>BF26/(([4]Annual!GA26+[4]Annual!EX26)/10)</f>
        <v>0.52950508780121663</v>
      </c>
      <c r="BR26" s="153">
        <f>BG26/(([4]Annual!GB26+[4]Annual!EY26)/10)</f>
        <v>1.5317174317627347</v>
      </c>
      <c r="BS26" s="153">
        <f>BH26/(([4]Annual!GC26+[4]Annual!EZ26)/10)</f>
        <v>0.36101561534853605</v>
      </c>
      <c r="BT26" s="153">
        <f>BI26/(([4]Annual!GD26+[4]Annual!FA26)/10)</f>
        <v>0.47129992967414591</v>
      </c>
      <c r="BU26" s="153">
        <f>BJ26/(([4]Annual!GE26+[4]Annual!FB26)/10)</f>
        <v>0</v>
      </c>
      <c r="BV26" s="153">
        <f>BK26/(([4]Annual!GF26+[4]Annual!FC26)/10)</f>
        <v>0</v>
      </c>
      <c r="BW26" s="153">
        <f>BL26/(([4]Annual!GG26+[4]Annual!FD26)/10)</f>
        <v>0.51395997189243647</v>
      </c>
      <c r="BX26" s="153">
        <f>BM26/(([4]Annual!GH26+[4]Annual!FE26)/10)</f>
        <v>0.50883163436308265</v>
      </c>
      <c r="BY26" s="153">
        <f>BN26/(([4]Annual!GI26+[4]Annual!FF26)/10)</f>
        <v>0.20427120291561823</v>
      </c>
    </row>
    <row r="27" spans="1:77" x14ac:dyDescent="0.25">
      <c r="A27">
        <v>2047</v>
      </c>
      <c r="B27" s="133">
        <f>('[2]OR Res Incremental EE'!ST27+'[2]OR Com Incremental EE'!SI27)*'[5]Energy Efficiency'!$BR$9</f>
        <v>6995207.0767477155</v>
      </c>
      <c r="C27" s="133">
        <f>('[2]OR Res Incremental EE'!SU27+'[2]OR Com Incremental EE'!SJ27)*'[5]Energy Efficiency'!$BR$9</f>
        <v>6995207.0767477155</v>
      </c>
      <c r="D27" s="133">
        <f>('[2]OR Res Incremental EE'!SV27+'[2]OR Com Incremental EE'!SK27)*'[5]Energy Efficiency'!$BR$9</f>
        <v>37770961.363518916</v>
      </c>
      <c r="E27" s="133">
        <f>('[2]OR Res Incremental EE'!SW27+'[2]OR Com Incremental EE'!SL27)*'[5]Energy Efficiency'!$BR$9</f>
        <v>6995207.0767477155</v>
      </c>
      <c r="F27" s="133">
        <f>('[2]OR Res Incremental EE'!SX27+'[2]OR Com Incremental EE'!SM27)*'[5]Energy Efficiency'!$BR$9</f>
        <v>551065.83223751024</v>
      </c>
      <c r="G27" s="133">
        <v>0</v>
      </c>
      <c r="H27" s="133">
        <v>0</v>
      </c>
      <c r="I27" s="133">
        <f>('[2]OR Res Incremental EE'!TA27+'[2]OR Com Incremental EE'!SP27)*'[5]Energy Efficiency'!$BR$9</f>
        <v>6995207.0767477155</v>
      </c>
      <c r="J27" s="133">
        <f>('[2]OR Res Incremental EE'!TB27+'[2]OR Com Incremental EE'!SQ27)*'[5]Energy Efficiency'!$BR$9</f>
        <v>6995207.0767477155</v>
      </c>
      <c r="K27" s="133">
        <f>('[2]OR Res Incremental EE'!TC27+'[2]OR Com Incremental EE'!SR27)*'[5]Energy Efficiency'!$BR$9</f>
        <v>6995207.0767477155</v>
      </c>
      <c r="L27" s="133"/>
      <c r="M27" s="133">
        <f>('[2]OR-Res-Existing Cust'!SO61*0.87*'[2]Key Inputs'!$C$74)+('[2]OR-Res-Existing Cust'!SO189*0.67*'[2]Key Inputs'!$C$75)+('[2]OR-Res-Cust Growth'!SQ59*0.87*'[2]Key Inputs'!$C$74)+('[2]OR-Res-Cust Growth'!SQ187*0.87*'[2]Key Inputs'!$C$75)+('[2]OR-Com-Existing Cust'!SO61*0.87*'[2]Key Inputs'!$C$78)+('[2]OR-Com-Cust Growth'!SQ59*0.87*'[2]Key Inputs'!$C$78)</f>
        <v>0</v>
      </c>
      <c r="N27" s="133">
        <f>('[2]OR-Res-Existing Cust'!SP61*0.87*'[2]Key Inputs'!$C$74)+('[2]OR-Res-Existing Cust'!SP189*0.67*'[2]Key Inputs'!$C$75)+('[2]OR-Res-Cust Growth'!SR59*0.87*'[2]Key Inputs'!$C$74)+('[2]OR-Res-Cust Growth'!SR187*0.87*'[2]Key Inputs'!$C$75)+('[2]OR-Com-Existing Cust'!SP61*0.87*'[2]Key Inputs'!$C$78)+('[2]OR-Com-Cust Growth'!SR59*0.87*'[2]Key Inputs'!$C$78)</f>
        <v>34941879.087636389</v>
      </c>
      <c r="O27" s="133">
        <f>('[2]OR-Res-Existing Cust'!SQ61*0.87*'[2]Key Inputs'!$C$74)+('[2]OR-Res-Existing Cust'!SQ189*0.67*'[2]Key Inputs'!$C$75)+('[2]OR-Res-Cust Growth'!SS59*0.87*'[2]Key Inputs'!$C$74)+('[2]OR-Res-Cust Growth'!SS187*0.87*'[2]Key Inputs'!$C$75)+('[2]OR-Com-Existing Cust'!SQ61*0.87*'[2]Key Inputs'!$C$78)+('[2]OR-Com-Cust Growth'!SS59*0.87*'[2]Key Inputs'!$C$78)</f>
        <v>85604908.386243016</v>
      </c>
      <c r="P27" s="133">
        <f>('[2]OR-Res-Existing Cust'!SR61*0.87*'[2]Key Inputs'!$C$74)+('[2]OR-Res-Existing Cust'!SR189*0.67*'[2]Key Inputs'!$C$75)+('[2]OR-Res-Cust Growth'!ST59*0.87*'[2]Key Inputs'!$C$74)+('[2]OR-Res-Cust Growth'!ST187*0.87*'[2]Key Inputs'!$C$75)+('[2]OR-Com-Existing Cust'!SR61*0.87*'[2]Key Inputs'!$C$78)+('[2]OR-Com-Cust Growth'!ST59*0.87*'[2]Key Inputs'!$C$78)</f>
        <v>8610195.9981206581</v>
      </c>
      <c r="Q27" s="133">
        <f>('[2]OR-Res-Existing Cust'!SS61*0.87*'[2]Key Inputs'!$C$74)+('[2]OR-Res-Existing Cust'!SS189*0.67*'[2]Key Inputs'!$C$75)+('[2]OR-Res-Cust Growth'!SU59*0.87*'[2]Key Inputs'!$C$74)+('[2]OR-Res-Cust Growth'!SU187*0.87*'[2]Key Inputs'!$C$75)+('[2]OR-Com-Existing Cust'!SS61*0.87*'[2]Key Inputs'!$C$78)+('[2]OR-Com-Cust Growth'!SU59*0.87*'[2]Key Inputs'!$C$78)</f>
        <v>26965683.57350016</v>
      </c>
      <c r="R27" s="133">
        <f>('[2]OR-Res-Existing Cust'!ST61*0.87*'[2]Key Inputs'!$C$74)+('[2]OR-Res-Existing Cust'!ST189*0.67*'[2]Key Inputs'!$C$75)+('[2]OR-Res-Cust Growth'!SV59*0.87*'[2]Key Inputs'!$C$74)+('[2]OR-Res-Cust Growth'!SV187*0.87*'[2]Key Inputs'!$C$75)+('[2]OR-Com-Existing Cust'!ST61*0.87*'[2]Key Inputs'!$C$78)+('[2]OR-Com-Cust Growth'!SV59*0.87*'[2]Key Inputs'!$C$78)</f>
        <v>0</v>
      </c>
      <c r="S27" s="133">
        <f>('[2]OR-Res-Existing Cust'!SU61*0.87*'[2]Key Inputs'!$C$74)+('[2]OR-Res-Existing Cust'!SU189*0.67*'[2]Key Inputs'!$C$75)+('[2]OR-Res-Cust Growth'!SW59*0.87*'[2]Key Inputs'!$C$74)+('[2]OR-Res-Cust Growth'!SW187*0.87*'[2]Key Inputs'!$C$75)+('[2]OR-Com-Existing Cust'!SU61*0.87*'[2]Key Inputs'!$C$78)+('[2]OR-Com-Cust Growth'!SW59*0.87*'[2]Key Inputs'!$C$78)</f>
        <v>0</v>
      </c>
      <c r="T27" s="133">
        <f>('[2]OR-Res-Existing Cust'!SV61*0.87*'[2]Key Inputs'!$C$74)+('[2]OR-Res-Existing Cust'!SV189*0.67*'[2]Key Inputs'!$C$75)+('[2]OR-Res-Cust Growth'!SX59*0.87*'[2]Key Inputs'!$C$74)+('[2]OR-Res-Cust Growth'!SX187*0.87*'[2]Key Inputs'!$C$75)+('[2]OR-Com-Existing Cust'!SV61*0.87*'[2]Key Inputs'!$C$78)+('[2]OR-Com-Cust Growth'!SX59*0.87*'[2]Key Inputs'!$C$78)</f>
        <v>34941879.087636389</v>
      </c>
      <c r="U27" s="133">
        <f>('[2]OR-Res-Existing Cust'!SW61*0.87*'[2]Key Inputs'!$C$74)+('[2]OR-Res-Existing Cust'!SW189*0.67*'[2]Key Inputs'!$C$75)+('[2]OR-Res-Cust Growth'!SY59*0.87*'[2]Key Inputs'!$C$74)+('[2]OR-Res-Cust Growth'!SY187*0.87*'[2]Key Inputs'!$C$75)+('[2]OR-Com-Existing Cust'!SW61*0.87*'[2]Key Inputs'!$C$78)+('[2]OR-Com-Cust Growth'!SY59*0.87*'[2]Key Inputs'!$C$78)</f>
        <v>34941879.087636389</v>
      </c>
      <c r="V27" s="133">
        <f>('[2]OR-Res-Existing Cust'!SX61*0.87*'[2]Key Inputs'!$C$74)+('[2]OR-Res-Existing Cust'!SX189*0.67*'[2]Key Inputs'!$C$75)+('[2]OR-Res-Cust Growth'!SZ59*0.87*'[2]Key Inputs'!$C$74)+('[2]OR-Res-Cust Growth'!SZ187*0.87*'[2]Key Inputs'!$C$75)+('[2]OR-Com-Existing Cust'!SX61*0.87*'[2]Key Inputs'!$C$78)+('[2]OR-Com-Cust Growth'!SZ59*0.87*'[2]Key Inputs'!$C$78)</f>
        <v>2583058.7994361972</v>
      </c>
      <c r="X27" s="63">
        <f>(('[2]OR-Res-Existing Cust'!SO125+'[2]OR-Res-Cust Growth'!SQ123)*'[2]Key Inputs'!$C$73)+(('[2]OR-Com-Existing Cust'!SO125+'[2]OR-Com-Cust Growth'!SQ123)*'[2]Key Inputs'!$C$77)</f>
        <v>0</v>
      </c>
      <c r="Y27" s="63">
        <f>(('[2]OR-Res-Existing Cust'!SP125+'[2]OR-Res-Cust Growth'!SR123)*'[2]Key Inputs'!$C$73)+(('[2]OR-Com-Existing Cust'!SP125+'[2]OR-Com-Cust Growth'!SR123)*'[2]Key Inputs'!$C$77)</f>
        <v>4462886.9999513766</v>
      </c>
      <c r="Z27" s="63">
        <f>(('[2]OR-Res-Existing Cust'!SQ125+'[2]OR-Res-Cust Growth'!SS123)*'[2]Key Inputs'!$C$73)+(('[2]OR-Com-Existing Cust'!SQ125+'[2]OR-Com-Cust Growth'!SS123)*'[2]Key Inputs'!$C$77)</f>
        <v>3292355.466931052</v>
      </c>
      <c r="AA27" s="63">
        <f>(('[2]OR-Res-Existing Cust'!SR125+'[2]OR-Res-Cust Growth'!ST123)*'[2]Key Inputs'!$C$73)+(('[2]OR-Com-Existing Cust'!SR125+'[2]OR-Com-Cust Growth'!ST123)*'[2]Key Inputs'!$C$77)</f>
        <v>11764692.643032301</v>
      </c>
      <c r="AB27" s="63">
        <f>(('[2]OR-Res-Existing Cust'!SS125+'[2]OR-Res-Cust Growth'!SU123)*'[2]Key Inputs'!$C$73)+(('[2]OR-Com-Existing Cust'!SS125+'[2]OR-Com-Cust Growth'!SU123)*'[2]Key Inputs'!$C$77)</f>
        <v>3529407.7929096902</v>
      </c>
      <c r="AC27" s="63">
        <f>(('[2]OR-Res-Existing Cust'!ST125+'[2]OR-Res-Cust Growth'!SV123)*'[2]Key Inputs'!$C$73)+(('[2]OR-Com-Existing Cust'!ST125+'[2]OR-Com-Cust Growth'!SV123)*'[2]Key Inputs'!$C$77)</f>
        <v>0</v>
      </c>
      <c r="AD27" s="63">
        <f>(('[2]OR-Res-Existing Cust'!SU125+'[2]OR-Res-Cust Growth'!SW123)*'[2]Key Inputs'!$C$73)+(('[2]OR-Com-Existing Cust'!SU125+'[2]OR-Com-Cust Growth'!SW123)*'[2]Key Inputs'!$C$77)</f>
        <v>0</v>
      </c>
      <c r="AE27" s="63">
        <f>(('[2]OR-Res-Existing Cust'!SV125+'[2]OR-Res-Cust Growth'!SX123)*'[2]Key Inputs'!$C$73)+(('[2]OR-Com-Existing Cust'!SV125+'[2]OR-Com-Cust Growth'!SX123)*'[2]Key Inputs'!$C$77)</f>
        <v>4462886.9999513766</v>
      </c>
      <c r="AF27" s="63">
        <f>(('[2]OR-Res-Existing Cust'!SW125+'[2]OR-Res-Cust Growth'!SY123)*'[2]Key Inputs'!$C$73)+(('[2]OR-Com-Existing Cust'!SW125+'[2]OR-Com-Cust Growth'!SY123)*'[2]Key Inputs'!$C$77)</f>
        <v>4462886.9999513766</v>
      </c>
      <c r="AG27" s="63">
        <f>(('[2]OR-Res-Existing Cust'!SX125+'[2]OR-Res-Cust Growth'!SZ123)*'[2]Key Inputs'!$C$73)+(('[2]OR-Com-Existing Cust'!SX125+'[2]OR-Com-Cust Growth'!SZ123)*'[2]Key Inputs'!$C$77)</f>
        <v>3529407.7929096902</v>
      </c>
      <c r="AI27" s="152">
        <f>'[6]OR-IndComSales-Annual'!TF29*2.33</f>
        <v>0</v>
      </c>
      <c r="AJ27" s="152">
        <f>'[6]OR-IndComSales-Annual'!TG29*2.33</f>
        <v>0</v>
      </c>
      <c r="AK27" s="152">
        <f>'[6]OR-IndComSales-Annual'!TH29*2.33</f>
        <v>46238.36069956392</v>
      </c>
      <c r="AL27" s="152">
        <f>'[6]OR-IndComSales-Annual'!TI29*2.33</f>
        <v>0</v>
      </c>
      <c r="AM27" s="152">
        <f>'[6]OR-IndComSales-Annual'!TJ29*2.33</f>
        <v>0</v>
      </c>
      <c r="AN27" s="152">
        <f>'[6]OR-IndComSales-Annual'!TK29*2.33</f>
        <v>0</v>
      </c>
      <c r="AO27" s="152">
        <f>'[6]OR-IndComSales-Annual'!TL29*2.33</f>
        <v>0</v>
      </c>
      <c r="AP27" s="152">
        <f>'[6]OR-IndComSales-Annual'!TM29*2.33</f>
        <v>0</v>
      </c>
      <c r="AQ27" s="152">
        <f>'[6]OR-IndComSales-Annual'!TN29*2.33</f>
        <v>0</v>
      </c>
      <c r="AR27" s="152">
        <f>'[6]OR-IndComSales-Annual'!TO29*2.33</f>
        <v>0</v>
      </c>
      <c r="AT27">
        <v>0</v>
      </c>
      <c r="AU27" s="152">
        <f>'[6]OR-Transport-Annual'!TE29*1.79</f>
        <v>0</v>
      </c>
      <c r="AV27" s="152">
        <f>'[6]OR-Transport-Annual'!TF29*1.79</f>
        <v>0</v>
      </c>
      <c r="AW27" s="152">
        <f>'[6]OR-Transport-Annual'!TG29*1.79</f>
        <v>0</v>
      </c>
      <c r="AX27" s="152">
        <f>'[6]OR-Transport-Annual'!TH29*1.79</f>
        <v>0</v>
      </c>
      <c r="AY27" s="152">
        <f>'[6]OR-Transport-Annual'!TI29*1.79</f>
        <v>0</v>
      </c>
      <c r="AZ27" s="152">
        <f>'[6]OR-Transport-Annual'!TJ29*1.79</f>
        <v>0</v>
      </c>
      <c r="BA27" s="152">
        <f>'[6]OR-Transport-Annual'!TK29*1.79</f>
        <v>0</v>
      </c>
      <c r="BB27" s="152">
        <f>'[6]OR-Transport-Annual'!TL29*1.79</f>
        <v>0</v>
      </c>
      <c r="BC27" s="152">
        <f>'[6]OR-Transport-Annual'!TM29*1.79</f>
        <v>0</v>
      </c>
      <c r="BE27" s="133">
        <f t="shared" si="1"/>
        <v>6995207.0767477155</v>
      </c>
      <c r="BF27" s="133">
        <f t="shared" si="1"/>
        <v>46399973.164335482</v>
      </c>
      <c r="BG27" s="133">
        <f t="shared" si="1"/>
        <v>126714463.57739255</v>
      </c>
      <c r="BH27" s="133">
        <f t="shared" si="1"/>
        <v>27370095.717900675</v>
      </c>
      <c r="BI27" s="133">
        <f t="shared" si="1"/>
        <v>31046157.198647361</v>
      </c>
      <c r="BJ27" s="133">
        <f t="shared" si="1"/>
        <v>0</v>
      </c>
      <c r="BK27" s="133">
        <f t="shared" si="1"/>
        <v>0</v>
      </c>
      <c r="BL27" s="133">
        <f t="shared" si="1"/>
        <v>46399973.164335482</v>
      </c>
      <c r="BM27" s="133">
        <f t="shared" si="1"/>
        <v>46399973.164335482</v>
      </c>
      <c r="BN27" s="133">
        <f t="shared" si="1"/>
        <v>13107673.669093601</v>
      </c>
      <c r="BP27" s="153">
        <f>BE27/(([4]Annual!FZ27+[4]Annual!EW27)/10)</f>
        <v>6.5402491982323369E-2</v>
      </c>
      <c r="BQ27" s="153">
        <f>BF27/(([4]Annual!GA27+[4]Annual!EX27)/10)</f>
        <v>0.5335482069007319</v>
      </c>
      <c r="BR27" s="153">
        <f>BG27/(([4]Annual!GB27+[4]Annual!EY27)/10)</f>
        <v>1.5061761476606519</v>
      </c>
      <c r="BS27" s="153">
        <f>BH27/(([4]Annual!GC27+[4]Annual!EZ27)/10)</f>
        <v>0.36561889104178907</v>
      </c>
      <c r="BT27" s="153">
        <f>BI27/(([4]Annual!GD27+[4]Annual!FA27)/10)</f>
        <v>0.48021765841233149</v>
      </c>
      <c r="BU27" s="153">
        <f>BJ27/(([4]Annual!GE27+[4]Annual!FB27)/10)</f>
        <v>0</v>
      </c>
      <c r="BV27" s="153">
        <f>BK27/(([4]Annual!GF27+[4]Annual!FC27)/10)</f>
        <v>0</v>
      </c>
      <c r="BW27" s="153">
        <f>BL27/(([4]Annual!GG27+[4]Annual!FD27)/10)</f>
        <v>0.51787741514361818</v>
      </c>
      <c r="BX27" s="153">
        <f>BM27/(([4]Annual!GH27+[4]Annual!FE27)/10)</f>
        <v>0.51268408367345175</v>
      </c>
      <c r="BY27" s="153">
        <f>BN27/(([4]Annual!GI27+[4]Annual!FF27)/10)</f>
        <v>0.20720115936265165</v>
      </c>
    </row>
    <row r="28" spans="1:77" x14ac:dyDescent="0.25">
      <c r="A28">
        <v>2048</v>
      </c>
      <c r="B28" s="133">
        <f>('[2]OR Res Incremental EE'!ST28+'[2]OR Com Incremental EE'!SI28)*'[5]Energy Efficiency'!$BR$9</f>
        <v>8104791.871818007</v>
      </c>
      <c r="C28" s="133">
        <f>('[2]OR Res Incremental EE'!SU28+'[2]OR Com Incremental EE'!SJ28)*'[5]Energy Efficiency'!$BR$9</f>
        <v>8104791.871818007</v>
      </c>
      <c r="D28" s="133">
        <f>('[2]OR Res Incremental EE'!SV28+'[2]OR Com Incremental EE'!SK28)*'[5]Energy Efficiency'!$BR$9</f>
        <v>39528874.961613163</v>
      </c>
      <c r="E28" s="133">
        <f>('[2]OR Res Incremental EE'!SW28+'[2]OR Com Incremental EE'!SL28)*'[5]Energy Efficiency'!$BR$9</f>
        <v>8104791.871818007</v>
      </c>
      <c r="F28" s="133">
        <f>('[2]OR Res Incremental EE'!SX28+'[2]OR Com Incremental EE'!SM28)*'[5]Energy Efficiency'!$BR$9</f>
        <v>692140.20391282777</v>
      </c>
      <c r="G28" s="133">
        <v>0</v>
      </c>
      <c r="H28" s="133">
        <v>0</v>
      </c>
      <c r="I28" s="133">
        <f>('[2]OR Res Incremental EE'!TA28+'[2]OR Com Incremental EE'!SP28)*'[5]Energy Efficiency'!$BR$9</f>
        <v>8104791.871818007</v>
      </c>
      <c r="J28" s="133">
        <f>('[2]OR Res Incremental EE'!TB28+'[2]OR Com Incremental EE'!SQ28)*'[5]Energy Efficiency'!$BR$9</f>
        <v>8104791.871818007</v>
      </c>
      <c r="K28" s="133">
        <f>('[2]OR Res Incremental EE'!TC28+'[2]OR Com Incremental EE'!SR28)*'[5]Energy Efficiency'!$BR$9</f>
        <v>8104791.871818007</v>
      </c>
      <c r="L28" s="133"/>
      <c r="M28" s="133">
        <f>('[2]OR-Res-Existing Cust'!SO62*0.87*'[2]Key Inputs'!$C$74)+('[2]OR-Res-Existing Cust'!SO190*0.67*'[2]Key Inputs'!$C$75)+('[2]OR-Res-Cust Growth'!SQ60*0.87*'[2]Key Inputs'!$C$74)+('[2]OR-Res-Cust Growth'!SQ188*0.87*'[2]Key Inputs'!$C$75)+('[2]OR-Com-Existing Cust'!SO62*0.87*'[2]Key Inputs'!$C$78)+('[2]OR-Com-Cust Growth'!SQ60*0.87*'[2]Key Inputs'!$C$78)</f>
        <v>0</v>
      </c>
      <c r="N28" s="133">
        <f>('[2]OR-Res-Existing Cust'!SP62*0.87*'[2]Key Inputs'!$C$74)+('[2]OR-Res-Existing Cust'!SP190*0.67*'[2]Key Inputs'!$C$75)+('[2]OR-Res-Cust Growth'!SR60*0.87*'[2]Key Inputs'!$C$74)+('[2]OR-Res-Cust Growth'!SR188*0.87*'[2]Key Inputs'!$C$75)+('[2]OR-Com-Existing Cust'!SP62*0.87*'[2]Key Inputs'!$C$78)+('[2]OR-Com-Cust Growth'!SR60*0.87*'[2]Key Inputs'!$C$78)</f>
        <v>34833983.434357397</v>
      </c>
      <c r="O28" s="133">
        <f>('[2]OR-Res-Existing Cust'!SQ62*0.87*'[2]Key Inputs'!$C$74)+('[2]OR-Res-Existing Cust'!SQ190*0.67*'[2]Key Inputs'!$C$75)+('[2]OR-Res-Cust Growth'!SS60*0.87*'[2]Key Inputs'!$C$74)+('[2]OR-Res-Cust Growth'!SS188*0.87*'[2]Key Inputs'!$C$75)+('[2]OR-Com-Existing Cust'!SQ62*0.87*'[2]Key Inputs'!$C$78)+('[2]OR-Com-Cust Growth'!SS60*0.87*'[2]Key Inputs'!$C$78)</f>
        <v>82198441.329027295</v>
      </c>
      <c r="P28" s="133">
        <f>('[2]OR-Res-Existing Cust'!SR62*0.87*'[2]Key Inputs'!$C$74)+('[2]OR-Res-Existing Cust'!SR190*0.67*'[2]Key Inputs'!$C$75)+('[2]OR-Res-Cust Growth'!ST60*0.87*'[2]Key Inputs'!$C$74)+('[2]OR-Res-Cust Growth'!ST188*0.87*'[2]Key Inputs'!$C$75)+('[2]OR-Com-Existing Cust'!SR62*0.87*'[2]Key Inputs'!$C$78)+('[2]OR-Com-Cust Growth'!ST60*0.87*'[2]Key Inputs'!$C$78)</f>
        <v>8427632.7111563925</v>
      </c>
      <c r="Q28" s="133">
        <f>('[2]OR-Res-Existing Cust'!SS62*0.87*'[2]Key Inputs'!$C$74)+('[2]OR-Res-Existing Cust'!SS190*0.67*'[2]Key Inputs'!$C$75)+('[2]OR-Res-Cust Growth'!SU60*0.87*'[2]Key Inputs'!$C$74)+('[2]OR-Res-Cust Growth'!SU188*0.87*'[2]Key Inputs'!$C$75)+('[2]OR-Com-Existing Cust'!SS62*0.87*'[2]Key Inputs'!$C$78)+('[2]OR-Com-Cust Growth'!SU60*0.87*'[2]Key Inputs'!$C$78)</f>
        <v>26921411.350842066</v>
      </c>
      <c r="R28" s="133">
        <f>('[2]OR-Res-Existing Cust'!ST62*0.87*'[2]Key Inputs'!$C$74)+('[2]OR-Res-Existing Cust'!ST190*0.67*'[2]Key Inputs'!$C$75)+('[2]OR-Res-Cust Growth'!SV60*0.87*'[2]Key Inputs'!$C$74)+('[2]OR-Res-Cust Growth'!SV188*0.87*'[2]Key Inputs'!$C$75)+('[2]OR-Com-Existing Cust'!ST62*0.87*'[2]Key Inputs'!$C$78)+('[2]OR-Com-Cust Growth'!SV60*0.87*'[2]Key Inputs'!$C$78)</f>
        <v>0</v>
      </c>
      <c r="S28" s="133">
        <f>('[2]OR-Res-Existing Cust'!SU62*0.87*'[2]Key Inputs'!$C$74)+('[2]OR-Res-Existing Cust'!SU190*0.67*'[2]Key Inputs'!$C$75)+('[2]OR-Res-Cust Growth'!SW60*0.87*'[2]Key Inputs'!$C$74)+('[2]OR-Res-Cust Growth'!SW188*0.87*'[2]Key Inputs'!$C$75)+('[2]OR-Com-Existing Cust'!SU62*0.87*'[2]Key Inputs'!$C$78)+('[2]OR-Com-Cust Growth'!SW60*0.87*'[2]Key Inputs'!$C$78)</f>
        <v>0</v>
      </c>
      <c r="T28" s="133">
        <f>('[2]OR-Res-Existing Cust'!SV62*0.87*'[2]Key Inputs'!$C$74)+('[2]OR-Res-Existing Cust'!SV190*0.67*'[2]Key Inputs'!$C$75)+('[2]OR-Res-Cust Growth'!SX60*0.87*'[2]Key Inputs'!$C$74)+('[2]OR-Res-Cust Growth'!SX188*0.87*'[2]Key Inputs'!$C$75)+('[2]OR-Com-Existing Cust'!SV62*0.87*'[2]Key Inputs'!$C$78)+('[2]OR-Com-Cust Growth'!SX60*0.87*'[2]Key Inputs'!$C$78)</f>
        <v>34833983.434357397</v>
      </c>
      <c r="U28" s="133">
        <f>('[2]OR-Res-Existing Cust'!SW62*0.87*'[2]Key Inputs'!$C$74)+('[2]OR-Res-Existing Cust'!SW190*0.67*'[2]Key Inputs'!$C$75)+('[2]OR-Res-Cust Growth'!SY60*0.87*'[2]Key Inputs'!$C$74)+('[2]OR-Res-Cust Growth'!SY188*0.87*'[2]Key Inputs'!$C$75)+('[2]OR-Com-Existing Cust'!SW62*0.87*'[2]Key Inputs'!$C$78)+('[2]OR-Com-Cust Growth'!SY60*0.87*'[2]Key Inputs'!$C$78)</f>
        <v>34833983.434357397</v>
      </c>
      <c r="V28" s="133">
        <f>('[2]OR-Res-Existing Cust'!SX62*0.87*'[2]Key Inputs'!$C$74)+('[2]OR-Res-Existing Cust'!SX190*0.67*'[2]Key Inputs'!$C$75)+('[2]OR-Res-Cust Growth'!SZ60*0.87*'[2]Key Inputs'!$C$74)+('[2]OR-Res-Cust Growth'!SZ188*0.87*'[2]Key Inputs'!$C$75)+('[2]OR-Com-Existing Cust'!SX62*0.87*'[2]Key Inputs'!$C$78)+('[2]OR-Com-Cust Growth'!SZ60*0.87*'[2]Key Inputs'!$C$78)</f>
        <v>2528289.8133469177</v>
      </c>
      <c r="X28" s="63">
        <f>(('[2]OR-Res-Existing Cust'!SO126+'[2]OR-Res-Cust Growth'!SQ124)*'[2]Key Inputs'!$C$73)+(('[2]OR-Com-Existing Cust'!SO126+'[2]OR-Com-Cust Growth'!SQ124)*'[2]Key Inputs'!$C$77)</f>
        <v>0</v>
      </c>
      <c r="Y28" s="63">
        <f>(('[2]OR-Res-Existing Cust'!SP126+'[2]OR-Res-Cust Growth'!SR124)*'[2]Key Inputs'!$C$73)+(('[2]OR-Com-Existing Cust'!SP126+'[2]OR-Com-Cust Growth'!SR124)*'[2]Key Inputs'!$C$77)</f>
        <v>4441760.8332973383</v>
      </c>
      <c r="Z28" s="63">
        <f>(('[2]OR-Res-Existing Cust'!SQ126+'[2]OR-Res-Cust Growth'!SS124)*'[2]Key Inputs'!$C$73)+(('[2]OR-Com-Existing Cust'!SQ126+'[2]OR-Com-Cust Growth'!SS124)*'[2]Key Inputs'!$C$77)</f>
        <v>3255358.6978072417</v>
      </c>
      <c r="AA28" s="63">
        <f>(('[2]OR-Res-Existing Cust'!SR126+'[2]OR-Res-Cust Growth'!ST124)*'[2]Key Inputs'!$C$73)+(('[2]OR-Com-Existing Cust'!SR126+'[2]OR-Com-Cust Growth'!ST124)*'[2]Key Inputs'!$C$77)</f>
        <v>11392453.666893486</v>
      </c>
      <c r="AB28" s="63">
        <f>(('[2]OR-Res-Existing Cust'!SS126+'[2]OR-Res-Cust Growth'!SU124)*'[2]Key Inputs'!$C$73)+(('[2]OR-Com-Existing Cust'!SS126+'[2]OR-Com-Cust Growth'!SU124)*'[2]Key Inputs'!$C$77)</f>
        <v>3523775.4436207213</v>
      </c>
      <c r="AC28" s="63">
        <f>(('[2]OR-Res-Existing Cust'!ST126+'[2]OR-Res-Cust Growth'!SV124)*'[2]Key Inputs'!$C$73)+(('[2]OR-Com-Existing Cust'!ST126+'[2]OR-Com-Cust Growth'!SV124)*'[2]Key Inputs'!$C$77)</f>
        <v>0</v>
      </c>
      <c r="AD28" s="63">
        <f>(('[2]OR-Res-Existing Cust'!SU126+'[2]OR-Res-Cust Growth'!SW124)*'[2]Key Inputs'!$C$73)+(('[2]OR-Com-Existing Cust'!SU126+'[2]OR-Com-Cust Growth'!SW124)*'[2]Key Inputs'!$C$77)</f>
        <v>0</v>
      </c>
      <c r="AE28" s="63">
        <f>(('[2]OR-Res-Existing Cust'!SV126+'[2]OR-Res-Cust Growth'!SX124)*'[2]Key Inputs'!$C$73)+(('[2]OR-Com-Existing Cust'!SV126+'[2]OR-Com-Cust Growth'!SX124)*'[2]Key Inputs'!$C$77)</f>
        <v>4441760.8332973383</v>
      </c>
      <c r="AF28" s="63">
        <f>(('[2]OR-Res-Existing Cust'!SW126+'[2]OR-Res-Cust Growth'!SY124)*'[2]Key Inputs'!$C$73)+(('[2]OR-Com-Existing Cust'!SW126+'[2]OR-Com-Cust Growth'!SY124)*'[2]Key Inputs'!$C$77)</f>
        <v>4441760.8332973383</v>
      </c>
      <c r="AG28" s="63">
        <f>(('[2]OR-Res-Existing Cust'!SX126+'[2]OR-Res-Cust Growth'!SZ124)*'[2]Key Inputs'!$C$73)+(('[2]OR-Com-Existing Cust'!SX126+'[2]OR-Com-Cust Growth'!SZ124)*'[2]Key Inputs'!$C$77)</f>
        <v>3523775.4436207213</v>
      </c>
      <c r="AI28" s="152">
        <f>'[6]OR-IndComSales-Annual'!TF30*2.33</f>
        <v>0</v>
      </c>
      <c r="AJ28" s="152">
        <f>'[6]OR-IndComSales-Annual'!TG30*2.33</f>
        <v>0</v>
      </c>
      <c r="AK28" s="152">
        <f>'[6]OR-IndComSales-Annual'!TH30*2.33</f>
        <v>349862.87420092494</v>
      </c>
      <c r="AL28" s="152">
        <f>'[6]OR-IndComSales-Annual'!TI30*2.33</f>
        <v>0</v>
      </c>
      <c r="AM28" s="152">
        <f>'[6]OR-IndComSales-Annual'!TJ30*2.33</f>
        <v>0</v>
      </c>
      <c r="AN28" s="152">
        <f>'[6]OR-IndComSales-Annual'!TK30*2.33</f>
        <v>0</v>
      </c>
      <c r="AO28" s="152">
        <f>'[6]OR-IndComSales-Annual'!TL30*2.33</f>
        <v>0</v>
      </c>
      <c r="AP28" s="152">
        <f>'[6]OR-IndComSales-Annual'!TM30*2.33</f>
        <v>0</v>
      </c>
      <c r="AQ28" s="152">
        <f>'[6]OR-IndComSales-Annual'!TN30*2.33</f>
        <v>0</v>
      </c>
      <c r="AR28" s="152">
        <f>'[6]OR-IndComSales-Annual'!TO30*2.33</f>
        <v>0</v>
      </c>
      <c r="AT28">
        <v>0</v>
      </c>
      <c r="AU28" s="152">
        <f>'[6]OR-Transport-Annual'!TE30*1.79</f>
        <v>0</v>
      </c>
      <c r="AV28" s="152">
        <f>'[6]OR-Transport-Annual'!TF30*1.79</f>
        <v>0</v>
      </c>
      <c r="AW28" s="152">
        <f>'[6]OR-Transport-Annual'!TG30*1.79</f>
        <v>0</v>
      </c>
      <c r="AX28" s="152">
        <f>'[6]OR-Transport-Annual'!TH30*1.79</f>
        <v>0</v>
      </c>
      <c r="AY28" s="152">
        <f>'[6]OR-Transport-Annual'!TI30*1.79</f>
        <v>0</v>
      </c>
      <c r="AZ28" s="152">
        <f>'[6]OR-Transport-Annual'!TJ30*1.79</f>
        <v>0</v>
      </c>
      <c r="BA28" s="152">
        <f>'[6]OR-Transport-Annual'!TK30*1.79</f>
        <v>0</v>
      </c>
      <c r="BB28" s="152">
        <f>'[6]OR-Transport-Annual'!TL30*1.79</f>
        <v>0</v>
      </c>
      <c r="BC28" s="152">
        <f>'[6]OR-Transport-Annual'!TM30*1.79</f>
        <v>0</v>
      </c>
      <c r="BE28" s="133">
        <f t="shared" si="1"/>
        <v>8104791.871818007</v>
      </c>
      <c r="BF28" s="133">
        <f t="shared" si="1"/>
        <v>47380536.139472738</v>
      </c>
      <c r="BG28" s="133">
        <f t="shared" si="1"/>
        <v>125332537.86264862</v>
      </c>
      <c r="BH28" s="133">
        <f t="shared" si="1"/>
        <v>27924878.249867886</v>
      </c>
      <c r="BI28" s="133">
        <f t="shared" si="1"/>
        <v>31137326.998375617</v>
      </c>
      <c r="BJ28" s="133">
        <f t="shared" si="1"/>
        <v>0</v>
      </c>
      <c r="BK28" s="133">
        <f t="shared" si="1"/>
        <v>0</v>
      </c>
      <c r="BL28" s="133">
        <f t="shared" si="1"/>
        <v>47380536.139472738</v>
      </c>
      <c r="BM28" s="133">
        <f t="shared" si="1"/>
        <v>47380536.139472738</v>
      </c>
      <c r="BN28" s="133">
        <f t="shared" si="1"/>
        <v>14156857.128785646</v>
      </c>
      <c r="BP28" s="153">
        <f>BE28/(([4]Annual!FZ28+[4]Annual!EW28)/10)</f>
        <v>7.5323282909063746E-2</v>
      </c>
      <c r="BQ28" s="153">
        <f>BF28/(([4]Annual!GA28+[4]Annual!EX28)/10)</f>
        <v>0.54494710498738208</v>
      </c>
      <c r="BR28" s="153">
        <f>BG28/(([4]Annual!GB28+[4]Annual!EY28)/10)</f>
        <v>1.4952356616019813</v>
      </c>
      <c r="BS28" s="153">
        <f>BH28/(([4]Annual!GC28+[4]Annual!EZ28)/10)</f>
        <v>0.37602507196802304</v>
      </c>
      <c r="BT28" s="153">
        <f>BI28/(([4]Annual!GD28+[4]Annual!FA28)/10)</f>
        <v>0.48832454972754541</v>
      </c>
      <c r="BU28" s="153">
        <f>BJ28/(([4]Annual!GE28+[4]Annual!FB28)/10)</f>
        <v>0</v>
      </c>
      <c r="BV28" s="153">
        <f>BK28/(([4]Annual!GF28+[4]Annual!FC28)/10)</f>
        <v>0</v>
      </c>
      <c r="BW28" s="153">
        <f>BL28/(([4]Annual!GG28+[4]Annual!FD28)/10)</f>
        <v>0.52898969446954358</v>
      </c>
      <c r="BX28" s="153">
        <f>BM28/(([4]Annual!GH28+[4]Annual!FE28)/10)</f>
        <v>0.52369209799499172</v>
      </c>
      <c r="BY28" s="153">
        <f>BN28/(([4]Annual!GI28+[4]Annual!FF28)/10)</f>
        <v>0.22372779925657041</v>
      </c>
    </row>
    <row r="29" spans="1:77" x14ac:dyDescent="0.25">
      <c r="A29">
        <v>2049</v>
      </c>
      <c r="B29" s="133">
        <f>('[2]OR Res Incremental EE'!ST29+'[2]OR Com Incremental EE'!SI29)*'[5]Energy Efficiency'!$BR$9</f>
        <v>8067893.3311816147</v>
      </c>
      <c r="C29" s="133">
        <f>('[2]OR Res Incremental EE'!SU29+'[2]OR Com Incremental EE'!SJ29)*'[5]Energy Efficiency'!$BR$9</f>
        <v>8067893.3311816147</v>
      </c>
      <c r="D29" s="133">
        <f>('[2]OR Res Incremental EE'!SV29+'[2]OR Com Incremental EE'!SK29)*'[5]Energy Efficiency'!$BR$9</f>
        <v>39374552.302093029</v>
      </c>
      <c r="E29" s="133">
        <f>('[2]OR Res Incremental EE'!SW29+'[2]OR Com Incremental EE'!SL29)*'[5]Energy Efficiency'!$BR$9</f>
        <v>8067893.3311816147</v>
      </c>
      <c r="F29" s="133">
        <f>('[2]OR Res Incremental EE'!SX29+'[2]OR Com Incremental EE'!SM29)*'[5]Energy Efficiency'!$BR$9</f>
        <v>662790.97115294193</v>
      </c>
      <c r="G29" s="133">
        <v>0</v>
      </c>
      <c r="H29" s="133">
        <v>0</v>
      </c>
      <c r="I29" s="133">
        <f>('[2]OR Res Incremental EE'!TA29+'[2]OR Com Incremental EE'!SP29)*'[5]Energy Efficiency'!$BR$9</f>
        <v>8067893.3311816147</v>
      </c>
      <c r="J29" s="133">
        <f>('[2]OR Res Incremental EE'!TB29+'[2]OR Com Incremental EE'!SQ29)*'[5]Energy Efficiency'!$BR$9</f>
        <v>8067893.3311816147</v>
      </c>
      <c r="K29" s="133">
        <f>('[2]OR Res Incremental EE'!TC29+'[2]OR Com Incremental EE'!SR29)*'[5]Energy Efficiency'!$BR$9</f>
        <v>8067893.3311816147</v>
      </c>
      <c r="L29" s="133"/>
      <c r="M29" s="133">
        <f>('[2]OR-Res-Existing Cust'!SO63*0.87*'[2]Key Inputs'!$C$74)+('[2]OR-Res-Existing Cust'!SO191*0.67*'[2]Key Inputs'!$C$75)+('[2]OR-Res-Cust Growth'!SQ61*0.87*'[2]Key Inputs'!$C$74)+('[2]OR-Res-Cust Growth'!SQ189*0.87*'[2]Key Inputs'!$C$75)+('[2]OR-Com-Existing Cust'!SO63*0.87*'[2]Key Inputs'!$C$78)+('[2]OR-Com-Cust Growth'!SQ61*0.87*'[2]Key Inputs'!$C$78)</f>
        <v>0</v>
      </c>
      <c r="N29" s="133">
        <f>('[2]OR-Res-Existing Cust'!SP63*0.87*'[2]Key Inputs'!$C$74)+('[2]OR-Res-Existing Cust'!SP191*0.67*'[2]Key Inputs'!$C$75)+('[2]OR-Res-Cust Growth'!SR61*0.87*'[2]Key Inputs'!$C$74)+('[2]OR-Res-Cust Growth'!SR189*0.87*'[2]Key Inputs'!$C$75)+('[2]OR-Com-Existing Cust'!SP63*0.87*'[2]Key Inputs'!$C$78)+('[2]OR-Com-Cust Growth'!SR61*0.87*'[2]Key Inputs'!$C$78)</f>
        <v>37483562.131909266</v>
      </c>
      <c r="O29" s="133">
        <f>('[2]OR-Res-Existing Cust'!SQ63*0.87*'[2]Key Inputs'!$C$74)+('[2]OR-Res-Existing Cust'!SQ191*0.67*'[2]Key Inputs'!$C$75)+('[2]OR-Res-Cust Growth'!SS61*0.87*'[2]Key Inputs'!$C$74)+('[2]OR-Res-Cust Growth'!SS189*0.87*'[2]Key Inputs'!$C$75)+('[2]OR-Com-Existing Cust'!SQ63*0.87*'[2]Key Inputs'!$C$78)+('[2]OR-Com-Cust Growth'!SS61*0.87*'[2]Key Inputs'!$C$78)</f>
        <v>80443399.027783096</v>
      </c>
      <c r="P29" s="133">
        <f>('[2]OR-Res-Existing Cust'!SR63*0.87*'[2]Key Inputs'!$C$74)+('[2]OR-Res-Existing Cust'!SR191*0.67*'[2]Key Inputs'!$C$75)+('[2]OR-Res-Cust Growth'!ST61*0.87*'[2]Key Inputs'!$C$74)+('[2]OR-Res-Cust Growth'!ST189*0.87*'[2]Key Inputs'!$C$75)+('[2]OR-Com-Existing Cust'!SR63*0.87*'[2]Key Inputs'!$C$78)+('[2]OR-Com-Cust Growth'!ST61*0.87*'[2]Key Inputs'!$C$78)</f>
        <v>8247269.1036027158</v>
      </c>
      <c r="Q29" s="133">
        <f>('[2]OR-Res-Existing Cust'!SS63*0.87*'[2]Key Inputs'!$C$74)+('[2]OR-Res-Existing Cust'!SS191*0.67*'[2]Key Inputs'!$C$75)+('[2]OR-Res-Cust Growth'!SU61*0.87*'[2]Key Inputs'!$C$74)+('[2]OR-Res-Cust Growth'!SU189*0.87*'[2]Key Inputs'!$C$75)+('[2]OR-Com-Existing Cust'!SS63*0.87*'[2]Key Inputs'!$C$78)+('[2]OR-Com-Cust Growth'!SU61*0.87*'[2]Key Inputs'!$C$78)</f>
        <v>29634152.024278417</v>
      </c>
      <c r="R29" s="133">
        <f>('[2]OR-Res-Existing Cust'!ST63*0.87*'[2]Key Inputs'!$C$74)+('[2]OR-Res-Existing Cust'!ST191*0.67*'[2]Key Inputs'!$C$75)+('[2]OR-Res-Cust Growth'!SV61*0.87*'[2]Key Inputs'!$C$74)+('[2]OR-Res-Cust Growth'!SV189*0.87*'[2]Key Inputs'!$C$75)+('[2]OR-Com-Existing Cust'!ST63*0.87*'[2]Key Inputs'!$C$78)+('[2]OR-Com-Cust Growth'!SV61*0.87*'[2]Key Inputs'!$C$78)</f>
        <v>0</v>
      </c>
      <c r="S29" s="133">
        <f>('[2]OR-Res-Existing Cust'!SU63*0.87*'[2]Key Inputs'!$C$74)+('[2]OR-Res-Existing Cust'!SU191*0.67*'[2]Key Inputs'!$C$75)+('[2]OR-Res-Cust Growth'!SW61*0.87*'[2]Key Inputs'!$C$74)+('[2]OR-Res-Cust Growth'!SW189*0.87*'[2]Key Inputs'!$C$75)+('[2]OR-Com-Existing Cust'!SU63*0.87*'[2]Key Inputs'!$C$78)+('[2]OR-Com-Cust Growth'!SW61*0.87*'[2]Key Inputs'!$C$78)</f>
        <v>0</v>
      </c>
      <c r="T29" s="133">
        <f>('[2]OR-Res-Existing Cust'!SV63*0.87*'[2]Key Inputs'!$C$74)+('[2]OR-Res-Existing Cust'!SV191*0.67*'[2]Key Inputs'!$C$75)+('[2]OR-Res-Cust Growth'!SX61*0.87*'[2]Key Inputs'!$C$74)+('[2]OR-Res-Cust Growth'!SX189*0.87*'[2]Key Inputs'!$C$75)+('[2]OR-Com-Existing Cust'!SV63*0.87*'[2]Key Inputs'!$C$78)+('[2]OR-Com-Cust Growth'!SX61*0.87*'[2]Key Inputs'!$C$78)</f>
        <v>37483562.131909266</v>
      </c>
      <c r="U29" s="133">
        <f>('[2]OR-Res-Existing Cust'!SW63*0.87*'[2]Key Inputs'!$C$74)+('[2]OR-Res-Existing Cust'!SW191*0.67*'[2]Key Inputs'!$C$75)+('[2]OR-Res-Cust Growth'!SY61*0.87*'[2]Key Inputs'!$C$74)+('[2]OR-Res-Cust Growth'!SY189*0.87*'[2]Key Inputs'!$C$75)+('[2]OR-Com-Existing Cust'!SW63*0.87*'[2]Key Inputs'!$C$78)+('[2]OR-Com-Cust Growth'!SY61*0.87*'[2]Key Inputs'!$C$78)</f>
        <v>37483562.131909266</v>
      </c>
      <c r="V29" s="133">
        <f>('[2]OR-Res-Existing Cust'!SX63*0.87*'[2]Key Inputs'!$C$74)+('[2]OR-Res-Existing Cust'!SX191*0.67*'[2]Key Inputs'!$C$75)+('[2]OR-Res-Cust Growth'!SZ61*0.87*'[2]Key Inputs'!$C$74)+('[2]OR-Res-Cust Growth'!SZ189*0.87*'[2]Key Inputs'!$C$75)+('[2]OR-Com-Existing Cust'!SX63*0.87*'[2]Key Inputs'!$C$78)+('[2]OR-Com-Cust Growth'!SZ61*0.87*'[2]Key Inputs'!$C$78)</f>
        <v>2474180.7310808147</v>
      </c>
      <c r="X29" s="63">
        <f>(('[2]OR-Res-Existing Cust'!SO127+'[2]OR-Res-Cust Growth'!SQ125)*'[2]Key Inputs'!$C$73)+(('[2]OR-Com-Existing Cust'!SO127+'[2]OR-Com-Cust Growth'!SQ125)*'[2]Key Inputs'!$C$77)</f>
        <v>0</v>
      </c>
      <c r="Y29" s="63">
        <f>(('[2]OR-Res-Existing Cust'!SP127+'[2]OR-Res-Cust Growth'!SR125)*'[2]Key Inputs'!$C$73)+(('[2]OR-Com-Existing Cust'!SP127+'[2]OR-Com-Cust Growth'!SR125)*'[2]Key Inputs'!$C$77)</f>
        <v>4420082.1357302619</v>
      </c>
      <c r="Z29" s="63">
        <f>(('[2]OR-Res-Existing Cust'!SQ127+'[2]OR-Res-Cust Growth'!SS125)*'[2]Key Inputs'!$C$73)+(('[2]OR-Com-Existing Cust'!SQ127+'[2]OR-Com-Cust Growth'!SS125)*'[2]Key Inputs'!$C$77)</f>
        <v>3217126.8621827308</v>
      </c>
      <c r="AA29" s="63">
        <f>(('[2]OR-Res-Existing Cust'!SR127+'[2]OR-Res-Cust Growth'!ST125)*'[2]Key Inputs'!$C$73)+(('[2]OR-Com-Existing Cust'!SR127+'[2]OR-Com-Cust Growth'!ST125)*'[2]Key Inputs'!$C$77)</f>
        <v>11023036.413092343</v>
      </c>
      <c r="AB29" s="63">
        <f>(('[2]OR-Res-Existing Cust'!SS127+'[2]OR-Res-Cust Growth'!SU125)*'[2]Key Inputs'!$C$73)+(('[2]OR-Com-Existing Cust'!SS127+'[2]OR-Com-Cust Growth'!SU125)*'[2]Key Inputs'!$C$77)</f>
        <v>3518134.1269685491</v>
      </c>
      <c r="AC29" s="63">
        <f>(('[2]OR-Res-Existing Cust'!ST127+'[2]OR-Res-Cust Growth'!SV125)*'[2]Key Inputs'!$C$73)+(('[2]OR-Com-Existing Cust'!ST127+'[2]OR-Com-Cust Growth'!SV125)*'[2]Key Inputs'!$C$77)</f>
        <v>0</v>
      </c>
      <c r="AD29" s="63">
        <f>(('[2]OR-Res-Existing Cust'!SU127+'[2]OR-Res-Cust Growth'!SW125)*'[2]Key Inputs'!$C$73)+(('[2]OR-Com-Existing Cust'!SU127+'[2]OR-Com-Cust Growth'!SW125)*'[2]Key Inputs'!$C$77)</f>
        <v>0</v>
      </c>
      <c r="AE29" s="63">
        <f>(('[2]OR-Res-Existing Cust'!SV127+'[2]OR-Res-Cust Growth'!SX125)*'[2]Key Inputs'!$C$73)+(('[2]OR-Com-Existing Cust'!SV127+'[2]OR-Com-Cust Growth'!SX125)*'[2]Key Inputs'!$C$77)</f>
        <v>4420082.1357302619</v>
      </c>
      <c r="AF29" s="63">
        <f>(('[2]OR-Res-Existing Cust'!SW127+'[2]OR-Res-Cust Growth'!SY125)*'[2]Key Inputs'!$C$73)+(('[2]OR-Com-Existing Cust'!SW127+'[2]OR-Com-Cust Growth'!SY125)*'[2]Key Inputs'!$C$77)</f>
        <v>4420082.1357302619</v>
      </c>
      <c r="AG29" s="63">
        <f>(('[2]OR-Res-Existing Cust'!SX127+'[2]OR-Res-Cust Growth'!SZ125)*'[2]Key Inputs'!$C$73)+(('[2]OR-Com-Existing Cust'!SX127+'[2]OR-Com-Cust Growth'!SZ125)*'[2]Key Inputs'!$C$77)</f>
        <v>3518134.1269685491</v>
      </c>
      <c r="AI29" s="152">
        <f>'[6]OR-IndComSales-Annual'!TF31*2.33</f>
        <v>0</v>
      </c>
      <c r="AJ29" s="152">
        <f>'[6]OR-IndComSales-Annual'!TG31*2.33</f>
        <v>0</v>
      </c>
      <c r="AK29" s="152">
        <f>'[6]OR-IndComSales-Annual'!TH31*2.33</f>
        <v>-259997.87310033053</v>
      </c>
      <c r="AL29" s="152">
        <f>'[6]OR-IndComSales-Annual'!TI31*2.33</f>
        <v>0</v>
      </c>
      <c r="AM29" s="152">
        <f>'[6]OR-IndComSales-Annual'!TJ31*2.33</f>
        <v>0</v>
      </c>
      <c r="AN29" s="152">
        <f>'[6]OR-IndComSales-Annual'!TK31*2.33</f>
        <v>0</v>
      </c>
      <c r="AO29" s="152">
        <f>'[6]OR-IndComSales-Annual'!TL31*2.33</f>
        <v>0</v>
      </c>
      <c r="AP29" s="152">
        <f>'[6]OR-IndComSales-Annual'!TM31*2.33</f>
        <v>0</v>
      </c>
      <c r="AQ29" s="152">
        <f>'[6]OR-IndComSales-Annual'!TN31*2.33</f>
        <v>0</v>
      </c>
      <c r="AR29" s="152">
        <f>'[6]OR-IndComSales-Annual'!TO31*2.33</f>
        <v>0</v>
      </c>
      <c r="AT29">
        <v>0</v>
      </c>
      <c r="AU29" s="152">
        <f>'[6]OR-Transport-Annual'!TE31*1.79</f>
        <v>0</v>
      </c>
      <c r="AV29" s="152">
        <f>'[6]OR-Transport-Annual'!TF31*1.79</f>
        <v>0</v>
      </c>
      <c r="AW29" s="152">
        <f>'[6]OR-Transport-Annual'!TG31*1.79</f>
        <v>0</v>
      </c>
      <c r="AX29" s="152">
        <f>'[6]OR-Transport-Annual'!TH31*1.79</f>
        <v>0</v>
      </c>
      <c r="AY29" s="152">
        <f>'[6]OR-Transport-Annual'!TI31*1.79</f>
        <v>0</v>
      </c>
      <c r="AZ29" s="152">
        <f>'[6]OR-Transport-Annual'!TJ31*1.79</f>
        <v>0</v>
      </c>
      <c r="BA29" s="152">
        <f>'[6]OR-Transport-Annual'!TK31*1.79</f>
        <v>0</v>
      </c>
      <c r="BB29" s="152">
        <f>'[6]OR-Transport-Annual'!TL31*1.79</f>
        <v>0</v>
      </c>
      <c r="BC29" s="152">
        <f>'[6]OR-Transport-Annual'!TM31*1.79</f>
        <v>0</v>
      </c>
      <c r="BE29" s="133">
        <f t="shared" si="1"/>
        <v>8067893.3311816147</v>
      </c>
      <c r="BF29" s="133">
        <f t="shared" si="1"/>
        <v>49971537.598821141</v>
      </c>
      <c r="BG29" s="133">
        <f t="shared" si="1"/>
        <v>122775080.31895854</v>
      </c>
      <c r="BH29" s="133">
        <f t="shared" si="1"/>
        <v>27338198.847876675</v>
      </c>
      <c r="BI29" s="133">
        <f t="shared" si="1"/>
        <v>33815077.122399911</v>
      </c>
      <c r="BJ29" s="133">
        <f t="shared" si="1"/>
        <v>0</v>
      </c>
      <c r="BK29" s="133">
        <f t="shared" si="1"/>
        <v>0</v>
      </c>
      <c r="BL29" s="133">
        <f t="shared" si="1"/>
        <v>49971537.598821141</v>
      </c>
      <c r="BM29" s="133">
        <f t="shared" si="1"/>
        <v>49971537.598821141</v>
      </c>
      <c r="BN29" s="133">
        <f t="shared" si="1"/>
        <v>14060208.189230978</v>
      </c>
      <c r="BP29" s="153">
        <f>BE29/(([4]Annual!FZ29+[4]Annual!EW29)/10)</f>
        <v>7.5484513305507026E-2</v>
      </c>
      <c r="BQ29" s="153">
        <f>BF29/(([4]Annual!GA29+[4]Annual!EX29)/10)</f>
        <v>0.58186362278331993</v>
      </c>
      <c r="BR29" s="153">
        <f>BG29/(([4]Annual!GB29+[4]Annual!EY29)/10)</f>
        <v>1.4885249165671164</v>
      </c>
      <c r="BS29" s="153">
        <f>BH29/(([4]Annual!GC29+[4]Annual!EZ29)/10)</f>
        <v>0.37502766748921157</v>
      </c>
      <c r="BT29" s="153">
        <f>BI29/(([4]Annual!GD29+[4]Annual!FA29)/10)</f>
        <v>0.54411595732908924</v>
      </c>
      <c r="BU29" s="153">
        <f>BJ29/(([4]Annual!GE29+[4]Annual!FB29)/10)</f>
        <v>0</v>
      </c>
      <c r="BV29" s="153">
        <f>BK29/(([4]Annual!GF29+[4]Annual!FC29)/10)</f>
        <v>0</v>
      </c>
      <c r="BW29" s="153">
        <f>BL29/(([4]Annual!GG29+[4]Annual!FD29)/10)</f>
        <v>0.56515286970449463</v>
      </c>
      <c r="BX29" s="153">
        <f>BM29/(([4]Annual!GH29+[4]Annual!FE29)/10)</f>
        <v>0.55948597103802533</v>
      </c>
      <c r="BY29" s="153">
        <f>BN29/(([4]Annual!GI29+[4]Annual!FF29)/10)</f>
        <v>0.22492286872714215</v>
      </c>
    </row>
    <row r="30" spans="1:77" x14ac:dyDescent="0.25">
      <c r="A30">
        <v>2050</v>
      </c>
      <c r="B30" s="133">
        <f>('[2]OR Res Incremental EE'!ST30+'[2]OR Com Incremental EE'!SI30)*'[5]Energy Efficiency'!$BR$9</f>
        <v>9107305.0196340457</v>
      </c>
      <c r="C30" s="133">
        <f>('[2]OR Res Incremental EE'!SU30+'[2]OR Com Incremental EE'!SJ30)*'[5]Energy Efficiency'!$BR$9</f>
        <v>9107305.0196340457</v>
      </c>
      <c r="D30" s="133">
        <f>('[2]OR Res Incremental EE'!SV30+'[2]OR Com Incremental EE'!SK30)*'[5]Energy Efficiency'!$BR$9</f>
        <v>41055939.537447527</v>
      </c>
      <c r="E30" s="133">
        <f>('[2]OR Res Incremental EE'!SW30+'[2]OR Com Incremental EE'!SL30)*'[5]Energy Efficiency'!$BR$9</f>
        <v>9107305.0196340457</v>
      </c>
      <c r="F30" s="133">
        <f>('[2]OR Res Incremental EE'!SX30+'[2]OR Com Incremental EE'!SM30)*'[5]Energy Efficiency'!$BR$9</f>
        <v>784095.93959263957</v>
      </c>
      <c r="G30" s="133">
        <v>0</v>
      </c>
      <c r="H30" s="133">
        <v>0</v>
      </c>
      <c r="I30" s="133">
        <f>('[2]OR Res Incremental EE'!TA30+'[2]OR Com Incremental EE'!SP30)*'[5]Energy Efficiency'!$BR$9</f>
        <v>9107305.0196340457</v>
      </c>
      <c r="J30" s="133">
        <f>('[2]OR Res Incremental EE'!TB30+'[2]OR Com Incremental EE'!SQ30)*'[5]Energy Efficiency'!$BR$9</f>
        <v>9107305.0196340457</v>
      </c>
      <c r="K30" s="133">
        <f>('[2]OR Res Incremental EE'!TC30+'[2]OR Com Incremental EE'!SR30)*'[5]Energy Efficiency'!$BR$9</f>
        <v>9107305.0196340457</v>
      </c>
      <c r="L30" s="133"/>
      <c r="M30" s="133">
        <f>('[2]OR-Res-Existing Cust'!SO64*0.87*'[2]Key Inputs'!$C$74)+('[2]OR-Res-Existing Cust'!SO192*0.67*'[2]Key Inputs'!$C$75)+('[2]OR-Res-Cust Growth'!SQ62*0.87*'[2]Key Inputs'!$C$74)+('[2]OR-Res-Cust Growth'!SQ190*0.87*'[2]Key Inputs'!$C$75)+('[2]OR-Com-Existing Cust'!SO64*0.87*'[2]Key Inputs'!$C$78)+('[2]OR-Com-Cust Growth'!SQ62*0.87*'[2]Key Inputs'!$C$78)</f>
        <v>0</v>
      </c>
      <c r="N30" s="133">
        <f>('[2]OR-Res-Existing Cust'!SP64*0.87*'[2]Key Inputs'!$C$74)+('[2]OR-Res-Existing Cust'!SP192*0.67*'[2]Key Inputs'!$C$75)+('[2]OR-Res-Cust Growth'!SR62*0.87*'[2]Key Inputs'!$C$74)+('[2]OR-Res-Cust Growth'!SR190*0.87*'[2]Key Inputs'!$C$75)+('[2]OR-Com-Existing Cust'!SP64*0.87*'[2]Key Inputs'!$C$78)+('[2]OR-Com-Cust Growth'!SR62*0.87*'[2]Key Inputs'!$C$78)</f>
        <v>38766261.418017432</v>
      </c>
      <c r="O30" s="133">
        <f>('[2]OR-Res-Existing Cust'!SQ64*0.87*'[2]Key Inputs'!$C$74)+('[2]OR-Res-Existing Cust'!SQ192*0.67*'[2]Key Inputs'!$C$75)+('[2]OR-Res-Cust Growth'!SS62*0.87*'[2]Key Inputs'!$C$74)+('[2]OR-Res-Cust Growth'!SS190*0.87*'[2]Key Inputs'!$C$75)+('[2]OR-Com-Existing Cust'!SQ64*0.87*'[2]Key Inputs'!$C$78)+('[2]OR-Com-Cust Growth'!SS62*0.87*'[2]Key Inputs'!$C$78)</f>
        <v>78687844.402322039</v>
      </c>
      <c r="P30" s="133">
        <f>('[2]OR-Res-Existing Cust'!SR64*0.87*'[2]Key Inputs'!$C$74)+('[2]OR-Res-Existing Cust'!SR192*0.67*'[2]Key Inputs'!$C$75)+('[2]OR-Res-Cust Growth'!ST62*0.87*'[2]Key Inputs'!$C$74)+('[2]OR-Res-Cust Growth'!ST190*0.87*'[2]Key Inputs'!$C$75)+('[2]OR-Com-Existing Cust'!SR64*0.87*'[2]Key Inputs'!$C$78)+('[2]OR-Com-Cust Growth'!ST62*0.87*'[2]Key Inputs'!$C$78)</f>
        <v>8065279.2431099573</v>
      </c>
      <c r="Q30" s="133">
        <f>('[2]OR-Res-Existing Cust'!SS64*0.87*'[2]Key Inputs'!$C$74)+('[2]OR-Res-Existing Cust'!SS192*0.67*'[2]Key Inputs'!$C$75)+('[2]OR-Res-Cust Growth'!SU62*0.87*'[2]Key Inputs'!$C$74)+('[2]OR-Res-Cust Growth'!SU190*0.87*'[2]Key Inputs'!$C$75)+('[2]OR-Com-Existing Cust'!SS64*0.87*'[2]Key Inputs'!$C$78)+('[2]OR-Com-Cust Growth'!SU62*0.87*'[2]Key Inputs'!$C$78)</f>
        <v>30980654.747765739</v>
      </c>
      <c r="R30" s="133">
        <f>('[2]OR-Res-Existing Cust'!ST64*0.87*'[2]Key Inputs'!$C$74)+('[2]OR-Res-Existing Cust'!ST192*0.67*'[2]Key Inputs'!$C$75)+('[2]OR-Res-Cust Growth'!SV62*0.87*'[2]Key Inputs'!$C$74)+('[2]OR-Res-Cust Growth'!SV190*0.87*'[2]Key Inputs'!$C$75)+('[2]OR-Com-Existing Cust'!ST64*0.87*'[2]Key Inputs'!$C$78)+('[2]OR-Com-Cust Growth'!SV62*0.87*'[2]Key Inputs'!$C$78)</f>
        <v>0</v>
      </c>
      <c r="S30" s="133">
        <f>('[2]OR-Res-Existing Cust'!SU64*0.87*'[2]Key Inputs'!$C$74)+('[2]OR-Res-Existing Cust'!SU192*0.67*'[2]Key Inputs'!$C$75)+('[2]OR-Res-Cust Growth'!SW62*0.87*'[2]Key Inputs'!$C$74)+('[2]OR-Res-Cust Growth'!SW190*0.87*'[2]Key Inputs'!$C$75)+('[2]OR-Com-Existing Cust'!SU64*0.87*'[2]Key Inputs'!$C$78)+('[2]OR-Com-Cust Growth'!SW62*0.87*'[2]Key Inputs'!$C$78)</f>
        <v>0</v>
      </c>
      <c r="T30" s="133">
        <f>('[2]OR-Res-Existing Cust'!SV64*0.87*'[2]Key Inputs'!$C$74)+('[2]OR-Res-Existing Cust'!SV192*0.67*'[2]Key Inputs'!$C$75)+('[2]OR-Res-Cust Growth'!SX62*0.87*'[2]Key Inputs'!$C$74)+('[2]OR-Res-Cust Growth'!SX190*0.87*'[2]Key Inputs'!$C$75)+('[2]OR-Com-Existing Cust'!SV64*0.87*'[2]Key Inputs'!$C$78)+('[2]OR-Com-Cust Growth'!SX62*0.87*'[2]Key Inputs'!$C$78)</f>
        <v>38766261.418017432</v>
      </c>
      <c r="U30" s="133">
        <f>('[2]OR-Res-Existing Cust'!SW64*0.87*'[2]Key Inputs'!$C$74)+('[2]OR-Res-Existing Cust'!SW192*0.67*'[2]Key Inputs'!$C$75)+('[2]OR-Res-Cust Growth'!SY62*0.87*'[2]Key Inputs'!$C$74)+('[2]OR-Res-Cust Growth'!SY190*0.87*'[2]Key Inputs'!$C$75)+('[2]OR-Com-Existing Cust'!SW64*0.87*'[2]Key Inputs'!$C$78)+('[2]OR-Com-Cust Growth'!SY62*0.87*'[2]Key Inputs'!$C$78)</f>
        <v>38766261.418017432</v>
      </c>
      <c r="V30" s="133">
        <f>('[2]OR-Res-Existing Cust'!SX64*0.87*'[2]Key Inputs'!$C$74)+('[2]OR-Res-Existing Cust'!SX192*0.67*'[2]Key Inputs'!$C$75)+('[2]OR-Res-Cust Growth'!SZ62*0.87*'[2]Key Inputs'!$C$74)+('[2]OR-Res-Cust Growth'!SZ190*0.87*'[2]Key Inputs'!$C$75)+('[2]OR-Com-Existing Cust'!SX64*0.87*'[2]Key Inputs'!$C$78)+('[2]OR-Com-Cust Growth'!SZ62*0.87*'[2]Key Inputs'!$C$78)</f>
        <v>2419583.7729329872</v>
      </c>
      <c r="X30" s="63">
        <f>(('[2]OR-Res-Existing Cust'!SO128+'[2]OR-Res-Cust Growth'!SQ126)*'[2]Key Inputs'!$C$73)+(('[2]OR-Com-Existing Cust'!SO128+'[2]OR-Com-Cust Growth'!SQ126)*'[2]Key Inputs'!$C$77)</f>
        <v>0</v>
      </c>
      <c r="Y30" s="63">
        <f>(('[2]OR-Res-Existing Cust'!SP128+'[2]OR-Res-Cust Growth'!SR126)*'[2]Key Inputs'!$C$73)+(('[2]OR-Com-Existing Cust'!SP128+'[2]OR-Com-Cust Growth'!SR126)*'[2]Key Inputs'!$C$77)</f>
        <v>3697495.2117273011</v>
      </c>
      <c r="Z30" s="63">
        <f>(('[2]OR-Res-Existing Cust'!SQ128+'[2]OR-Res-Cust Growth'!SS126)*'[2]Key Inputs'!$C$73)+(('[2]OR-Com-Existing Cust'!SQ128+'[2]OR-Com-Cust Growth'!SS126)*'[2]Key Inputs'!$C$77)</f>
        <v>2946405.4116878896</v>
      </c>
      <c r="AA30" s="63">
        <f>(('[2]OR-Res-Existing Cust'!SR128+'[2]OR-Res-Cust Growth'!ST126)*'[2]Key Inputs'!$C$73)+(('[2]OR-Com-Existing Cust'!SR128+'[2]OR-Com-Cust Growth'!ST126)*'[2]Key Inputs'!$C$77)</f>
        <v>10539116.483990517</v>
      </c>
      <c r="AB30" s="63">
        <f>(('[2]OR-Res-Existing Cust'!SS128+'[2]OR-Res-Cust Growth'!SU126)*'[2]Key Inputs'!$C$73)+(('[2]OR-Com-Existing Cust'!SS128+'[2]OR-Com-Cust Growth'!SU126)*'[2]Key Inputs'!$C$77)</f>
        <v>2810991.587014134</v>
      </c>
      <c r="AC30" s="63">
        <f>(('[2]OR-Res-Existing Cust'!ST128+'[2]OR-Res-Cust Growth'!SV126)*'[2]Key Inputs'!$C$73)+(('[2]OR-Com-Existing Cust'!ST128+'[2]OR-Com-Cust Growth'!SV126)*'[2]Key Inputs'!$C$77)</f>
        <v>0</v>
      </c>
      <c r="AD30" s="63">
        <f>(('[2]OR-Res-Existing Cust'!SU128+'[2]OR-Res-Cust Growth'!SW126)*'[2]Key Inputs'!$C$73)+(('[2]OR-Com-Existing Cust'!SU128+'[2]OR-Com-Cust Growth'!SW126)*'[2]Key Inputs'!$C$77)</f>
        <v>0</v>
      </c>
      <c r="AE30" s="63">
        <f>(('[2]OR-Res-Existing Cust'!SV128+'[2]OR-Res-Cust Growth'!SX126)*'[2]Key Inputs'!$C$73)+(('[2]OR-Com-Existing Cust'!SV128+'[2]OR-Com-Cust Growth'!SX126)*'[2]Key Inputs'!$C$77)</f>
        <v>4282067.4753656685</v>
      </c>
      <c r="AF30" s="63">
        <f>(('[2]OR-Res-Existing Cust'!SW128+'[2]OR-Res-Cust Growth'!SY126)*'[2]Key Inputs'!$C$73)+(('[2]OR-Com-Existing Cust'!SW128+'[2]OR-Com-Cust Growth'!SY126)*'[2]Key Inputs'!$C$77)</f>
        <v>4282067.4753656685</v>
      </c>
      <c r="AG30" s="63">
        <f>(('[2]OR-Res-Existing Cust'!SX128+'[2]OR-Res-Cust Growth'!SZ126)*'[2]Key Inputs'!$C$73)+(('[2]OR-Com-Existing Cust'!SX128+'[2]OR-Com-Cust Growth'!SZ126)*'[2]Key Inputs'!$C$77)</f>
        <v>3278649.3979248283</v>
      </c>
      <c r="AI30" s="152">
        <f>'[6]OR-IndComSales-Annual'!TF32*2.33</f>
        <v>0</v>
      </c>
      <c r="AJ30" s="152">
        <f>'[6]OR-IndComSales-Annual'!TG32*2.33</f>
        <v>0</v>
      </c>
      <c r="AK30" s="152">
        <f>'[6]OR-IndComSales-Annual'!TH32*2.33</f>
        <v>44280.158799755576</v>
      </c>
      <c r="AL30" s="152">
        <f>'[6]OR-IndComSales-Annual'!TI32*2.33</f>
        <v>0</v>
      </c>
      <c r="AM30" s="152">
        <f>'[6]OR-IndComSales-Annual'!TJ32*2.33</f>
        <v>0</v>
      </c>
      <c r="AN30" s="152">
        <f>'[6]OR-IndComSales-Annual'!TK32*2.33</f>
        <v>0</v>
      </c>
      <c r="AO30" s="152">
        <f>'[6]OR-IndComSales-Annual'!TL32*2.33</f>
        <v>0</v>
      </c>
      <c r="AP30" s="152">
        <f>'[6]OR-IndComSales-Annual'!TM32*2.33</f>
        <v>0</v>
      </c>
      <c r="AQ30" s="152">
        <f>'[6]OR-IndComSales-Annual'!TN32*2.33</f>
        <v>0</v>
      </c>
      <c r="AR30" s="152">
        <f>'[6]OR-IndComSales-Annual'!TO32*2.33</f>
        <v>0</v>
      </c>
      <c r="AT30">
        <v>0</v>
      </c>
      <c r="AU30" s="152">
        <f>'[6]OR-Transport-Annual'!TE32*1.79</f>
        <v>0</v>
      </c>
      <c r="AV30" s="152">
        <f>'[6]OR-Transport-Annual'!TF32*1.79</f>
        <v>0</v>
      </c>
      <c r="AW30" s="152">
        <f>'[6]OR-Transport-Annual'!TG32*1.79</f>
        <v>0</v>
      </c>
      <c r="AX30" s="152">
        <f>'[6]OR-Transport-Annual'!TH32*1.79</f>
        <v>0</v>
      </c>
      <c r="AY30" s="152">
        <f>'[6]OR-Transport-Annual'!TI32*1.79</f>
        <v>0</v>
      </c>
      <c r="AZ30" s="152">
        <f>'[6]OR-Transport-Annual'!TJ32*1.79</f>
        <v>0</v>
      </c>
      <c r="BA30" s="152">
        <f>'[6]OR-Transport-Annual'!TK32*1.79</f>
        <v>0</v>
      </c>
      <c r="BB30" s="152">
        <f>'[6]OR-Transport-Annual'!TL32*1.79</f>
        <v>0</v>
      </c>
      <c r="BC30" s="152">
        <f>'[6]OR-Transport-Annual'!TM32*1.79</f>
        <v>0</v>
      </c>
      <c r="BE30" s="133">
        <f t="shared" si="1"/>
        <v>9107305.0196340457</v>
      </c>
      <c r="BF30" s="133">
        <f t="shared" si="1"/>
        <v>51571061.649378777</v>
      </c>
      <c r="BG30" s="133">
        <f t="shared" si="1"/>
        <v>122734469.51025721</v>
      </c>
      <c r="BH30" s="133">
        <f t="shared" si="1"/>
        <v>27711700.746734519</v>
      </c>
      <c r="BI30" s="133">
        <f t="shared" si="1"/>
        <v>34575742.274372511</v>
      </c>
      <c r="BJ30" s="133">
        <f t="shared" si="1"/>
        <v>0</v>
      </c>
      <c r="BK30" s="133">
        <f t="shared" si="1"/>
        <v>0</v>
      </c>
      <c r="BL30" s="133">
        <f t="shared" si="1"/>
        <v>52155633.913017146</v>
      </c>
      <c r="BM30" s="133">
        <f t="shared" si="1"/>
        <v>52155633.913017146</v>
      </c>
      <c r="BN30" s="133">
        <f t="shared" si="1"/>
        <v>14805538.190491863</v>
      </c>
      <c r="BP30" s="153">
        <f>BE30/(([4]Annual!FZ30+[4]Annual!EW30)/10)</f>
        <v>8.5247579793948702E-2</v>
      </c>
      <c r="BQ30" s="153">
        <f>BF30/(([4]Annual!GA30+[4]Annual!EX30)/10)</f>
        <v>0.60361489395791756</v>
      </c>
      <c r="BR30" s="153">
        <f>BG30/(([4]Annual!GB30+[4]Annual!EY30)/10)</f>
        <v>1.5028094181319147</v>
      </c>
      <c r="BS30" s="153">
        <f>BH30/(([4]Annual!GC30+[4]Annual!EZ30)/10)</f>
        <v>0.38363477905138893</v>
      </c>
      <c r="BT30" s="153">
        <f>BI30/(([4]Annual!GD30+[4]Annual!FA30)/10)</f>
        <v>0.56637098911199002</v>
      </c>
      <c r="BU30" s="153">
        <f>BJ30/(([4]Annual!GE30+[4]Annual!FB30)/10)</f>
        <v>0</v>
      </c>
      <c r="BV30" s="153">
        <f>BK30/(([4]Annual!GF30+[4]Annual!FC30)/10)</f>
        <v>0</v>
      </c>
      <c r="BW30" s="153">
        <f>BL30/(([4]Annual!GG30+[4]Annual!FD30)/10)</f>
        <v>0.59398060746634285</v>
      </c>
      <c r="BX30" s="153">
        <f>BM30/(([4]Annual!GH30+[4]Annual!FE30)/10)</f>
        <v>0.58801890559235859</v>
      </c>
      <c r="BY30" s="153">
        <f>BN30/(([4]Annual!GI30+[4]Annual!FF30)/10)</f>
        <v>0.23839322221822268</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8E73D-1650-4A66-9243-F40CE7265DC2}">
  <sheetPr>
    <tabColor rgb="FF7030A0"/>
  </sheetPr>
  <dimension ref="A1:BY30"/>
  <sheetViews>
    <sheetView topLeftCell="BC1" workbookViewId="0">
      <selection activeCell="BI35" sqref="BI35"/>
    </sheetView>
  </sheetViews>
  <sheetFormatPr defaultRowHeight="15" x14ac:dyDescent="0.25"/>
  <cols>
    <col min="2" max="2" width="13.7109375" customWidth="1"/>
    <col min="3" max="3" width="12.42578125" bestFit="1" customWidth="1"/>
    <col min="4" max="4" width="13.5703125" bestFit="1" customWidth="1"/>
    <col min="5" max="6" width="12.42578125" bestFit="1" customWidth="1"/>
    <col min="7" max="7" width="15.28515625" bestFit="1" customWidth="1"/>
    <col min="8" max="8" width="14.28515625" bestFit="1" customWidth="1"/>
    <col min="9" max="11" width="12.42578125" bestFit="1" customWidth="1"/>
    <col min="12" max="13" width="9" bestFit="1" customWidth="1"/>
    <col min="14" max="14" width="11.5703125" customWidth="1"/>
    <col min="15" max="15" width="11.7109375" customWidth="1"/>
    <col min="16" max="16" width="10.5703125" customWidth="1"/>
    <col min="17" max="17" width="11.7109375" customWidth="1"/>
    <col min="20" max="22" width="11.28515625" customWidth="1"/>
    <col min="25" max="26" width="11" customWidth="1"/>
    <col min="27" max="27" width="12.5703125" customWidth="1"/>
    <col min="28" max="33" width="11" customWidth="1"/>
    <col min="35" max="36" width="9" bestFit="1" customWidth="1"/>
    <col min="37" max="37" width="13.5703125" bestFit="1" customWidth="1"/>
    <col min="38" max="44" width="9" bestFit="1" customWidth="1"/>
    <col min="47" max="50" width="13.5703125" bestFit="1" customWidth="1"/>
    <col min="51" max="52" width="9" bestFit="1" customWidth="1"/>
    <col min="53" max="55" width="13.5703125" bestFit="1" customWidth="1"/>
    <col min="57" max="66" width="13.28515625" customWidth="1"/>
    <col min="68" max="77" width="10.5703125" customWidth="1"/>
  </cols>
  <sheetData>
    <row r="1" spans="1:77" x14ac:dyDescent="0.25">
      <c r="A1" t="s">
        <v>410</v>
      </c>
      <c r="B1" s="69" t="s">
        <v>94</v>
      </c>
      <c r="C1" t="s">
        <v>98</v>
      </c>
      <c r="D1" t="s">
        <v>99</v>
      </c>
      <c r="E1" t="s">
        <v>100</v>
      </c>
      <c r="F1" t="s">
        <v>101</v>
      </c>
      <c r="G1" t="s">
        <v>102</v>
      </c>
      <c r="H1" t="s">
        <v>103</v>
      </c>
      <c r="I1" t="s">
        <v>104</v>
      </c>
      <c r="J1" t="s">
        <v>105</v>
      </c>
      <c r="K1" t="s">
        <v>106</v>
      </c>
      <c r="L1" t="s">
        <v>411</v>
      </c>
      <c r="M1" s="69" t="s">
        <v>94</v>
      </c>
      <c r="N1" t="s">
        <v>98</v>
      </c>
      <c r="O1" t="s">
        <v>99</v>
      </c>
      <c r="P1" t="s">
        <v>100</v>
      </c>
      <c r="Q1" t="s">
        <v>101</v>
      </c>
      <c r="R1" t="s">
        <v>102</v>
      </c>
      <c r="S1" t="s">
        <v>103</v>
      </c>
      <c r="T1" t="s">
        <v>104</v>
      </c>
      <c r="U1" t="s">
        <v>105</v>
      </c>
      <c r="V1" t="s">
        <v>106</v>
      </c>
      <c r="W1" t="s">
        <v>412</v>
      </c>
      <c r="X1" s="69" t="s">
        <v>94</v>
      </c>
      <c r="Y1" t="s">
        <v>98</v>
      </c>
      <c r="Z1" t="s">
        <v>99</v>
      </c>
      <c r="AA1" t="s">
        <v>100</v>
      </c>
      <c r="AB1" t="s">
        <v>101</v>
      </c>
      <c r="AC1" t="s">
        <v>102</v>
      </c>
      <c r="AD1" t="s">
        <v>103</v>
      </c>
      <c r="AE1" t="s">
        <v>104</v>
      </c>
      <c r="AF1" t="s">
        <v>105</v>
      </c>
      <c r="AG1" t="s">
        <v>106</v>
      </c>
      <c r="AH1" t="s">
        <v>413</v>
      </c>
      <c r="AI1" s="69" t="s">
        <v>94</v>
      </c>
      <c r="AJ1" t="s">
        <v>98</v>
      </c>
      <c r="AK1" t="s">
        <v>99</v>
      </c>
      <c r="AL1" t="s">
        <v>100</v>
      </c>
      <c r="AM1" t="s">
        <v>101</v>
      </c>
      <c r="AN1" t="s">
        <v>102</v>
      </c>
      <c r="AO1" t="s">
        <v>103</v>
      </c>
      <c r="AP1" t="s">
        <v>104</v>
      </c>
      <c r="AQ1" t="s">
        <v>105</v>
      </c>
      <c r="AR1" t="s">
        <v>106</v>
      </c>
      <c r="AS1" t="s">
        <v>414</v>
      </c>
      <c r="AT1" s="69" t="s">
        <v>94</v>
      </c>
      <c r="AU1" t="s">
        <v>98</v>
      </c>
      <c r="AV1" t="s">
        <v>99</v>
      </c>
      <c r="AW1" t="s">
        <v>100</v>
      </c>
      <c r="AX1" t="s">
        <v>101</v>
      </c>
      <c r="AY1" t="s">
        <v>102</v>
      </c>
      <c r="AZ1" t="s">
        <v>103</v>
      </c>
      <c r="BA1" t="s">
        <v>104</v>
      </c>
      <c r="BB1" t="s">
        <v>105</v>
      </c>
      <c r="BC1" t="s">
        <v>106</v>
      </c>
      <c r="BD1" t="s">
        <v>415</v>
      </c>
      <c r="BE1" s="69" t="s">
        <v>94</v>
      </c>
      <c r="BF1" t="s">
        <v>98</v>
      </c>
      <c r="BG1" t="s">
        <v>99</v>
      </c>
      <c r="BH1" t="s">
        <v>100</v>
      </c>
      <c r="BI1" t="s">
        <v>101</v>
      </c>
      <c r="BJ1" t="s">
        <v>102</v>
      </c>
      <c r="BK1" t="s">
        <v>103</v>
      </c>
      <c r="BL1" t="s">
        <v>104</v>
      </c>
      <c r="BM1" t="s">
        <v>105</v>
      </c>
      <c r="BN1" t="s">
        <v>106</v>
      </c>
      <c r="BO1" t="s">
        <v>361</v>
      </c>
      <c r="BP1" s="69" t="s">
        <v>94</v>
      </c>
      <c r="BQ1" t="s">
        <v>98</v>
      </c>
      <c r="BR1" t="s">
        <v>99</v>
      </c>
      <c r="BS1" t="s">
        <v>100</v>
      </c>
      <c r="BT1" t="s">
        <v>101</v>
      </c>
      <c r="BU1" t="s">
        <v>102</v>
      </c>
      <c r="BV1" t="s">
        <v>103</v>
      </c>
      <c r="BW1" t="s">
        <v>104</v>
      </c>
      <c r="BX1" t="s">
        <v>105</v>
      </c>
      <c r="BY1" t="s">
        <v>106</v>
      </c>
    </row>
    <row r="2" spans="1:77" x14ac:dyDescent="0.25">
      <c r="A2">
        <v>2022</v>
      </c>
      <c r="B2" s="133">
        <f>('[2]WA Res Incremental EE'!ST2+'[2]WA Com Incremental EE'!SI2)*'[5]Energy Efficiency'!$BR$9</f>
        <v>237574.11364311917</v>
      </c>
      <c r="C2" s="133">
        <f>('[2]WA Res Incremental EE'!SU2+'[2]WA Com Incremental EE'!SJ2)*'[5]Energy Efficiency'!$BR$9</f>
        <v>237574.11364311917</v>
      </c>
      <c r="D2" s="133">
        <f>('[2]WA Res Incremental EE'!SV2+'[2]WA Com Incremental EE'!SK2)*'[5]Energy Efficiency'!$BR$9</f>
        <v>563700.80683261086</v>
      </c>
      <c r="E2" s="133">
        <f>('[2]WA Res Incremental EE'!SW2+'[2]WA Com Incremental EE'!SL2)*'[5]Energy Efficiency'!$BR$9</f>
        <v>237574.11364311917</v>
      </c>
      <c r="F2" s="133">
        <f>('[2]WA Res Incremental EE'!SX2+'[2]WA Com Incremental EE'!SM2)*'[5]Energy Efficiency'!$BR$9</f>
        <v>237574.11364311917</v>
      </c>
      <c r="G2" s="133">
        <v>0</v>
      </c>
      <c r="H2" s="133">
        <v>0</v>
      </c>
      <c r="I2" s="133">
        <f>('[2]WA Res Incremental EE'!TA2+'[2]WA Com Incremental EE'!SP2)*'[5]Energy Efficiency'!$BR$9</f>
        <v>237574.11364311917</v>
      </c>
      <c r="J2" s="133">
        <f>('[2]WA Res Incremental EE'!TB2+'[2]WA Com Incremental EE'!SQ2)*'[5]Energy Efficiency'!$BR$9</f>
        <v>237574.11364311917</v>
      </c>
      <c r="K2" s="133">
        <f>('[2]WA Res Incremental EE'!TC2+'[2]WA Com Incremental EE'!SR2)*'[5]Energy Efficiency'!$BR$9</f>
        <v>237574.11364311917</v>
      </c>
      <c r="L2" s="133"/>
      <c r="M2" s="133">
        <f>('[2]WA-Res-Existing Cust'!SO36*0.87*'[2]Key Inputs'!$C$74)+('[2]WA-Res-Existing Cust'!SO164*0.67*'[2]Key Inputs'!$C$75)+('[2]WA-Res-Cust Growth'!SQ34*0.87*'[2]Key Inputs'!$C$74)+('[2]WA-Res-Cust Growth'!SQ162*0.87*'[2]Key Inputs'!$C$75)+('[2]WA-Com-Existing Cust'!SO36*0.87*'[2]Key Inputs'!$C$78)+('[2]WA-Com-Cust Growth'!SQ34*0.87*'[2]Key Inputs'!$C$78)</f>
        <v>0</v>
      </c>
      <c r="N2" s="133">
        <f>('[2]WA-Res-Existing Cust'!SP36*0.87*'[2]Key Inputs'!$C$74)+('[2]WA-Res-Existing Cust'!SP164*0.67*'[2]Key Inputs'!$C$75)+('[2]WA-Res-Cust Growth'!SR34*0.87*'[2]Key Inputs'!$C$74)+('[2]WA-Res-Cust Growth'!SR162*0.87*'[2]Key Inputs'!$C$75)+('[2]WA-Com-Existing Cust'!SP36*0.87*'[2]Key Inputs'!$C$78)+('[2]WA-Com-Cust Growth'!SR34*0.87*'[2]Key Inputs'!$C$78)</f>
        <v>0</v>
      </c>
      <c r="O2" s="133">
        <f>('[2]WA-Res-Existing Cust'!SQ36*0.87*'[2]Key Inputs'!$C$74)+('[2]WA-Res-Existing Cust'!SQ164*0.67*'[2]Key Inputs'!$C$75)+('[2]WA-Res-Cust Growth'!SS34*0.87*'[2]Key Inputs'!$C$74)+('[2]WA-Res-Cust Growth'!SS162*0.87*'[2]Key Inputs'!$C$75)+('[2]WA-Com-Existing Cust'!SQ36*0.87*'[2]Key Inputs'!$C$78)+('[2]WA-Com-Cust Growth'!SS34*0.87*'[2]Key Inputs'!$C$78)</f>
        <v>0</v>
      </c>
      <c r="P2" s="133">
        <f>('[2]WA-Res-Existing Cust'!SR36*0.87*'[2]Key Inputs'!$C$74)+('[2]WA-Res-Existing Cust'!SR164*0.67*'[2]Key Inputs'!$C$75)+('[2]WA-Res-Cust Growth'!ST34*0.87*'[2]Key Inputs'!$C$74)+('[2]WA-Res-Cust Growth'!ST162*0.87*'[2]Key Inputs'!$C$75)+('[2]WA-Com-Existing Cust'!SR36*0.87*'[2]Key Inputs'!$C$78)+('[2]WA-Com-Cust Growth'!ST34*0.87*'[2]Key Inputs'!$C$78)</f>
        <v>0</v>
      </c>
      <c r="Q2" s="133">
        <f>('[2]WA-Res-Existing Cust'!SS36*0.87*'[2]Key Inputs'!$C$74)+('[2]WA-Res-Existing Cust'!SS164*0.67*'[2]Key Inputs'!$C$75)+('[2]WA-Res-Cust Growth'!SU34*0.87*'[2]Key Inputs'!$C$74)+('[2]WA-Res-Cust Growth'!SU162*0.87*'[2]Key Inputs'!$C$75)+('[2]WA-Com-Existing Cust'!SS36*0.87*'[2]Key Inputs'!$C$78)+('[2]WA-Com-Cust Growth'!SU34*0.87*'[2]Key Inputs'!$C$78)</f>
        <v>0</v>
      </c>
      <c r="R2" s="133">
        <f>('[2]WA-Res-Existing Cust'!ST36*0.87*'[2]Key Inputs'!$C$74)+('[2]WA-Res-Existing Cust'!ST164*0.67*'[2]Key Inputs'!$C$75)+('[2]WA-Res-Cust Growth'!SV34*0.87*'[2]Key Inputs'!$C$74)+('[2]WA-Res-Cust Growth'!SV162*0.87*'[2]Key Inputs'!$C$75)+('[2]WA-Com-Existing Cust'!ST36*0.87*'[2]Key Inputs'!$C$78)+('[2]WA-Com-Cust Growth'!SV34*0.87*'[2]Key Inputs'!$C$78)</f>
        <v>0</v>
      </c>
      <c r="S2" s="133">
        <f>('[2]WA-Res-Existing Cust'!SU36*0.87*'[2]Key Inputs'!$C$74)+('[2]WA-Res-Existing Cust'!SU164*0.67*'[2]Key Inputs'!$C$75)+('[2]WA-Res-Cust Growth'!SW34*0.87*'[2]Key Inputs'!$C$74)+('[2]WA-Res-Cust Growth'!SW162*0.87*'[2]Key Inputs'!$C$75)+('[2]WA-Com-Existing Cust'!SU36*0.87*'[2]Key Inputs'!$C$78)+('[2]WA-Com-Cust Growth'!SW34*0.87*'[2]Key Inputs'!$C$78)</f>
        <v>0</v>
      </c>
      <c r="T2" s="133">
        <f>('[2]WA-Res-Existing Cust'!SV36*0.87*'[2]Key Inputs'!$C$74)+('[2]WA-Res-Existing Cust'!SV164*0.67*'[2]Key Inputs'!$C$75)+('[2]WA-Res-Cust Growth'!SX34*0.87*'[2]Key Inputs'!$C$74)+('[2]WA-Res-Cust Growth'!SX162*0.87*'[2]Key Inputs'!$C$75)+('[2]WA-Com-Existing Cust'!SV36*0.87*'[2]Key Inputs'!$C$78)+('[2]WA-Com-Cust Growth'!SX34*0.87*'[2]Key Inputs'!$C$78)</f>
        <v>0</v>
      </c>
      <c r="U2" s="133">
        <f>('[2]WA-Res-Existing Cust'!SW36*0.87*'[2]Key Inputs'!$C$74)+('[2]WA-Res-Existing Cust'!SW164*0.67*'[2]Key Inputs'!$C$75)+('[2]WA-Res-Cust Growth'!SY34*0.87*'[2]Key Inputs'!$C$74)+('[2]WA-Res-Cust Growth'!SY162*0.87*'[2]Key Inputs'!$C$75)+('[2]WA-Com-Existing Cust'!SW36*0.87*'[2]Key Inputs'!$C$78)+('[2]WA-Com-Cust Growth'!SY34*0.87*'[2]Key Inputs'!$C$78)</f>
        <v>0</v>
      </c>
      <c r="V2" s="133">
        <f>('[2]WA-Res-Existing Cust'!SX36*0.87*'[2]Key Inputs'!$C$74)+('[2]WA-Res-Existing Cust'!SX164*0.67*'[2]Key Inputs'!$C$75)+('[2]WA-Res-Cust Growth'!SZ34*0.87*'[2]Key Inputs'!$C$74)+('[2]WA-Res-Cust Growth'!SZ162*0.87*'[2]Key Inputs'!$C$75)+('[2]WA-Com-Existing Cust'!SX36*0.87*'[2]Key Inputs'!$C$78)+('[2]WA-Com-Cust Growth'!SZ34*0.87*'[2]Key Inputs'!$C$78)</f>
        <v>0</v>
      </c>
      <c r="X2" s="63">
        <f>(('[2]WA-Res-Existing Cust'!SO100+'[2]WA-Res-Cust Growth'!SQ98)*'[2]Key Inputs'!$C$73)+(('[2]WA-Com-Existing Cust'!SO100+'[2]WA-Com-Cust Growth'!SQ98)*'[2]Key Inputs'!$C$77)</f>
        <v>0</v>
      </c>
      <c r="Y2" s="63">
        <f>(('[2]WA-Res-Existing Cust'!SP100+'[2]WA-Res-Cust Growth'!SR98)*'[2]Key Inputs'!$C$73)+(('[2]WA-Com-Existing Cust'!SP100+'[2]WA-Com-Cust Growth'!SR98)*'[2]Key Inputs'!$C$77)</f>
        <v>0</v>
      </c>
      <c r="Z2" s="63">
        <f>(('[2]WA-Res-Existing Cust'!SQ100+'[2]WA-Res-Cust Growth'!SS98)*'[2]Key Inputs'!$C$73)+(('[2]WA-Com-Existing Cust'!SQ100+'[2]WA-Com-Cust Growth'!SS98)*'[2]Key Inputs'!$C$77)</f>
        <v>0</v>
      </c>
      <c r="AA2" s="63">
        <f>(('[2]WA-Res-Existing Cust'!SR100+'[2]WA-Res-Cust Growth'!ST98)*'[2]Key Inputs'!$C$73)+(('[2]WA-Com-Existing Cust'!SR100+'[2]WA-Com-Cust Growth'!ST98)*'[2]Key Inputs'!$C$77)</f>
        <v>0</v>
      </c>
      <c r="AB2" s="63">
        <f>(('[2]WA-Res-Existing Cust'!SS100+'[2]WA-Res-Cust Growth'!SU98)*'[2]Key Inputs'!$C$73)+(('[2]WA-Com-Existing Cust'!SS100+'[2]WA-Com-Cust Growth'!SU98)*'[2]Key Inputs'!$C$77)</f>
        <v>0</v>
      </c>
      <c r="AC2" s="63">
        <f>(('[2]WA-Res-Existing Cust'!ST100+'[2]WA-Res-Cust Growth'!SV98)*'[2]Key Inputs'!$C$73)+(('[2]WA-Com-Existing Cust'!ST100+'[2]WA-Com-Cust Growth'!SV98)*'[2]Key Inputs'!$C$77)</f>
        <v>0</v>
      </c>
      <c r="AD2" s="63">
        <f>(('[2]WA-Res-Existing Cust'!SU100+'[2]WA-Res-Cust Growth'!SW98)*'[2]Key Inputs'!$C$73)+(('[2]WA-Com-Existing Cust'!SU100+'[2]WA-Com-Cust Growth'!SW98)*'[2]Key Inputs'!$C$77)</f>
        <v>0</v>
      </c>
      <c r="AE2" s="63">
        <f>(('[2]WA-Res-Existing Cust'!SV100+'[2]WA-Res-Cust Growth'!SX98)*'[2]Key Inputs'!$C$73)+(('[2]WA-Com-Existing Cust'!SV100+'[2]WA-Com-Cust Growth'!SX98)*'[2]Key Inputs'!$C$77)</f>
        <v>0</v>
      </c>
      <c r="AF2" s="63">
        <f>(('[2]WA-Res-Existing Cust'!SW100+'[2]WA-Res-Cust Growth'!SY98)*'[2]Key Inputs'!$C$73)+(('[2]WA-Com-Existing Cust'!SW100+'[2]WA-Com-Cust Growth'!SY98)*'[2]Key Inputs'!$C$77)</f>
        <v>0</v>
      </c>
      <c r="AG2" s="63">
        <f>(('[2]WA-Res-Existing Cust'!SX100+'[2]WA-Res-Cust Growth'!SZ98)*'[2]Key Inputs'!$C$73)+(('[2]WA-Com-Existing Cust'!SX100+'[2]WA-Com-Cust Growth'!SZ98)*'[2]Key Inputs'!$C$77)</f>
        <v>0</v>
      </c>
      <c r="AI2" s="152">
        <f>'[6]WA-IndComSales-Annual'!TF4*2.33</f>
        <v>0</v>
      </c>
      <c r="AJ2" s="152">
        <f>'[6]WA-IndComSales-Annual'!TG4*2.33</f>
        <v>0</v>
      </c>
      <c r="AK2" s="152">
        <f>'[6]WA-IndComSales-Annual'!TH4*2.33</f>
        <v>0</v>
      </c>
      <c r="AL2" s="152">
        <f>'[6]WA-IndComSales-Annual'!TI4*2.33</f>
        <v>0</v>
      </c>
      <c r="AM2" s="152">
        <f>'[6]WA-IndComSales-Annual'!TJ4*2.33</f>
        <v>0</v>
      </c>
      <c r="AN2" s="152">
        <f>'[6]WA-IndComSales-Annual'!TK4*2.33</f>
        <v>0</v>
      </c>
      <c r="AO2" s="152">
        <f>'[6]WA-IndComSales-Annual'!TL4*2.33</f>
        <v>0</v>
      </c>
      <c r="AP2" s="152">
        <f>'[6]WA-IndComSales-Annual'!TM4*2.33</f>
        <v>0</v>
      </c>
      <c r="AQ2" s="152">
        <f>'[6]WA-IndComSales-Annual'!TN4*2.33</f>
        <v>0</v>
      </c>
      <c r="AR2" s="152">
        <f>'[6]WA-IndComSales-Annual'!TO4*2.33</f>
        <v>0</v>
      </c>
      <c r="AT2">
        <v>0</v>
      </c>
      <c r="AU2" s="152">
        <f>'[6]WA-Transport-Annual'!TE4*1.79</f>
        <v>0</v>
      </c>
      <c r="AV2" s="152">
        <f>'[6]WA-Transport-Annual'!TF4*1.79</f>
        <v>0</v>
      </c>
      <c r="AW2" s="152">
        <f>'[6]WA-Transport-Annual'!TG4*1.79</f>
        <v>0</v>
      </c>
      <c r="AX2" s="152">
        <f>'[6]WA-Transport-Annual'!TH4*1.79</f>
        <v>0</v>
      </c>
      <c r="AY2" s="152">
        <f>'[6]WA-Transport-Annual'!TI4*1.79</f>
        <v>0</v>
      </c>
      <c r="AZ2" s="152">
        <f>'[6]WA-Transport-Annual'!TJ4*1.79</f>
        <v>0</v>
      </c>
      <c r="BA2" s="152">
        <f>'[6]WA-Transport-Annual'!TK4*1.79</f>
        <v>0</v>
      </c>
      <c r="BB2" s="152">
        <f>'[6]WA-Transport-Annual'!TL4*1.79</f>
        <v>0</v>
      </c>
      <c r="BC2" s="152">
        <f>'[6]WA-Transport-Annual'!TM4*1.79</f>
        <v>0</v>
      </c>
      <c r="BE2" s="133">
        <f>B2+M2+X2+AI2+AT2</f>
        <v>237574.11364311917</v>
      </c>
      <c r="BF2" s="133">
        <f t="shared" ref="BF2:BN17" si="0">C2+N2+Y2+AJ2+AU2</f>
        <v>237574.11364311917</v>
      </c>
      <c r="BG2" s="133">
        <f t="shared" si="0"/>
        <v>563700.80683261086</v>
      </c>
      <c r="BH2" s="133">
        <f t="shared" si="0"/>
        <v>237574.11364311917</v>
      </c>
      <c r="BI2" s="133">
        <f t="shared" si="0"/>
        <v>237574.11364311917</v>
      </c>
      <c r="BJ2" s="133">
        <f t="shared" si="0"/>
        <v>0</v>
      </c>
      <c r="BK2" s="133">
        <f t="shared" si="0"/>
        <v>0</v>
      </c>
      <c r="BL2" s="133">
        <f t="shared" si="0"/>
        <v>237574.11364311917</v>
      </c>
      <c r="BM2" s="133">
        <f t="shared" si="0"/>
        <v>237574.11364311917</v>
      </c>
      <c r="BN2" s="133">
        <f t="shared" si="0"/>
        <v>237574.11364311917</v>
      </c>
      <c r="BP2" s="154">
        <f>BE2/[4]Annual!HZ2</f>
        <v>2.2988651635642076E-2</v>
      </c>
      <c r="BQ2" s="154">
        <f>BF2/[4]Annual!IA2</f>
        <v>2.3035781040629616E-2</v>
      </c>
      <c r="BR2" s="154">
        <f>BG2/[4]Annual!IB2</f>
        <v>5.4672412787128893E-2</v>
      </c>
      <c r="BS2" s="154">
        <f>BH2/[4]Annual!IC2</f>
        <v>2.3035781040629616E-2</v>
      </c>
      <c r="BT2" s="154">
        <f>BI2/[4]Annual!ID2</f>
        <v>2.3035781040629616E-2</v>
      </c>
      <c r="BU2" s="154">
        <f>BJ2/[4]Annual!IE2</f>
        <v>0</v>
      </c>
      <c r="BV2" s="154">
        <f>BK2/[4]Annual!IF2</f>
        <v>0</v>
      </c>
      <c r="BW2" s="154">
        <f>BL2/[4]Annual!IG2</f>
        <v>2.3035781040629616E-2</v>
      </c>
      <c r="BX2" s="154">
        <f>BM2/[4]Annual!IH2</f>
        <v>2.3035781040629616E-2</v>
      </c>
      <c r="BY2" s="154">
        <f>BN2/[4]Annual!II2</f>
        <v>2.3035781040629616E-2</v>
      </c>
    </row>
    <row r="3" spans="1:77" x14ac:dyDescent="0.25">
      <c r="A3">
        <v>2023</v>
      </c>
      <c r="B3" s="133">
        <f>('[2]WA Res Incremental EE'!ST3+'[2]WA Com Incremental EE'!SI3)*'[5]Energy Efficiency'!$BR$9</f>
        <v>125269.77524909649</v>
      </c>
      <c r="C3" s="133">
        <f>('[2]WA Res Incremental EE'!SU3+'[2]WA Com Incremental EE'!SJ3)*'[5]Energy Efficiency'!$BR$9</f>
        <v>125269.77524909649</v>
      </c>
      <c r="D3" s="133">
        <f>('[2]WA Res Incremental EE'!SV3+'[2]WA Com Incremental EE'!SK3)*'[5]Energy Efficiency'!$BR$9</f>
        <v>697158.32242933509</v>
      </c>
      <c r="E3" s="133">
        <f>('[2]WA Res Incremental EE'!SW3+'[2]WA Com Incremental EE'!SL3)*'[5]Energy Efficiency'!$BR$9</f>
        <v>125269.77524909649</v>
      </c>
      <c r="F3" s="133">
        <f>('[2]WA Res Incremental EE'!SX3+'[2]WA Com Incremental EE'!SM3)*'[5]Energy Efficiency'!$BR$9</f>
        <v>125269.77524909649</v>
      </c>
      <c r="G3" s="133">
        <v>0</v>
      </c>
      <c r="H3" s="133">
        <v>0</v>
      </c>
      <c r="I3" s="133">
        <f>('[2]WA Res Incremental EE'!TA3+'[2]WA Com Incremental EE'!SP3)*'[5]Energy Efficiency'!$BR$9</f>
        <v>125269.77524909649</v>
      </c>
      <c r="J3" s="133">
        <f>('[2]WA Res Incremental EE'!TB3+'[2]WA Com Incremental EE'!SQ3)*'[5]Energy Efficiency'!$BR$9</f>
        <v>125269.77524909649</v>
      </c>
      <c r="K3" s="133">
        <f>('[2]WA Res Incremental EE'!TC3+'[2]WA Com Incremental EE'!SR3)*'[5]Energy Efficiency'!$BR$9</f>
        <v>125269.77524909649</v>
      </c>
      <c r="L3" s="133"/>
      <c r="M3" s="133">
        <f>('[2]WA-Res-Existing Cust'!SO37*0.87*'[2]Key Inputs'!$C$74)+('[2]WA-Res-Existing Cust'!SO165*0.67*'[2]Key Inputs'!$C$75)+('[2]WA-Res-Cust Growth'!SQ35*0.87*'[2]Key Inputs'!$C$74)+('[2]WA-Res-Cust Growth'!SQ163*0.87*'[2]Key Inputs'!$C$75)+('[2]WA-Com-Existing Cust'!SO37*0.87*'[2]Key Inputs'!$C$78)+('[2]WA-Com-Cust Growth'!SQ35*0.87*'[2]Key Inputs'!$C$78)</f>
        <v>0</v>
      </c>
      <c r="N3" s="133">
        <f>('[2]WA-Res-Existing Cust'!SP37*0.87*'[2]Key Inputs'!$C$74)+('[2]WA-Res-Existing Cust'!SP165*0.67*'[2]Key Inputs'!$C$75)+('[2]WA-Res-Cust Growth'!SR35*0.87*'[2]Key Inputs'!$C$74)+('[2]WA-Res-Cust Growth'!SR163*0.87*'[2]Key Inputs'!$C$75)+('[2]WA-Com-Existing Cust'!SP37*0.87*'[2]Key Inputs'!$C$78)+('[2]WA-Com-Cust Growth'!SR35*0.87*'[2]Key Inputs'!$C$78)</f>
        <v>0</v>
      </c>
      <c r="O3" s="133">
        <f>('[2]WA-Res-Existing Cust'!SQ37*0.87*'[2]Key Inputs'!$C$74)+('[2]WA-Res-Existing Cust'!SQ165*0.67*'[2]Key Inputs'!$C$75)+('[2]WA-Res-Cust Growth'!SS35*0.87*'[2]Key Inputs'!$C$74)+('[2]WA-Res-Cust Growth'!SS163*0.87*'[2]Key Inputs'!$C$75)+('[2]WA-Com-Existing Cust'!SQ37*0.87*'[2]Key Inputs'!$C$78)+('[2]WA-Com-Cust Growth'!SS35*0.87*'[2]Key Inputs'!$C$78)</f>
        <v>0</v>
      </c>
      <c r="P3" s="133">
        <f>('[2]WA-Res-Existing Cust'!SR37*0.87*'[2]Key Inputs'!$C$74)+('[2]WA-Res-Existing Cust'!SR165*0.67*'[2]Key Inputs'!$C$75)+('[2]WA-Res-Cust Growth'!ST35*0.87*'[2]Key Inputs'!$C$74)+('[2]WA-Res-Cust Growth'!ST163*0.87*'[2]Key Inputs'!$C$75)+('[2]WA-Com-Existing Cust'!SR37*0.87*'[2]Key Inputs'!$C$78)+('[2]WA-Com-Cust Growth'!ST35*0.87*'[2]Key Inputs'!$C$78)</f>
        <v>299963.53832508164</v>
      </c>
      <c r="Q3" s="133">
        <f>('[2]WA-Res-Existing Cust'!SS37*0.87*'[2]Key Inputs'!$C$74)+('[2]WA-Res-Existing Cust'!SS165*0.67*'[2]Key Inputs'!$C$75)+('[2]WA-Res-Cust Growth'!SU35*0.87*'[2]Key Inputs'!$C$74)+('[2]WA-Res-Cust Growth'!SU163*0.87*'[2]Key Inputs'!$C$75)+('[2]WA-Com-Existing Cust'!SS37*0.87*'[2]Key Inputs'!$C$78)+('[2]WA-Com-Cust Growth'!SU35*0.87*'[2]Key Inputs'!$C$78)</f>
        <v>0</v>
      </c>
      <c r="R3" s="133">
        <f>('[2]WA-Res-Existing Cust'!ST37*0.87*'[2]Key Inputs'!$C$74)+('[2]WA-Res-Existing Cust'!ST165*0.67*'[2]Key Inputs'!$C$75)+('[2]WA-Res-Cust Growth'!SV35*0.87*'[2]Key Inputs'!$C$74)+('[2]WA-Res-Cust Growth'!SV163*0.87*'[2]Key Inputs'!$C$75)+('[2]WA-Com-Existing Cust'!ST37*0.87*'[2]Key Inputs'!$C$78)+('[2]WA-Com-Cust Growth'!SV35*0.87*'[2]Key Inputs'!$C$78)</f>
        <v>0</v>
      </c>
      <c r="S3" s="133">
        <f>('[2]WA-Res-Existing Cust'!SU37*0.87*'[2]Key Inputs'!$C$74)+('[2]WA-Res-Existing Cust'!SU165*0.67*'[2]Key Inputs'!$C$75)+('[2]WA-Res-Cust Growth'!SW35*0.87*'[2]Key Inputs'!$C$74)+('[2]WA-Res-Cust Growth'!SW163*0.87*'[2]Key Inputs'!$C$75)+('[2]WA-Com-Existing Cust'!SU37*0.87*'[2]Key Inputs'!$C$78)+('[2]WA-Com-Cust Growth'!SW35*0.87*'[2]Key Inputs'!$C$78)</f>
        <v>0</v>
      </c>
      <c r="T3" s="133">
        <f>('[2]WA-Res-Existing Cust'!SV37*0.87*'[2]Key Inputs'!$C$74)+('[2]WA-Res-Existing Cust'!SV165*0.67*'[2]Key Inputs'!$C$75)+('[2]WA-Res-Cust Growth'!SX35*0.87*'[2]Key Inputs'!$C$74)+('[2]WA-Res-Cust Growth'!SX163*0.87*'[2]Key Inputs'!$C$75)+('[2]WA-Com-Existing Cust'!SV37*0.87*'[2]Key Inputs'!$C$78)+('[2]WA-Com-Cust Growth'!SX35*0.87*'[2]Key Inputs'!$C$78)</f>
        <v>0</v>
      </c>
      <c r="U3" s="133">
        <f>('[2]WA-Res-Existing Cust'!SW37*0.87*'[2]Key Inputs'!$C$74)+('[2]WA-Res-Existing Cust'!SW165*0.67*'[2]Key Inputs'!$C$75)+('[2]WA-Res-Cust Growth'!SY35*0.87*'[2]Key Inputs'!$C$74)+('[2]WA-Res-Cust Growth'!SY163*0.87*'[2]Key Inputs'!$C$75)+('[2]WA-Com-Existing Cust'!SW37*0.87*'[2]Key Inputs'!$C$78)+('[2]WA-Com-Cust Growth'!SY35*0.87*'[2]Key Inputs'!$C$78)</f>
        <v>0</v>
      </c>
      <c r="V3" s="133">
        <f>('[2]WA-Res-Existing Cust'!SX37*0.87*'[2]Key Inputs'!$C$74)+('[2]WA-Res-Existing Cust'!SX165*0.67*'[2]Key Inputs'!$C$75)+('[2]WA-Res-Cust Growth'!SZ35*0.87*'[2]Key Inputs'!$C$74)+('[2]WA-Res-Cust Growth'!SZ163*0.87*'[2]Key Inputs'!$C$75)+('[2]WA-Com-Existing Cust'!SX37*0.87*'[2]Key Inputs'!$C$78)+('[2]WA-Com-Cust Growth'!SZ35*0.87*'[2]Key Inputs'!$C$78)</f>
        <v>0</v>
      </c>
      <c r="X3" s="63">
        <f>(('[2]WA-Res-Existing Cust'!SO101+'[2]WA-Res-Cust Growth'!SQ99)*'[2]Key Inputs'!$C$73)+(('[2]WA-Com-Existing Cust'!SO101+'[2]WA-Com-Cust Growth'!SQ99)*'[2]Key Inputs'!$C$77)</f>
        <v>0</v>
      </c>
      <c r="Y3" s="63">
        <f>(('[2]WA-Res-Existing Cust'!SP101+'[2]WA-Res-Cust Growth'!SR99)*'[2]Key Inputs'!$C$73)+(('[2]WA-Com-Existing Cust'!SP101+'[2]WA-Com-Cust Growth'!SR99)*'[2]Key Inputs'!$C$77)</f>
        <v>0</v>
      </c>
      <c r="Z3" s="63">
        <f>(('[2]WA-Res-Existing Cust'!SQ101+'[2]WA-Res-Cust Growth'!SS99)*'[2]Key Inputs'!$C$73)+(('[2]WA-Com-Existing Cust'!SQ101+'[2]WA-Com-Cust Growth'!SS99)*'[2]Key Inputs'!$C$77)</f>
        <v>0</v>
      </c>
      <c r="AA3" s="63">
        <f>(('[2]WA-Res-Existing Cust'!SR101+'[2]WA-Res-Cust Growth'!ST99)*'[2]Key Inputs'!$C$73)+(('[2]WA-Com-Existing Cust'!SR101+'[2]WA-Com-Cust Growth'!ST99)*'[2]Key Inputs'!$C$77)</f>
        <v>242008.59976099466</v>
      </c>
      <c r="AB3" s="63">
        <f>(('[2]WA-Res-Existing Cust'!SS101+'[2]WA-Res-Cust Growth'!SU99)*'[2]Key Inputs'!$C$73)+(('[2]WA-Com-Existing Cust'!SS101+'[2]WA-Com-Cust Growth'!SU99)*'[2]Key Inputs'!$C$77)</f>
        <v>0</v>
      </c>
      <c r="AC3" s="63">
        <f>(('[2]WA-Res-Existing Cust'!ST101+'[2]WA-Res-Cust Growth'!SV99)*'[2]Key Inputs'!$C$73)+(('[2]WA-Com-Existing Cust'!ST101+'[2]WA-Com-Cust Growth'!SV99)*'[2]Key Inputs'!$C$77)</f>
        <v>0</v>
      </c>
      <c r="AD3" s="63">
        <f>(('[2]WA-Res-Existing Cust'!SU101+'[2]WA-Res-Cust Growth'!SW99)*'[2]Key Inputs'!$C$73)+(('[2]WA-Com-Existing Cust'!SU101+'[2]WA-Com-Cust Growth'!SW99)*'[2]Key Inputs'!$C$77)</f>
        <v>0</v>
      </c>
      <c r="AE3" s="63">
        <f>(('[2]WA-Res-Existing Cust'!SV101+'[2]WA-Res-Cust Growth'!SX99)*'[2]Key Inputs'!$C$73)+(('[2]WA-Com-Existing Cust'!SV101+'[2]WA-Com-Cust Growth'!SX99)*'[2]Key Inputs'!$C$77)</f>
        <v>0</v>
      </c>
      <c r="AF3" s="63">
        <f>(('[2]WA-Res-Existing Cust'!SW101+'[2]WA-Res-Cust Growth'!SY99)*'[2]Key Inputs'!$C$73)+(('[2]WA-Com-Existing Cust'!SW101+'[2]WA-Com-Cust Growth'!SY99)*'[2]Key Inputs'!$C$77)</f>
        <v>0</v>
      </c>
      <c r="AG3" s="63">
        <f>(('[2]WA-Res-Existing Cust'!SX101+'[2]WA-Res-Cust Growth'!SZ99)*'[2]Key Inputs'!$C$73)+(('[2]WA-Com-Existing Cust'!SX101+'[2]WA-Com-Cust Growth'!SZ99)*'[2]Key Inputs'!$C$77)</f>
        <v>0</v>
      </c>
      <c r="AI3" s="152">
        <f>'[6]WA-IndComSales-Annual'!TF5*2.33</f>
        <v>0</v>
      </c>
      <c r="AJ3" s="152">
        <f>'[6]WA-IndComSales-Annual'!TG5*2.33</f>
        <v>0</v>
      </c>
      <c r="AK3" s="152">
        <f>'[6]WA-IndComSales-Annual'!TH5*2.33</f>
        <v>38203.453161570615</v>
      </c>
      <c r="AL3" s="152">
        <f>'[6]WA-IndComSales-Annual'!TI5*2.33</f>
        <v>0</v>
      </c>
      <c r="AM3" s="152">
        <f>'[6]WA-IndComSales-Annual'!TJ5*2.33</f>
        <v>0</v>
      </c>
      <c r="AN3" s="152">
        <f>'[6]WA-IndComSales-Annual'!TK5*2.33</f>
        <v>0</v>
      </c>
      <c r="AO3" s="152">
        <f>'[6]WA-IndComSales-Annual'!TL5*2.33</f>
        <v>0</v>
      </c>
      <c r="AP3" s="152">
        <f>'[6]WA-IndComSales-Annual'!TM5*2.33</f>
        <v>0</v>
      </c>
      <c r="AQ3" s="152">
        <f>'[6]WA-IndComSales-Annual'!TN5*2.33</f>
        <v>0</v>
      </c>
      <c r="AR3" s="152">
        <f>'[6]WA-IndComSales-Annual'!TO5*2.33</f>
        <v>0</v>
      </c>
      <c r="AT3">
        <v>0</v>
      </c>
      <c r="AU3" s="152">
        <f>'[6]WA-Transport-Annual'!TE5*1.79</f>
        <v>0</v>
      </c>
      <c r="AV3" s="152">
        <f>'[6]WA-Transport-Annual'!TF5*1.79</f>
        <v>0</v>
      </c>
      <c r="AW3" s="152">
        <f>'[6]WA-Transport-Annual'!TG5*1.79</f>
        <v>0</v>
      </c>
      <c r="AX3" s="152">
        <f>'[6]WA-Transport-Annual'!TH5*1.79</f>
        <v>0</v>
      </c>
      <c r="AY3" s="152">
        <f>'[6]WA-Transport-Annual'!TI5*1.79</f>
        <v>0</v>
      </c>
      <c r="AZ3" s="152">
        <f>'[6]WA-Transport-Annual'!TJ5*1.79</f>
        <v>0</v>
      </c>
      <c r="BA3" s="152">
        <f>'[6]WA-Transport-Annual'!TK5*1.79</f>
        <v>0</v>
      </c>
      <c r="BB3" s="152">
        <f>'[6]WA-Transport-Annual'!TL5*1.79</f>
        <v>0</v>
      </c>
      <c r="BC3" s="152">
        <f>'[6]WA-Transport-Annual'!TM5*1.79</f>
        <v>0</v>
      </c>
      <c r="BE3" s="133">
        <f t="shared" ref="BE3:BN30" si="1">B3+M3+X3+AI3+AT3</f>
        <v>125269.77524909649</v>
      </c>
      <c r="BF3" s="133">
        <f t="shared" si="0"/>
        <v>125269.77524909649</v>
      </c>
      <c r="BG3" s="133">
        <f t="shared" si="0"/>
        <v>735361.77559090569</v>
      </c>
      <c r="BH3" s="133">
        <f t="shared" si="0"/>
        <v>667241.91333517281</v>
      </c>
      <c r="BI3" s="133">
        <f t="shared" si="0"/>
        <v>125269.77524909649</v>
      </c>
      <c r="BJ3" s="133">
        <f t="shared" si="0"/>
        <v>0</v>
      </c>
      <c r="BK3" s="133">
        <f t="shared" si="0"/>
        <v>0</v>
      </c>
      <c r="BL3" s="133">
        <f t="shared" si="0"/>
        <v>125269.77524909649</v>
      </c>
      <c r="BM3" s="133">
        <f t="shared" si="0"/>
        <v>125269.77524909649</v>
      </c>
      <c r="BN3" s="133">
        <f t="shared" si="0"/>
        <v>125269.77524909649</v>
      </c>
      <c r="BP3" s="154">
        <f>BE3/[4]Annual!HZ3</f>
        <v>1.2006841608864642E-2</v>
      </c>
      <c r="BQ3" s="154">
        <f>BF3/[4]Annual!IA3</f>
        <v>1.2091094424372263E-2</v>
      </c>
      <c r="BR3" s="154">
        <f>BG3/[4]Annual!IB3</f>
        <v>7.1123494121977646E-2</v>
      </c>
      <c r="BS3" s="154">
        <f>BH3/[4]Annual!IC3</f>
        <v>6.4470901481634577E-2</v>
      </c>
      <c r="BT3" s="154">
        <f>BI3/[4]Annual!ID3</f>
        <v>1.2091094424372263E-2</v>
      </c>
      <c r="BU3" s="154">
        <f>BJ3/[4]Annual!IE3</f>
        <v>0</v>
      </c>
      <c r="BV3" s="154">
        <f>BK3/[4]Annual!IF3</f>
        <v>0</v>
      </c>
      <c r="BW3" s="154">
        <f>BL3/[4]Annual!IG3</f>
        <v>1.2091094424372263E-2</v>
      </c>
      <c r="BX3" s="154">
        <f>BM3/[4]Annual!IH3</f>
        <v>1.2091094424372263E-2</v>
      </c>
      <c r="BY3" s="154">
        <f>BN3/[4]Annual!II3</f>
        <v>1.2091094424372263E-2</v>
      </c>
    </row>
    <row r="4" spans="1:77" x14ac:dyDescent="0.25">
      <c r="A4">
        <v>2024</v>
      </c>
      <c r="B4" s="133">
        <f>('[2]WA Res Incremental EE'!ST4+'[2]WA Com Incremental EE'!SI4)*'[5]Energy Efficiency'!$BR$9</f>
        <v>175682.87902597553</v>
      </c>
      <c r="C4" s="133">
        <f>('[2]WA Res Incremental EE'!SU4+'[2]WA Com Incremental EE'!SJ4)*'[5]Energy Efficiency'!$BR$9</f>
        <v>175682.87902597553</v>
      </c>
      <c r="D4" s="133">
        <f>('[2]WA Res Incremental EE'!SV4+'[2]WA Com Incremental EE'!SK4)*'[5]Energy Efficiency'!$BR$9</f>
        <v>1029430.1569780794</v>
      </c>
      <c r="E4" s="133">
        <f>('[2]WA Res Incremental EE'!SW4+'[2]WA Com Incremental EE'!SL4)*'[5]Energy Efficiency'!$BR$9</f>
        <v>175682.87902597553</v>
      </c>
      <c r="F4" s="133">
        <f>('[2]WA Res Incremental EE'!SX4+'[2]WA Com Incremental EE'!SM4)*'[5]Energy Efficiency'!$BR$9</f>
        <v>175682.87902597553</v>
      </c>
      <c r="G4" s="133">
        <v>0</v>
      </c>
      <c r="H4" s="133">
        <v>0</v>
      </c>
      <c r="I4" s="133">
        <f>('[2]WA Res Incremental EE'!TA4+'[2]WA Com Incremental EE'!SP4)*'[5]Energy Efficiency'!$BR$9</f>
        <v>175682.87902597553</v>
      </c>
      <c r="J4" s="133">
        <f>('[2]WA Res Incremental EE'!TB4+'[2]WA Com Incremental EE'!SQ4)*'[5]Energy Efficiency'!$BR$9</f>
        <v>175682.87902597553</v>
      </c>
      <c r="K4" s="133">
        <f>('[2]WA Res Incremental EE'!TC4+'[2]WA Com Incremental EE'!SR4)*'[5]Energy Efficiency'!$BR$9</f>
        <v>175682.87902597553</v>
      </c>
      <c r="L4" s="133"/>
      <c r="M4" s="133">
        <f>('[2]WA-Res-Existing Cust'!SO38*0.87*'[2]Key Inputs'!$C$74)+('[2]WA-Res-Existing Cust'!SO166*0.67*'[2]Key Inputs'!$C$75)+('[2]WA-Res-Cust Growth'!SQ36*0.87*'[2]Key Inputs'!$C$74)+('[2]WA-Res-Cust Growth'!SQ164*0.87*'[2]Key Inputs'!$C$75)+('[2]WA-Com-Existing Cust'!SO38*0.87*'[2]Key Inputs'!$C$78)+('[2]WA-Com-Cust Growth'!SQ36*0.87*'[2]Key Inputs'!$C$78)</f>
        <v>0</v>
      </c>
      <c r="N4" s="133">
        <f>('[2]WA-Res-Existing Cust'!SP38*0.87*'[2]Key Inputs'!$C$74)+('[2]WA-Res-Existing Cust'!SP166*0.67*'[2]Key Inputs'!$C$75)+('[2]WA-Res-Cust Growth'!SR36*0.87*'[2]Key Inputs'!$C$74)+('[2]WA-Res-Cust Growth'!SR164*0.87*'[2]Key Inputs'!$C$75)+('[2]WA-Com-Existing Cust'!SP38*0.87*'[2]Key Inputs'!$C$78)+('[2]WA-Com-Cust Growth'!SR36*0.87*'[2]Key Inputs'!$C$78)</f>
        <v>0</v>
      </c>
      <c r="O4" s="133">
        <f>('[2]WA-Res-Existing Cust'!SQ38*0.87*'[2]Key Inputs'!$C$74)+('[2]WA-Res-Existing Cust'!SQ166*0.67*'[2]Key Inputs'!$C$75)+('[2]WA-Res-Cust Growth'!SS36*0.87*'[2]Key Inputs'!$C$74)+('[2]WA-Res-Cust Growth'!SS164*0.87*'[2]Key Inputs'!$C$75)+('[2]WA-Com-Existing Cust'!SQ38*0.87*'[2]Key Inputs'!$C$78)+('[2]WA-Com-Cust Growth'!SS36*0.87*'[2]Key Inputs'!$C$78)</f>
        <v>0</v>
      </c>
      <c r="P4" s="133">
        <f>('[2]WA-Res-Existing Cust'!SR38*0.87*'[2]Key Inputs'!$C$74)+('[2]WA-Res-Existing Cust'!SR166*0.67*'[2]Key Inputs'!$C$75)+('[2]WA-Res-Cust Growth'!ST36*0.87*'[2]Key Inputs'!$C$74)+('[2]WA-Res-Cust Growth'!ST164*0.87*'[2]Key Inputs'!$C$75)+('[2]WA-Com-Existing Cust'!SR38*0.87*'[2]Key Inputs'!$C$78)+('[2]WA-Com-Cust Growth'!ST36*0.87*'[2]Key Inputs'!$C$78)</f>
        <v>741041.76315144903</v>
      </c>
      <c r="Q4" s="133">
        <f>('[2]WA-Res-Existing Cust'!SS38*0.87*'[2]Key Inputs'!$C$74)+('[2]WA-Res-Existing Cust'!SS166*0.67*'[2]Key Inputs'!$C$75)+('[2]WA-Res-Cust Growth'!SU36*0.87*'[2]Key Inputs'!$C$74)+('[2]WA-Res-Cust Growth'!SU164*0.87*'[2]Key Inputs'!$C$75)+('[2]WA-Com-Existing Cust'!SS38*0.87*'[2]Key Inputs'!$C$78)+('[2]WA-Com-Cust Growth'!SU36*0.87*'[2]Key Inputs'!$C$78)</f>
        <v>0</v>
      </c>
      <c r="R4" s="133">
        <f>('[2]WA-Res-Existing Cust'!ST38*0.87*'[2]Key Inputs'!$C$74)+('[2]WA-Res-Existing Cust'!ST166*0.67*'[2]Key Inputs'!$C$75)+('[2]WA-Res-Cust Growth'!SV36*0.87*'[2]Key Inputs'!$C$74)+('[2]WA-Res-Cust Growth'!SV164*0.87*'[2]Key Inputs'!$C$75)+('[2]WA-Com-Existing Cust'!ST38*0.87*'[2]Key Inputs'!$C$78)+('[2]WA-Com-Cust Growth'!SV36*0.87*'[2]Key Inputs'!$C$78)</f>
        <v>0</v>
      </c>
      <c r="S4" s="133">
        <f>('[2]WA-Res-Existing Cust'!SU38*0.87*'[2]Key Inputs'!$C$74)+('[2]WA-Res-Existing Cust'!SU166*0.67*'[2]Key Inputs'!$C$75)+('[2]WA-Res-Cust Growth'!SW36*0.87*'[2]Key Inputs'!$C$74)+('[2]WA-Res-Cust Growth'!SW164*0.87*'[2]Key Inputs'!$C$75)+('[2]WA-Com-Existing Cust'!SU38*0.87*'[2]Key Inputs'!$C$78)+('[2]WA-Com-Cust Growth'!SW36*0.87*'[2]Key Inputs'!$C$78)</f>
        <v>0</v>
      </c>
      <c r="T4" s="133">
        <f>('[2]WA-Res-Existing Cust'!SV38*0.87*'[2]Key Inputs'!$C$74)+('[2]WA-Res-Existing Cust'!SV166*0.67*'[2]Key Inputs'!$C$75)+('[2]WA-Res-Cust Growth'!SX36*0.87*'[2]Key Inputs'!$C$74)+('[2]WA-Res-Cust Growth'!SX164*0.87*'[2]Key Inputs'!$C$75)+('[2]WA-Com-Existing Cust'!SV38*0.87*'[2]Key Inputs'!$C$78)+('[2]WA-Com-Cust Growth'!SX36*0.87*'[2]Key Inputs'!$C$78)</f>
        <v>0</v>
      </c>
      <c r="U4" s="133">
        <f>('[2]WA-Res-Existing Cust'!SW38*0.87*'[2]Key Inputs'!$C$74)+('[2]WA-Res-Existing Cust'!SW166*0.67*'[2]Key Inputs'!$C$75)+('[2]WA-Res-Cust Growth'!SY36*0.87*'[2]Key Inputs'!$C$74)+('[2]WA-Res-Cust Growth'!SY164*0.87*'[2]Key Inputs'!$C$75)+('[2]WA-Com-Existing Cust'!SW38*0.87*'[2]Key Inputs'!$C$78)+('[2]WA-Com-Cust Growth'!SY36*0.87*'[2]Key Inputs'!$C$78)</f>
        <v>0</v>
      </c>
      <c r="V4" s="133">
        <f>('[2]WA-Res-Existing Cust'!SX38*0.87*'[2]Key Inputs'!$C$74)+('[2]WA-Res-Existing Cust'!SX166*0.67*'[2]Key Inputs'!$C$75)+('[2]WA-Res-Cust Growth'!SZ36*0.87*'[2]Key Inputs'!$C$74)+('[2]WA-Res-Cust Growth'!SZ164*0.87*'[2]Key Inputs'!$C$75)+('[2]WA-Com-Existing Cust'!SX38*0.87*'[2]Key Inputs'!$C$78)+('[2]WA-Com-Cust Growth'!SZ36*0.87*'[2]Key Inputs'!$C$78)</f>
        <v>0</v>
      </c>
      <c r="X4" s="63">
        <f>(('[2]WA-Res-Existing Cust'!SO102+'[2]WA-Res-Cust Growth'!SQ100)*'[2]Key Inputs'!$C$73)+(('[2]WA-Com-Existing Cust'!SO102+'[2]WA-Com-Cust Growth'!SQ100)*'[2]Key Inputs'!$C$77)</f>
        <v>0</v>
      </c>
      <c r="Y4" s="63">
        <f>(('[2]WA-Res-Existing Cust'!SP102+'[2]WA-Res-Cust Growth'!SR100)*'[2]Key Inputs'!$C$73)+(('[2]WA-Com-Existing Cust'!SP102+'[2]WA-Com-Cust Growth'!SR100)*'[2]Key Inputs'!$C$77)</f>
        <v>0</v>
      </c>
      <c r="Z4" s="63">
        <f>(('[2]WA-Res-Existing Cust'!SQ102+'[2]WA-Res-Cust Growth'!SS100)*'[2]Key Inputs'!$C$73)+(('[2]WA-Com-Existing Cust'!SQ102+'[2]WA-Com-Cust Growth'!SS100)*'[2]Key Inputs'!$C$77)</f>
        <v>0</v>
      </c>
      <c r="AA4" s="63">
        <f>(('[2]WA-Res-Existing Cust'!SR102+'[2]WA-Res-Cust Growth'!ST100)*'[2]Key Inputs'!$C$73)+(('[2]WA-Com-Existing Cust'!SR102+'[2]WA-Com-Cust Growth'!ST100)*'[2]Key Inputs'!$C$77)</f>
        <v>483548.5746637336</v>
      </c>
      <c r="AB4" s="63">
        <f>(('[2]WA-Res-Existing Cust'!SS102+'[2]WA-Res-Cust Growth'!SU100)*'[2]Key Inputs'!$C$73)+(('[2]WA-Com-Existing Cust'!SS102+'[2]WA-Com-Cust Growth'!SU100)*'[2]Key Inputs'!$C$77)</f>
        <v>0</v>
      </c>
      <c r="AC4" s="63">
        <f>(('[2]WA-Res-Existing Cust'!ST102+'[2]WA-Res-Cust Growth'!SV100)*'[2]Key Inputs'!$C$73)+(('[2]WA-Com-Existing Cust'!ST102+'[2]WA-Com-Cust Growth'!SV100)*'[2]Key Inputs'!$C$77)</f>
        <v>0</v>
      </c>
      <c r="AD4" s="63">
        <f>(('[2]WA-Res-Existing Cust'!SU102+'[2]WA-Res-Cust Growth'!SW100)*'[2]Key Inputs'!$C$73)+(('[2]WA-Com-Existing Cust'!SU102+'[2]WA-Com-Cust Growth'!SW100)*'[2]Key Inputs'!$C$77)</f>
        <v>0</v>
      </c>
      <c r="AE4" s="63">
        <f>(('[2]WA-Res-Existing Cust'!SV102+'[2]WA-Res-Cust Growth'!SX100)*'[2]Key Inputs'!$C$73)+(('[2]WA-Com-Existing Cust'!SV102+'[2]WA-Com-Cust Growth'!SX100)*'[2]Key Inputs'!$C$77)</f>
        <v>0</v>
      </c>
      <c r="AF4" s="63">
        <f>(('[2]WA-Res-Existing Cust'!SW102+'[2]WA-Res-Cust Growth'!SY100)*'[2]Key Inputs'!$C$73)+(('[2]WA-Com-Existing Cust'!SW102+'[2]WA-Com-Cust Growth'!SY100)*'[2]Key Inputs'!$C$77)</f>
        <v>0</v>
      </c>
      <c r="AG4" s="63">
        <f>(('[2]WA-Res-Existing Cust'!SX102+'[2]WA-Res-Cust Growth'!SZ100)*'[2]Key Inputs'!$C$73)+(('[2]WA-Com-Existing Cust'!SX102+'[2]WA-Com-Cust Growth'!SZ100)*'[2]Key Inputs'!$C$77)</f>
        <v>0</v>
      </c>
      <c r="AI4" s="152">
        <f>'[6]WA-IndComSales-Annual'!TF6*2.33</f>
        <v>0</v>
      </c>
      <c r="AJ4" s="152">
        <f>'[6]WA-IndComSales-Annual'!TG6*2.33</f>
        <v>0</v>
      </c>
      <c r="AK4" s="152">
        <f>'[6]WA-IndComSales-Annual'!TH6*2.33</f>
        <v>38497.582128211332</v>
      </c>
      <c r="AL4" s="152">
        <f>'[6]WA-IndComSales-Annual'!TI6*2.33</f>
        <v>0</v>
      </c>
      <c r="AM4" s="152">
        <f>'[6]WA-IndComSales-Annual'!TJ6*2.33</f>
        <v>0</v>
      </c>
      <c r="AN4" s="152">
        <f>'[6]WA-IndComSales-Annual'!TK6*2.33</f>
        <v>0</v>
      </c>
      <c r="AO4" s="152">
        <f>'[6]WA-IndComSales-Annual'!TL6*2.33</f>
        <v>0</v>
      </c>
      <c r="AP4" s="152">
        <f>'[6]WA-IndComSales-Annual'!TM6*2.33</f>
        <v>0</v>
      </c>
      <c r="AQ4" s="152">
        <f>'[6]WA-IndComSales-Annual'!TN6*2.33</f>
        <v>0</v>
      </c>
      <c r="AR4" s="152">
        <f>'[6]WA-IndComSales-Annual'!TO6*2.33</f>
        <v>0</v>
      </c>
      <c r="AT4">
        <v>0</v>
      </c>
      <c r="AU4" s="152">
        <f>'[6]WA-Transport-Annual'!TE6*1.79</f>
        <v>0</v>
      </c>
      <c r="AV4" s="152">
        <f>'[6]WA-Transport-Annual'!TF6*1.79</f>
        <v>0</v>
      </c>
      <c r="AW4" s="152">
        <f>'[6]WA-Transport-Annual'!TG6*1.79</f>
        <v>0</v>
      </c>
      <c r="AX4" s="152">
        <f>'[6]WA-Transport-Annual'!TH6*1.79</f>
        <v>0</v>
      </c>
      <c r="AY4" s="152">
        <f>'[6]WA-Transport-Annual'!TI6*1.79</f>
        <v>0</v>
      </c>
      <c r="AZ4" s="152">
        <f>'[6]WA-Transport-Annual'!TJ6*1.79</f>
        <v>0</v>
      </c>
      <c r="BA4" s="152">
        <f>'[6]WA-Transport-Annual'!TK6*1.79</f>
        <v>0</v>
      </c>
      <c r="BB4" s="152">
        <f>'[6]WA-Transport-Annual'!TL6*1.79</f>
        <v>0</v>
      </c>
      <c r="BC4" s="152">
        <f>'[6]WA-Transport-Annual'!TM6*1.79</f>
        <v>0</v>
      </c>
      <c r="BE4" s="133">
        <f t="shared" si="1"/>
        <v>175682.87902597553</v>
      </c>
      <c r="BF4" s="133">
        <f t="shared" si="0"/>
        <v>175682.87902597553</v>
      </c>
      <c r="BG4" s="133">
        <f t="shared" si="0"/>
        <v>1067927.7391062907</v>
      </c>
      <c r="BH4" s="133">
        <f t="shared" si="0"/>
        <v>1400273.2168411582</v>
      </c>
      <c r="BI4" s="133">
        <f t="shared" si="0"/>
        <v>175682.87902597553</v>
      </c>
      <c r="BJ4" s="133">
        <f t="shared" si="0"/>
        <v>0</v>
      </c>
      <c r="BK4" s="133">
        <f t="shared" si="0"/>
        <v>0</v>
      </c>
      <c r="BL4" s="133">
        <f t="shared" si="0"/>
        <v>175682.87902597553</v>
      </c>
      <c r="BM4" s="133">
        <f t="shared" si="0"/>
        <v>175682.87902597553</v>
      </c>
      <c r="BN4" s="133">
        <f t="shared" si="0"/>
        <v>175682.87902597553</v>
      </c>
      <c r="BP4" s="154">
        <f>BE4/[4]Annual!HZ4</f>
        <v>1.6651861514047437E-2</v>
      </c>
      <c r="BQ4" s="154">
        <f>BF4/[4]Annual!IA4</f>
        <v>1.6868055226942194E-2</v>
      </c>
      <c r="BR4" s="154">
        <f>BG4/[4]Annual!IB4</f>
        <v>0.102943371034981</v>
      </c>
      <c r="BS4" s="154">
        <f>BH4/[4]Annual!IC4</f>
        <v>0.13509679883373327</v>
      </c>
      <c r="BT4" s="154">
        <f>BI4/[4]Annual!ID4</f>
        <v>1.6868055226942194E-2</v>
      </c>
      <c r="BU4" s="154">
        <f>BJ4/[4]Annual!IE4</f>
        <v>0</v>
      </c>
      <c r="BV4" s="154">
        <f>BK4/[4]Annual!IF4</f>
        <v>0</v>
      </c>
      <c r="BW4" s="154">
        <f>BL4/[4]Annual!IG4</f>
        <v>1.6868055226942194E-2</v>
      </c>
      <c r="BX4" s="154">
        <f>BM4/[4]Annual!IH4</f>
        <v>1.6868055226942194E-2</v>
      </c>
      <c r="BY4" s="154">
        <f>BN4/[4]Annual!II4</f>
        <v>1.6868353964412289E-2</v>
      </c>
    </row>
    <row r="5" spans="1:77" x14ac:dyDescent="0.25">
      <c r="A5">
        <v>2025</v>
      </c>
      <c r="B5" s="133">
        <f>('[2]WA Res Incremental EE'!ST5+'[2]WA Com Incremental EE'!SI5)*'[5]Energy Efficiency'!$BR$9</f>
        <v>196491.65018872314</v>
      </c>
      <c r="C5" s="133">
        <f>('[2]WA Res Incremental EE'!SU5+'[2]WA Com Incremental EE'!SJ5)*'[5]Energy Efficiency'!$BR$9</f>
        <v>196491.65018872314</v>
      </c>
      <c r="D5" s="133">
        <f>('[2]WA Res Incremental EE'!SV5+'[2]WA Com Incremental EE'!SK5)*'[5]Energy Efficiency'!$BR$9</f>
        <v>1285502.4477005296</v>
      </c>
      <c r="E5" s="133">
        <f>('[2]WA Res Incremental EE'!SW5+'[2]WA Com Incremental EE'!SL5)*'[5]Energy Efficiency'!$BR$9</f>
        <v>196491.65018872314</v>
      </c>
      <c r="F5" s="133">
        <f>('[2]WA Res Incremental EE'!SX5+'[2]WA Com Incremental EE'!SM5)*'[5]Energy Efficiency'!$BR$9</f>
        <v>53246.283773896888</v>
      </c>
      <c r="G5" s="133">
        <v>0</v>
      </c>
      <c r="H5" s="133">
        <v>0</v>
      </c>
      <c r="I5" s="133">
        <f>('[2]WA Res Incremental EE'!TA5+'[2]WA Com Incremental EE'!SP5)*'[5]Energy Efficiency'!$BR$9</f>
        <v>196491.65018872314</v>
      </c>
      <c r="J5" s="133">
        <f>('[2]WA Res Incremental EE'!TB5+'[2]WA Com Incremental EE'!SQ5)*'[5]Energy Efficiency'!$BR$9</f>
        <v>196491.65018872314</v>
      </c>
      <c r="K5" s="133">
        <f>('[2]WA Res Incremental EE'!TC5+'[2]WA Com Incremental EE'!SR5)*'[5]Energy Efficiency'!$BR$9</f>
        <v>196491.65018872314</v>
      </c>
      <c r="L5" s="133"/>
      <c r="M5" s="133">
        <f>('[2]WA-Res-Existing Cust'!SO39*0.87*'[2]Key Inputs'!$C$74)+('[2]WA-Res-Existing Cust'!SO167*0.67*'[2]Key Inputs'!$C$75)+('[2]WA-Res-Cust Growth'!SQ37*0.87*'[2]Key Inputs'!$C$74)+('[2]WA-Res-Cust Growth'!SQ165*0.87*'[2]Key Inputs'!$C$75)+('[2]WA-Com-Existing Cust'!SO39*0.87*'[2]Key Inputs'!$C$78)+('[2]WA-Com-Cust Growth'!SQ37*0.87*'[2]Key Inputs'!$C$78)</f>
        <v>0</v>
      </c>
      <c r="N5" s="133">
        <f>('[2]WA-Res-Existing Cust'!SP39*0.87*'[2]Key Inputs'!$C$74)+('[2]WA-Res-Existing Cust'!SP167*0.67*'[2]Key Inputs'!$C$75)+('[2]WA-Res-Cust Growth'!SR37*0.87*'[2]Key Inputs'!$C$74)+('[2]WA-Res-Cust Growth'!SR165*0.87*'[2]Key Inputs'!$C$75)+('[2]WA-Com-Existing Cust'!SP39*0.87*'[2]Key Inputs'!$C$78)+('[2]WA-Com-Cust Growth'!SR37*0.87*'[2]Key Inputs'!$C$78)</f>
        <v>1863382.2532632842</v>
      </c>
      <c r="O5" s="133">
        <f>('[2]WA-Res-Existing Cust'!SQ39*0.87*'[2]Key Inputs'!$C$74)+('[2]WA-Res-Existing Cust'!SQ167*0.67*'[2]Key Inputs'!$C$75)+('[2]WA-Res-Cust Growth'!SS37*0.87*'[2]Key Inputs'!$C$74)+('[2]WA-Res-Cust Growth'!SS165*0.87*'[2]Key Inputs'!$C$75)+('[2]WA-Com-Existing Cust'!SQ39*0.87*'[2]Key Inputs'!$C$78)+('[2]WA-Com-Cust Growth'!SS37*0.87*'[2]Key Inputs'!$C$78)</f>
        <v>695240.90130531357</v>
      </c>
      <c r="P5" s="133">
        <f>('[2]WA-Res-Existing Cust'!SR39*0.87*'[2]Key Inputs'!$C$74)+('[2]WA-Res-Existing Cust'!SR167*0.67*'[2]Key Inputs'!$C$75)+('[2]WA-Res-Cust Growth'!ST37*0.87*'[2]Key Inputs'!$C$74)+('[2]WA-Res-Cust Growth'!ST165*0.87*'[2]Key Inputs'!$C$75)+('[2]WA-Com-Existing Cust'!SR39*0.87*'[2]Key Inputs'!$C$78)+('[2]WA-Com-Cust Growth'!ST37*0.87*'[2]Key Inputs'!$C$78)</f>
        <v>1252800</v>
      </c>
      <c r="Q5" s="133">
        <f>('[2]WA-Res-Existing Cust'!SS39*0.87*'[2]Key Inputs'!$C$74)+('[2]WA-Res-Existing Cust'!SS167*0.67*'[2]Key Inputs'!$C$75)+('[2]WA-Res-Cust Growth'!SU37*0.87*'[2]Key Inputs'!$C$74)+('[2]WA-Res-Cust Growth'!SU165*0.87*'[2]Key Inputs'!$C$75)+('[2]WA-Com-Existing Cust'!SS39*0.87*'[2]Key Inputs'!$C$78)+('[2]WA-Com-Cust Growth'!SU37*0.87*'[2]Key Inputs'!$C$78)</f>
        <v>1111702.253263284</v>
      </c>
      <c r="R5" s="133">
        <f>('[2]WA-Res-Existing Cust'!ST39*0.87*'[2]Key Inputs'!$C$74)+('[2]WA-Res-Existing Cust'!ST167*0.67*'[2]Key Inputs'!$C$75)+('[2]WA-Res-Cust Growth'!SV37*0.87*'[2]Key Inputs'!$C$74)+('[2]WA-Res-Cust Growth'!SV165*0.87*'[2]Key Inputs'!$C$75)+('[2]WA-Com-Existing Cust'!ST39*0.87*'[2]Key Inputs'!$C$78)+('[2]WA-Com-Cust Growth'!SV37*0.87*'[2]Key Inputs'!$C$78)</f>
        <v>0</v>
      </c>
      <c r="S5" s="133">
        <f>('[2]WA-Res-Existing Cust'!SU39*0.87*'[2]Key Inputs'!$C$74)+('[2]WA-Res-Existing Cust'!SU167*0.67*'[2]Key Inputs'!$C$75)+('[2]WA-Res-Cust Growth'!SW37*0.87*'[2]Key Inputs'!$C$74)+('[2]WA-Res-Cust Growth'!SW165*0.87*'[2]Key Inputs'!$C$75)+('[2]WA-Com-Existing Cust'!SU39*0.87*'[2]Key Inputs'!$C$78)+('[2]WA-Com-Cust Growth'!SW37*0.87*'[2]Key Inputs'!$C$78)</f>
        <v>0</v>
      </c>
      <c r="T5" s="133">
        <f>('[2]WA-Res-Existing Cust'!SV39*0.87*'[2]Key Inputs'!$C$74)+('[2]WA-Res-Existing Cust'!SV167*0.67*'[2]Key Inputs'!$C$75)+('[2]WA-Res-Cust Growth'!SX37*0.87*'[2]Key Inputs'!$C$74)+('[2]WA-Res-Cust Growth'!SX165*0.87*'[2]Key Inputs'!$C$75)+('[2]WA-Com-Existing Cust'!SV39*0.87*'[2]Key Inputs'!$C$78)+('[2]WA-Com-Cust Growth'!SX37*0.87*'[2]Key Inputs'!$C$78)</f>
        <v>1236982.2532632842</v>
      </c>
      <c r="U5" s="133">
        <f>('[2]WA-Res-Existing Cust'!SW39*0.87*'[2]Key Inputs'!$C$74)+('[2]WA-Res-Existing Cust'!SW167*0.67*'[2]Key Inputs'!$C$75)+('[2]WA-Res-Cust Growth'!SY37*0.87*'[2]Key Inputs'!$C$74)+('[2]WA-Res-Cust Growth'!SY165*0.87*'[2]Key Inputs'!$C$75)+('[2]WA-Com-Existing Cust'!SW39*0.87*'[2]Key Inputs'!$C$78)+('[2]WA-Com-Cust Growth'!SY37*0.87*'[2]Key Inputs'!$C$78)</f>
        <v>1236982.2532632842</v>
      </c>
      <c r="V5" s="133">
        <f>('[2]WA-Res-Existing Cust'!SX39*0.87*'[2]Key Inputs'!$C$74)+('[2]WA-Res-Existing Cust'!SX167*0.67*'[2]Key Inputs'!$C$75)+('[2]WA-Res-Cust Growth'!SZ37*0.87*'[2]Key Inputs'!$C$74)+('[2]WA-Res-Cust Growth'!SZ165*0.87*'[2]Key Inputs'!$C$75)+('[2]WA-Com-Existing Cust'!SX39*0.87*'[2]Key Inputs'!$C$78)+('[2]WA-Com-Cust Growth'!SZ37*0.87*'[2]Key Inputs'!$C$78)</f>
        <v>250560</v>
      </c>
      <c r="X5" s="63">
        <f>(('[2]WA-Res-Existing Cust'!SO103+'[2]WA-Res-Cust Growth'!SQ101)*'[2]Key Inputs'!$C$73)+(('[2]WA-Com-Existing Cust'!SO103+'[2]WA-Com-Cust Growth'!SQ101)*'[2]Key Inputs'!$C$77)</f>
        <v>0</v>
      </c>
      <c r="Y5" s="63">
        <f>(('[2]WA-Res-Existing Cust'!SP103+'[2]WA-Res-Cust Growth'!SR101)*'[2]Key Inputs'!$C$73)+(('[2]WA-Com-Existing Cust'!SP103+'[2]WA-Com-Cust Growth'!SR101)*'[2]Key Inputs'!$C$77)</f>
        <v>529680.6222809552</v>
      </c>
      <c r="Z5" s="63">
        <f>(('[2]WA-Res-Existing Cust'!SQ103+'[2]WA-Res-Cust Growth'!SS101)*'[2]Key Inputs'!$C$73)+(('[2]WA-Com-Existing Cust'!SQ103+'[2]WA-Com-Cust Growth'!SS101)*'[2]Key Inputs'!$C$77)</f>
        <v>179664.21583032241</v>
      </c>
      <c r="AA5" s="63">
        <f>(('[2]WA-Res-Existing Cust'!SR103+'[2]WA-Res-Cust Growth'!ST101)*'[2]Key Inputs'!$C$73)+(('[2]WA-Com-Existing Cust'!SR103+'[2]WA-Com-Cust Growth'!ST101)*'[2]Key Inputs'!$C$77)</f>
        <v>805200.82705149113</v>
      </c>
      <c r="AB5" s="63">
        <f>(('[2]WA-Res-Existing Cust'!SS103+'[2]WA-Res-Cust Growth'!SU101)*'[2]Key Inputs'!$C$73)+(('[2]WA-Com-Existing Cust'!SS103+'[2]WA-Com-Cust Growth'!SU101)*'[2]Key Inputs'!$C$77)</f>
        <v>483120.4962308947</v>
      </c>
      <c r="AC5" s="63">
        <f>(('[2]WA-Res-Existing Cust'!ST103+'[2]WA-Res-Cust Growth'!SV101)*'[2]Key Inputs'!$C$73)+(('[2]WA-Com-Existing Cust'!ST103+'[2]WA-Com-Cust Growth'!SV101)*'[2]Key Inputs'!$C$77)</f>
        <v>0</v>
      </c>
      <c r="AD5" s="63">
        <f>(('[2]WA-Res-Existing Cust'!SU103+'[2]WA-Res-Cust Growth'!SW101)*'[2]Key Inputs'!$C$73)+(('[2]WA-Com-Existing Cust'!SU103+'[2]WA-Com-Cust Growth'!SW101)*'[2]Key Inputs'!$C$77)</f>
        <v>0</v>
      </c>
      <c r="AE5" s="63">
        <f>(('[2]WA-Res-Existing Cust'!SV103+'[2]WA-Res-Cust Growth'!SX101)*'[2]Key Inputs'!$C$73)+(('[2]WA-Com-Existing Cust'!SV103+'[2]WA-Com-Cust Growth'!SX101)*'[2]Key Inputs'!$C$77)</f>
        <v>127080.20875520956</v>
      </c>
      <c r="AF5" s="63">
        <f>(('[2]WA-Res-Existing Cust'!SW103+'[2]WA-Res-Cust Growth'!SY101)*'[2]Key Inputs'!$C$73)+(('[2]WA-Com-Existing Cust'!SW103+'[2]WA-Com-Cust Growth'!SY101)*'[2]Key Inputs'!$C$77)</f>
        <v>127080.20875520956</v>
      </c>
      <c r="AG5" s="63">
        <f>(('[2]WA-Res-Existing Cust'!SX103+'[2]WA-Res-Cust Growth'!SZ101)*'[2]Key Inputs'!$C$73)+(('[2]WA-Com-Existing Cust'!SX103+'[2]WA-Com-Cust Growth'!SZ101)*'[2]Key Inputs'!$C$77)</f>
        <v>161040.16541029824</v>
      </c>
      <c r="AI5" s="152">
        <f>'[6]WA-IndComSales-Annual'!TF7*2.33</f>
        <v>0</v>
      </c>
      <c r="AJ5" s="152">
        <f>'[6]WA-IndComSales-Annual'!TG7*2.33</f>
        <v>0</v>
      </c>
      <c r="AK5" s="152">
        <f>'[6]WA-IndComSales-Annual'!TH7*2.33</f>
        <v>37507.323420999594</v>
      </c>
      <c r="AL5" s="152">
        <f>'[6]WA-IndComSales-Annual'!TI7*2.33</f>
        <v>0</v>
      </c>
      <c r="AM5" s="152">
        <f>'[6]WA-IndComSales-Annual'!TJ7*2.33</f>
        <v>0</v>
      </c>
      <c r="AN5" s="152">
        <f>'[6]WA-IndComSales-Annual'!TK7*2.33</f>
        <v>0</v>
      </c>
      <c r="AO5" s="152">
        <f>'[6]WA-IndComSales-Annual'!TL7*2.33</f>
        <v>0</v>
      </c>
      <c r="AP5" s="152">
        <f>'[6]WA-IndComSales-Annual'!TM7*2.33</f>
        <v>0</v>
      </c>
      <c r="AQ5" s="152">
        <f>'[6]WA-IndComSales-Annual'!TN7*2.33</f>
        <v>0</v>
      </c>
      <c r="AR5" s="152">
        <f>'[6]WA-IndComSales-Annual'!TO7*2.33</f>
        <v>0</v>
      </c>
      <c r="AT5">
        <v>0</v>
      </c>
      <c r="AU5" s="152">
        <f>'[6]WA-Transport-Annual'!TE7*1.79</f>
        <v>139085.2040985974</v>
      </c>
      <c r="AV5" s="152">
        <f>'[6]WA-Transport-Annual'!TF7*1.79</f>
        <v>278170.4081971948</v>
      </c>
      <c r="AW5" s="152">
        <f>'[6]WA-Transport-Annual'!TG7*1.79</f>
        <v>139085.2040985974</v>
      </c>
      <c r="AX5" s="152">
        <f>'[6]WA-Transport-Annual'!TH7*1.79</f>
        <v>139085.2040985974</v>
      </c>
      <c r="AY5" s="152">
        <f>'[6]WA-Transport-Annual'!TI7*1.79</f>
        <v>0</v>
      </c>
      <c r="AZ5" s="152">
        <f>'[6]WA-Transport-Annual'!TJ7*1.79</f>
        <v>0</v>
      </c>
      <c r="BA5" s="152">
        <f>'[6]WA-Transport-Annual'!TK7*1.79</f>
        <v>139085.2040985974</v>
      </c>
      <c r="BB5" s="152">
        <f>'[6]WA-Transport-Annual'!TL7*1.79</f>
        <v>139085.2040985974</v>
      </c>
      <c r="BC5" s="152">
        <f>'[6]WA-Transport-Annual'!TM7*1.79</f>
        <v>69542.602049298701</v>
      </c>
      <c r="BE5" s="133">
        <f t="shared" si="1"/>
        <v>196491.65018872314</v>
      </c>
      <c r="BF5" s="133">
        <f t="shared" si="0"/>
        <v>2728639.7298315596</v>
      </c>
      <c r="BG5" s="133">
        <f t="shared" si="0"/>
        <v>2476085.2964543598</v>
      </c>
      <c r="BH5" s="133">
        <f t="shared" si="0"/>
        <v>2393577.6813388113</v>
      </c>
      <c r="BI5" s="133">
        <f t="shared" si="0"/>
        <v>1787154.2373666731</v>
      </c>
      <c r="BJ5" s="133">
        <f t="shared" si="0"/>
        <v>0</v>
      </c>
      <c r="BK5" s="133">
        <f t="shared" si="0"/>
        <v>0</v>
      </c>
      <c r="BL5" s="133">
        <f t="shared" si="0"/>
        <v>1699639.3163058143</v>
      </c>
      <c r="BM5" s="133">
        <f t="shared" si="0"/>
        <v>1699639.3163058143</v>
      </c>
      <c r="BN5" s="133">
        <f t="shared" si="0"/>
        <v>677634.41764832009</v>
      </c>
      <c r="BP5" s="154">
        <f>BE5/[4]Annual!HZ5</f>
        <v>1.8621869308625999E-2</v>
      </c>
      <c r="BQ5" s="154">
        <f>BF5/[4]Annual!IA5</f>
        <v>0.26443824176333158</v>
      </c>
      <c r="BR5" s="154">
        <f>BG5/[4]Annual!IB5</f>
        <v>0.24117895002195858</v>
      </c>
      <c r="BS5" s="154">
        <f>BH5/[4]Annual!IC5</f>
        <v>0.23415363147991908</v>
      </c>
      <c r="BT5" s="154">
        <f>BI5/[4]Annual!ID5</f>
        <v>0.17401557006829935</v>
      </c>
      <c r="BU5" s="154">
        <f>BJ5/[4]Annual!IE5</f>
        <v>0</v>
      </c>
      <c r="BV5" s="154">
        <f>BK5/[4]Annual!IF5</f>
        <v>0</v>
      </c>
      <c r="BW5" s="154">
        <f>BL5/[4]Annual!IG5</f>
        <v>0.16441397648459499</v>
      </c>
      <c r="BX5" s="154">
        <f>BM5/[4]Annual!IH5</f>
        <v>0.16441397648459499</v>
      </c>
      <c r="BY5" s="154">
        <f>BN5/[4]Annual!II5</f>
        <v>6.5539371527824117E-2</v>
      </c>
    </row>
    <row r="6" spans="1:77" x14ac:dyDescent="0.25">
      <c r="A6">
        <v>2026</v>
      </c>
      <c r="B6" s="133">
        <f>('[2]WA Res Incremental EE'!ST6+'[2]WA Com Incremental EE'!SI6)*'[5]Energy Efficiency'!$BR$9</f>
        <v>227497.36497503382</v>
      </c>
      <c r="C6" s="133">
        <f>('[2]WA Res Incremental EE'!SU6+'[2]WA Com Incremental EE'!SJ6)*'[5]Energy Efficiency'!$BR$9</f>
        <v>227497.36497503382</v>
      </c>
      <c r="D6" s="133">
        <f>('[2]WA Res Incremental EE'!SV6+'[2]WA Com Incremental EE'!SK6)*'[5]Energy Efficiency'!$BR$9</f>
        <v>1561345.4766592516</v>
      </c>
      <c r="E6" s="133">
        <f>('[2]WA Res Incremental EE'!SW6+'[2]WA Com Incremental EE'!SL6)*'[5]Energy Efficiency'!$BR$9</f>
        <v>227497.36497503382</v>
      </c>
      <c r="F6" s="133">
        <f>('[2]WA Res Incremental EE'!SX6+'[2]WA Com Incremental EE'!SM6)*'[5]Energy Efficiency'!$BR$9</f>
        <v>56768.892419128861</v>
      </c>
      <c r="G6" s="133">
        <v>0</v>
      </c>
      <c r="H6" s="133">
        <v>0</v>
      </c>
      <c r="I6" s="133">
        <f>('[2]WA Res Incremental EE'!TA6+'[2]WA Com Incremental EE'!SP6)*'[5]Energy Efficiency'!$BR$9</f>
        <v>227497.36497503382</v>
      </c>
      <c r="J6" s="133">
        <f>('[2]WA Res Incremental EE'!TB6+'[2]WA Com Incremental EE'!SQ6)*'[5]Energy Efficiency'!$BR$9</f>
        <v>227497.36497503382</v>
      </c>
      <c r="K6" s="133">
        <f>('[2]WA Res Incremental EE'!TC6+'[2]WA Com Incremental EE'!SR6)*'[5]Energy Efficiency'!$BR$9</f>
        <v>227497.36497503382</v>
      </c>
      <c r="L6" s="133"/>
      <c r="M6" s="133">
        <f>('[2]WA-Res-Existing Cust'!SO40*0.87*'[2]Key Inputs'!$C$74)+('[2]WA-Res-Existing Cust'!SO168*0.67*'[2]Key Inputs'!$C$75)+('[2]WA-Res-Cust Growth'!SQ38*0.87*'[2]Key Inputs'!$C$74)+('[2]WA-Res-Cust Growth'!SQ166*0.87*'[2]Key Inputs'!$C$75)+('[2]WA-Com-Existing Cust'!SO40*0.87*'[2]Key Inputs'!$C$78)+('[2]WA-Com-Cust Growth'!SQ38*0.87*'[2]Key Inputs'!$C$78)</f>
        <v>0</v>
      </c>
      <c r="N6" s="133">
        <f>('[2]WA-Res-Existing Cust'!SP40*0.87*'[2]Key Inputs'!$C$74)+('[2]WA-Res-Existing Cust'!SP168*0.67*'[2]Key Inputs'!$C$75)+('[2]WA-Res-Cust Growth'!SR38*0.87*'[2]Key Inputs'!$C$74)+('[2]WA-Res-Cust Growth'!SR166*0.87*'[2]Key Inputs'!$C$75)+('[2]WA-Com-Existing Cust'!SP40*0.87*'[2]Key Inputs'!$C$78)+('[2]WA-Com-Cust Growth'!SR38*0.87*'[2]Key Inputs'!$C$78)</f>
        <v>2973306.5571028432</v>
      </c>
      <c r="O6" s="133">
        <f>('[2]WA-Res-Existing Cust'!SQ40*0.87*'[2]Key Inputs'!$C$74)+('[2]WA-Res-Existing Cust'!SQ168*0.67*'[2]Key Inputs'!$C$75)+('[2]WA-Res-Cust Growth'!SS38*0.87*'[2]Key Inputs'!$C$74)+('[2]WA-Res-Cust Growth'!SS166*0.87*'[2]Key Inputs'!$C$75)+('[2]WA-Com-Existing Cust'!SQ40*0.87*'[2]Key Inputs'!$C$78)+('[2]WA-Com-Cust Growth'!SS38*0.87*'[2]Key Inputs'!$C$78)</f>
        <v>1139210.6228411372</v>
      </c>
      <c r="P6" s="133">
        <f>('[2]WA-Res-Existing Cust'!SR40*0.87*'[2]Key Inputs'!$C$74)+('[2]WA-Res-Existing Cust'!SR168*0.67*'[2]Key Inputs'!$C$75)+('[2]WA-Res-Cust Growth'!ST38*0.87*'[2]Key Inputs'!$C$74)+('[2]WA-Res-Cust Growth'!ST166*0.87*'[2]Key Inputs'!$C$75)+('[2]WA-Com-Existing Cust'!SR40*0.87*'[2]Key Inputs'!$C$78)+('[2]WA-Com-Cust Growth'!ST38*0.87*'[2]Key Inputs'!$C$78)</f>
        <v>1879200</v>
      </c>
      <c r="Q6" s="133">
        <f>('[2]WA-Res-Existing Cust'!SS40*0.87*'[2]Key Inputs'!$C$74)+('[2]WA-Res-Existing Cust'!SS168*0.67*'[2]Key Inputs'!$C$75)+('[2]WA-Res-Cust Growth'!SU38*0.87*'[2]Key Inputs'!$C$74)+('[2]WA-Res-Cust Growth'!SU166*0.87*'[2]Key Inputs'!$C$75)+('[2]WA-Com-Existing Cust'!SS40*0.87*'[2]Key Inputs'!$C$78)+('[2]WA-Com-Cust Growth'!SU38*0.87*'[2]Key Inputs'!$C$78)</f>
        <v>2221626.5571028432</v>
      </c>
      <c r="R6" s="133">
        <f>('[2]WA-Res-Existing Cust'!ST40*0.87*'[2]Key Inputs'!$C$74)+('[2]WA-Res-Existing Cust'!ST168*0.67*'[2]Key Inputs'!$C$75)+('[2]WA-Res-Cust Growth'!SV38*0.87*'[2]Key Inputs'!$C$74)+('[2]WA-Res-Cust Growth'!SV166*0.87*'[2]Key Inputs'!$C$75)+('[2]WA-Com-Existing Cust'!ST40*0.87*'[2]Key Inputs'!$C$78)+('[2]WA-Com-Cust Growth'!SV38*0.87*'[2]Key Inputs'!$C$78)</f>
        <v>0</v>
      </c>
      <c r="S6" s="133">
        <f>('[2]WA-Res-Existing Cust'!SU40*0.87*'[2]Key Inputs'!$C$74)+('[2]WA-Res-Existing Cust'!SU168*0.67*'[2]Key Inputs'!$C$75)+('[2]WA-Res-Cust Growth'!SW38*0.87*'[2]Key Inputs'!$C$74)+('[2]WA-Res-Cust Growth'!SW166*0.87*'[2]Key Inputs'!$C$75)+('[2]WA-Com-Existing Cust'!SU40*0.87*'[2]Key Inputs'!$C$78)+('[2]WA-Com-Cust Growth'!SW38*0.87*'[2]Key Inputs'!$C$78)</f>
        <v>0</v>
      </c>
      <c r="T6" s="133">
        <f>('[2]WA-Res-Existing Cust'!SV40*0.87*'[2]Key Inputs'!$C$74)+('[2]WA-Res-Existing Cust'!SV168*0.67*'[2]Key Inputs'!$C$75)+('[2]WA-Res-Cust Growth'!SX38*0.87*'[2]Key Inputs'!$C$74)+('[2]WA-Res-Cust Growth'!SX166*0.87*'[2]Key Inputs'!$C$75)+('[2]WA-Com-Existing Cust'!SV40*0.87*'[2]Key Inputs'!$C$78)+('[2]WA-Com-Cust Growth'!SX38*0.87*'[2]Key Inputs'!$C$78)</f>
        <v>2472186.5571028432</v>
      </c>
      <c r="U6" s="133">
        <f>('[2]WA-Res-Existing Cust'!SW40*0.87*'[2]Key Inputs'!$C$74)+('[2]WA-Res-Existing Cust'!SW168*0.67*'[2]Key Inputs'!$C$75)+('[2]WA-Res-Cust Growth'!SY38*0.87*'[2]Key Inputs'!$C$74)+('[2]WA-Res-Cust Growth'!SY166*0.87*'[2]Key Inputs'!$C$75)+('[2]WA-Com-Existing Cust'!SW40*0.87*'[2]Key Inputs'!$C$78)+('[2]WA-Com-Cust Growth'!SY38*0.87*'[2]Key Inputs'!$C$78)</f>
        <v>2472186.5571028432</v>
      </c>
      <c r="V6" s="133">
        <f>('[2]WA-Res-Existing Cust'!SX40*0.87*'[2]Key Inputs'!$C$74)+('[2]WA-Res-Existing Cust'!SX168*0.67*'[2]Key Inputs'!$C$75)+('[2]WA-Res-Cust Growth'!SZ38*0.87*'[2]Key Inputs'!$C$74)+('[2]WA-Res-Cust Growth'!SZ166*0.87*'[2]Key Inputs'!$C$75)+('[2]WA-Com-Existing Cust'!SX40*0.87*'[2]Key Inputs'!$C$78)+('[2]WA-Com-Cust Growth'!SZ38*0.87*'[2]Key Inputs'!$C$78)</f>
        <v>375840</v>
      </c>
      <c r="X6" s="63">
        <f>(('[2]WA-Res-Existing Cust'!SO104+'[2]WA-Res-Cust Growth'!SQ102)*'[2]Key Inputs'!$C$73)+(('[2]WA-Com-Existing Cust'!SO104+'[2]WA-Com-Cust Growth'!SQ102)*'[2]Key Inputs'!$C$77)</f>
        <v>0</v>
      </c>
      <c r="Y6" s="63">
        <f>(('[2]WA-Res-Existing Cust'!SP104+'[2]WA-Res-Cust Growth'!SR102)*'[2]Key Inputs'!$C$73)+(('[2]WA-Com-Existing Cust'!SP104+'[2]WA-Com-Cust Growth'!SR102)*'[2]Key Inputs'!$C$77)</f>
        <v>574745.87959939789</v>
      </c>
      <c r="Z6" s="63">
        <f>(('[2]WA-Res-Existing Cust'!SQ104+'[2]WA-Res-Cust Growth'!SS102)*'[2]Key Inputs'!$C$73)+(('[2]WA-Com-Existing Cust'!SQ104+'[2]WA-Com-Cust Growth'!SS102)*'[2]Key Inputs'!$C$77)</f>
        <v>197717.55566389696</v>
      </c>
      <c r="AA6" s="63">
        <f>(('[2]WA-Res-Existing Cust'!SR104+'[2]WA-Res-Cust Growth'!ST102)*'[2]Key Inputs'!$C$73)+(('[2]WA-Com-Existing Cust'!SR104+'[2]WA-Com-Cust Growth'!ST102)*'[2]Key Inputs'!$C$77)</f>
        <v>1206779.8565948324</v>
      </c>
      <c r="AB6" s="63">
        <f>(('[2]WA-Res-Existing Cust'!SS104+'[2]WA-Res-Cust Growth'!SU102)*'[2]Key Inputs'!$C$73)+(('[2]WA-Com-Existing Cust'!SS104+'[2]WA-Com-Cust Growth'!SU102)*'[2]Key Inputs'!$C$77)</f>
        <v>482711.94263793295</v>
      </c>
      <c r="AC6" s="63">
        <f>(('[2]WA-Res-Existing Cust'!ST104+'[2]WA-Res-Cust Growth'!SV102)*'[2]Key Inputs'!$C$73)+(('[2]WA-Com-Existing Cust'!ST104+'[2]WA-Com-Cust Growth'!SV102)*'[2]Key Inputs'!$C$77)</f>
        <v>0</v>
      </c>
      <c r="AD6" s="63">
        <f>(('[2]WA-Res-Existing Cust'!SU104+'[2]WA-Res-Cust Growth'!SW102)*'[2]Key Inputs'!$C$73)+(('[2]WA-Com-Existing Cust'!SU104+'[2]WA-Com-Cust Growth'!SW102)*'[2]Key Inputs'!$C$77)</f>
        <v>0</v>
      </c>
      <c r="AE6" s="63">
        <f>(('[2]WA-Res-Existing Cust'!SV104+'[2]WA-Res-Cust Growth'!SX102)*'[2]Key Inputs'!$C$73)+(('[2]WA-Com-Existing Cust'!SV104+'[2]WA-Com-Cust Growth'!SX102)*'[2]Key Inputs'!$C$77)</f>
        <v>252937.91784077592</v>
      </c>
      <c r="AF6" s="63">
        <f>(('[2]WA-Res-Existing Cust'!SW104+'[2]WA-Res-Cust Growth'!SY102)*'[2]Key Inputs'!$C$73)+(('[2]WA-Com-Existing Cust'!SW104+'[2]WA-Com-Cust Growth'!SY102)*'[2]Key Inputs'!$C$77)</f>
        <v>252937.91784077592</v>
      </c>
      <c r="AG6" s="63">
        <f>(('[2]WA-Res-Existing Cust'!SX104+'[2]WA-Res-Cust Growth'!SZ102)*'[2]Key Inputs'!$C$73)+(('[2]WA-Com-Existing Cust'!SX104+'[2]WA-Com-Cust Growth'!SZ102)*'[2]Key Inputs'!$C$77)</f>
        <v>241355.97131896648</v>
      </c>
      <c r="AI6" s="152">
        <f>'[6]WA-IndComSales-Annual'!TF8*2.33</f>
        <v>0</v>
      </c>
      <c r="AJ6" s="152">
        <f>'[6]WA-IndComSales-Annual'!TG8*2.33</f>
        <v>0</v>
      </c>
      <c r="AK6" s="152">
        <f>'[6]WA-IndComSales-Annual'!TH8*2.33</f>
        <v>38602.213907397017</v>
      </c>
      <c r="AL6" s="152">
        <f>'[6]WA-IndComSales-Annual'!TI8*2.33</f>
        <v>0</v>
      </c>
      <c r="AM6" s="152">
        <f>'[6]WA-IndComSales-Annual'!TJ8*2.33</f>
        <v>0</v>
      </c>
      <c r="AN6" s="152">
        <f>'[6]WA-IndComSales-Annual'!TK8*2.33</f>
        <v>0</v>
      </c>
      <c r="AO6" s="152">
        <f>'[6]WA-IndComSales-Annual'!TL8*2.33</f>
        <v>0</v>
      </c>
      <c r="AP6" s="152">
        <f>'[6]WA-IndComSales-Annual'!TM8*2.33</f>
        <v>0</v>
      </c>
      <c r="AQ6" s="152">
        <f>'[6]WA-IndComSales-Annual'!TN8*2.33</f>
        <v>0</v>
      </c>
      <c r="AR6" s="152">
        <f>'[6]WA-IndComSales-Annual'!TO8*2.33</f>
        <v>0</v>
      </c>
      <c r="AT6">
        <v>0</v>
      </c>
      <c r="AU6" s="152">
        <f>'[6]WA-Transport-Annual'!TE8*1.79</f>
        <v>139987.6578734038</v>
      </c>
      <c r="AV6" s="152">
        <f>'[6]WA-Transport-Annual'!TF8*1.79</f>
        <v>279975.31574680429</v>
      </c>
      <c r="AW6" s="152">
        <f>'[6]WA-Transport-Annual'!TG8*1.79</f>
        <v>139987.6578734038</v>
      </c>
      <c r="AX6" s="152">
        <f>'[6]WA-Transport-Annual'!TH8*1.79</f>
        <v>139987.6578734038</v>
      </c>
      <c r="AY6" s="152">
        <f>'[6]WA-Transport-Annual'!TI8*1.79</f>
        <v>0</v>
      </c>
      <c r="AZ6" s="152">
        <f>'[6]WA-Transport-Annual'!TJ8*1.79</f>
        <v>0</v>
      </c>
      <c r="BA6" s="152">
        <f>'[6]WA-Transport-Annual'!TK8*1.79</f>
        <v>139987.6578734038</v>
      </c>
      <c r="BB6" s="152">
        <f>'[6]WA-Transport-Annual'!TL8*1.79</f>
        <v>139987.6578734038</v>
      </c>
      <c r="BC6" s="152">
        <f>'[6]WA-Transport-Annual'!TM8*1.79</f>
        <v>69993.828936701902</v>
      </c>
      <c r="BE6" s="133">
        <f t="shared" si="1"/>
        <v>227497.36497503382</v>
      </c>
      <c r="BF6" s="133">
        <f t="shared" si="0"/>
        <v>3915537.4595506787</v>
      </c>
      <c r="BG6" s="133">
        <f t="shared" si="0"/>
        <v>3216851.1848184867</v>
      </c>
      <c r="BH6" s="133">
        <f t="shared" si="0"/>
        <v>3453464.8794432697</v>
      </c>
      <c r="BI6" s="133">
        <f t="shared" si="0"/>
        <v>2901095.0500333086</v>
      </c>
      <c r="BJ6" s="133">
        <f t="shared" si="0"/>
        <v>0</v>
      </c>
      <c r="BK6" s="133">
        <f t="shared" si="0"/>
        <v>0</v>
      </c>
      <c r="BL6" s="133">
        <f t="shared" si="0"/>
        <v>3092609.4977920568</v>
      </c>
      <c r="BM6" s="133">
        <f t="shared" si="0"/>
        <v>3092609.4977920568</v>
      </c>
      <c r="BN6" s="133">
        <f t="shared" si="0"/>
        <v>914687.16523070214</v>
      </c>
      <c r="BP6" s="154">
        <f>BE6/[4]Annual!HZ6</f>
        <v>2.1418790727239637E-2</v>
      </c>
      <c r="BQ6" s="154">
        <f>BF6/[4]Annual!IA6</f>
        <v>0.38195424873545525</v>
      </c>
      <c r="BR6" s="154">
        <f>BG6/[4]Annual!IB6</f>
        <v>0.31496911902853963</v>
      </c>
      <c r="BS6" s="154">
        <f>BH6/[4]Annual!IC6</f>
        <v>0.34167891249038301</v>
      </c>
      <c r="BT6" s="154">
        <f>BI6/[4]Annual!ID6</f>
        <v>0.28708382227839668</v>
      </c>
      <c r="BU6" s="154">
        <f>BJ6/[4]Annual!IE6</f>
        <v>0</v>
      </c>
      <c r="BV6" s="154">
        <f>BK6/[4]Annual!IF6</f>
        <v>0</v>
      </c>
      <c r="BW6" s="154">
        <f>BL6/[4]Annual!IG6</f>
        <v>0.29987609722035946</v>
      </c>
      <c r="BX6" s="154">
        <f>BM6/[4]Annual!IH6</f>
        <v>0.29987609722035946</v>
      </c>
      <c r="BY6" s="154">
        <f>BN6/[4]Annual!II6</f>
        <v>8.8665602051695977E-2</v>
      </c>
    </row>
    <row r="7" spans="1:77" x14ac:dyDescent="0.25">
      <c r="A7">
        <v>2027</v>
      </c>
      <c r="B7" s="133">
        <f>('[2]WA Res Incremental EE'!ST7+'[2]WA Com Incremental EE'!SI7)*'[5]Energy Efficiency'!$BR$9</f>
        <v>271253.02063684503</v>
      </c>
      <c r="C7" s="133">
        <f>('[2]WA Res Incremental EE'!SU7+'[2]WA Com Incremental EE'!SJ7)*'[5]Energy Efficiency'!$BR$9</f>
        <v>271253.02063684503</v>
      </c>
      <c r="D7" s="133">
        <f>('[2]WA Res Incremental EE'!SV7+'[2]WA Com Incremental EE'!SK7)*'[5]Energy Efficiency'!$BR$9</f>
        <v>1842861.9948078441</v>
      </c>
      <c r="E7" s="133">
        <f>('[2]WA Res Incremental EE'!SW7+'[2]WA Com Incremental EE'!SL7)*'[5]Energy Efficiency'!$BR$9</f>
        <v>271253.02063684503</v>
      </c>
      <c r="F7" s="133">
        <f>('[2]WA Res Incremental EE'!SX7+'[2]WA Com Incremental EE'!SM7)*'[5]Energy Efficiency'!$BR$9</f>
        <v>66195.784268179035</v>
      </c>
      <c r="G7" s="133">
        <v>0</v>
      </c>
      <c r="H7" s="133">
        <v>0</v>
      </c>
      <c r="I7" s="133">
        <f>('[2]WA Res Incremental EE'!TA7+'[2]WA Com Incremental EE'!SP7)*'[5]Energy Efficiency'!$BR$9</f>
        <v>271253.02063684503</v>
      </c>
      <c r="J7" s="133">
        <f>('[2]WA Res Incremental EE'!TB7+'[2]WA Com Incremental EE'!SQ7)*'[5]Energy Efficiency'!$BR$9</f>
        <v>271253.02063684503</v>
      </c>
      <c r="K7" s="133">
        <f>('[2]WA Res Incremental EE'!TC7+'[2]WA Com Incremental EE'!SR7)*'[5]Energy Efficiency'!$BR$9</f>
        <v>271253.02063684503</v>
      </c>
      <c r="L7" s="133"/>
      <c r="M7" s="133">
        <f>('[2]WA-Res-Existing Cust'!SO41*0.87*'[2]Key Inputs'!$C$74)+('[2]WA-Res-Existing Cust'!SO169*0.67*'[2]Key Inputs'!$C$75)+('[2]WA-Res-Cust Growth'!SQ39*0.87*'[2]Key Inputs'!$C$74)+('[2]WA-Res-Cust Growth'!SQ167*0.87*'[2]Key Inputs'!$C$75)+('[2]WA-Com-Existing Cust'!SO41*0.87*'[2]Key Inputs'!$C$78)+('[2]WA-Com-Cust Growth'!SQ39*0.87*'[2]Key Inputs'!$C$78)</f>
        <v>0</v>
      </c>
      <c r="N7" s="133">
        <f>('[2]WA-Res-Existing Cust'!SP41*0.87*'[2]Key Inputs'!$C$74)+('[2]WA-Res-Existing Cust'!SP169*0.67*'[2]Key Inputs'!$C$75)+('[2]WA-Res-Cust Growth'!SR39*0.87*'[2]Key Inputs'!$C$74)+('[2]WA-Res-Cust Growth'!SR167*0.87*'[2]Key Inputs'!$C$75)+('[2]WA-Com-Existing Cust'!SP41*0.87*'[2]Key Inputs'!$C$78)+('[2]WA-Com-Cust Growth'!SR39*0.87*'[2]Key Inputs'!$C$78)</f>
        <v>4081486.6236295761</v>
      </c>
      <c r="O7" s="133">
        <f>('[2]WA-Res-Existing Cust'!SQ41*0.87*'[2]Key Inputs'!$C$74)+('[2]WA-Res-Existing Cust'!SQ169*0.67*'[2]Key Inputs'!$C$75)+('[2]WA-Res-Cust Growth'!SS39*0.87*'[2]Key Inputs'!$C$74)+('[2]WA-Res-Cust Growth'!SS167*0.87*'[2]Key Inputs'!$C$75)+('[2]WA-Com-Existing Cust'!SQ41*0.87*'[2]Key Inputs'!$C$78)+('[2]WA-Com-Cust Growth'!SS39*0.87*'[2]Key Inputs'!$C$78)</f>
        <v>1804469.7576938025</v>
      </c>
      <c r="P7" s="133">
        <f>('[2]WA-Res-Existing Cust'!SR41*0.87*'[2]Key Inputs'!$C$74)+('[2]WA-Res-Existing Cust'!SR169*0.67*'[2]Key Inputs'!$C$75)+('[2]WA-Res-Cust Growth'!ST39*0.87*'[2]Key Inputs'!$C$74)+('[2]WA-Res-Cust Growth'!ST167*0.87*'[2]Key Inputs'!$C$75)+('[2]WA-Com-Existing Cust'!SR41*0.87*'[2]Key Inputs'!$C$78)+('[2]WA-Com-Cust Growth'!ST39*0.87*'[2]Key Inputs'!$C$78)</f>
        <v>2255040</v>
      </c>
      <c r="Q7" s="133">
        <f>('[2]WA-Res-Existing Cust'!SS41*0.87*'[2]Key Inputs'!$C$74)+('[2]WA-Res-Existing Cust'!SS169*0.67*'[2]Key Inputs'!$C$75)+('[2]WA-Res-Cust Growth'!SU39*0.87*'[2]Key Inputs'!$C$74)+('[2]WA-Res-Cust Growth'!SU167*0.87*'[2]Key Inputs'!$C$75)+('[2]WA-Com-Existing Cust'!SS41*0.87*'[2]Key Inputs'!$C$78)+('[2]WA-Com-Cust Growth'!SU39*0.87*'[2]Key Inputs'!$C$78)</f>
        <v>3329806.6236295761</v>
      </c>
      <c r="R7" s="133">
        <f>('[2]WA-Res-Existing Cust'!ST41*0.87*'[2]Key Inputs'!$C$74)+('[2]WA-Res-Existing Cust'!ST169*0.67*'[2]Key Inputs'!$C$75)+('[2]WA-Res-Cust Growth'!SV39*0.87*'[2]Key Inputs'!$C$74)+('[2]WA-Res-Cust Growth'!SV167*0.87*'[2]Key Inputs'!$C$75)+('[2]WA-Com-Existing Cust'!ST41*0.87*'[2]Key Inputs'!$C$78)+('[2]WA-Com-Cust Growth'!SV39*0.87*'[2]Key Inputs'!$C$78)</f>
        <v>0</v>
      </c>
      <c r="S7" s="133">
        <f>('[2]WA-Res-Existing Cust'!SU41*0.87*'[2]Key Inputs'!$C$74)+('[2]WA-Res-Existing Cust'!SU169*0.67*'[2]Key Inputs'!$C$75)+('[2]WA-Res-Cust Growth'!SW39*0.87*'[2]Key Inputs'!$C$74)+('[2]WA-Res-Cust Growth'!SW167*0.87*'[2]Key Inputs'!$C$75)+('[2]WA-Com-Existing Cust'!SU41*0.87*'[2]Key Inputs'!$C$78)+('[2]WA-Com-Cust Growth'!SW39*0.87*'[2]Key Inputs'!$C$78)</f>
        <v>0</v>
      </c>
      <c r="T7" s="133">
        <f>('[2]WA-Res-Existing Cust'!SV41*0.87*'[2]Key Inputs'!$C$74)+('[2]WA-Res-Existing Cust'!SV169*0.67*'[2]Key Inputs'!$C$75)+('[2]WA-Res-Cust Growth'!SX39*0.87*'[2]Key Inputs'!$C$74)+('[2]WA-Res-Cust Growth'!SX167*0.87*'[2]Key Inputs'!$C$75)+('[2]WA-Com-Existing Cust'!SV41*0.87*'[2]Key Inputs'!$C$78)+('[2]WA-Com-Cust Growth'!SX39*0.87*'[2]Key Inputs'!$C$78)</f>
        <v>3705646.6236295761</v>
      </c>
      <c r="U7" s="133">
        <f>('[2]WA-Res-Existing Cust'!SW41*0.87*'[2]Key Inputs'!$C$74)+('[2]WA-Res-Existing Cust'!SW169*0.67*'[2]Key Inputs'!$C$75)+('[2]WA-Res-Cust Growth'!SY39*0.87*'[2]Key Inputs'!$C$74)+('[2]WA-Res-Cust Growth'!SY167*0.87*'[2]Key Inputs'!$C$75)+('[2]WA-Com-Existing Cust'!SW41*0.87*'[2]Key Inputs'!$C$78)+('[2]WA-Com-Cust Growth'!SY39*0.87*'[2]Key Inputs'!$C$78)</f>
        <v>3705646.6236295761</v>
      </c>
      <c r="V7" s="133">
        <f>('[2]WA-Res-Existing Cust'!SX41*0.87*'[2]Key Inputs'!$C$74)+('[2]WA-Res-Existing Cust'!SX169*0.67*'[2]Key Inputs'!$C$75)+('[2]WA-Res-Cust Growth'!SZ39*0.87*'[2]Key Inputs'!$C$74)+('[2]WA-Res-Cust Growth'!SZ167*0.87*'[2]Key Inputs'!$C$75)+('[2]WA-Com-Existing Cust'!SX41*0.87*'[2]Key Inputs'!$C$78)+('[2]WA-Com-Cust Growth'!SZ39*0.87*'[2]Key Inputs'!$C$78)</f>
        <v>501120</v>
      </c>
      <c r="X7" s="63">
        <f>(('[2]WA-Res-Existing Cust'!SO105+'[2]WA-Res-Cust Growth'!SQ103)*'[2]Key Inputs'!$C$73)+(('[2]WA-Com-Existing Cust'!SO105+'[2]WA-Com-Cust Growth'!SQ103)*'[2]Key Inputs'!$C$77)</f>
        <v>0</v>
      </c>
      <c r="Y7" s="63">
        <f>(('[2]WA-Res-Existing Cust'!SP105+'[2]WA-Res-Cust Growth'!SR103)*'[2]Key Inputs'!$C$73)+(('[2]WA-Com-Existing Cust'!SP105+'[2]WA-Com-Cust Growth'!SR103)*'[2]Key Inputs'!$C$77)</f>
        <v>619346.31358641153</v>
      </c>
      <c r="Z7" s="63">
        <f>(('[2]WA-Res-Existing Cust'!SQ105+'[2]WA-Res-Cust Growth'!SS103)*'[2]Key Inputs'!$C$73)+(('[2]WA-Com-Existing Cust'!SQ105+'[2]WA-Com-Cust Growth'!SS103)*'[2]Key Inputs'!$C$77)</f>
        <v>224720.3729517649</v>
      </c>
      <c r="AA7" s="63">
        <f>(('[2]WA-Res-Existing Cust'!SR105+'[2]WA-Res-Cust Growth'!ST103)*'[2]Key Inputs'!$C$73)+(('[2]WA-Com-Existing Cust'!SR105+'[2]WA-Com-Cust Growth'!ST103)*'[2]Key Inputs'!$C$77)</f>
        <v>1446927.9012426108</v>
      </c>
      <c r="AB7" s="63">
        <f>(('[2]WA-Res-Existing Cust'!SS105+'[2]WA-Res-Cust Growth'!SU103)*'[2]Key Inputs'!$C$73)+(('[2]WA-Com-Existing Cust'!SS105+'[2]WA-Com-Cust Growth'!SU103)*'[2]Key Inputs'!$C$77)</f>
        <v>482309.30041420361</v>
      </c>
      <c r="AC7" s="63">
        <f>(('[2]WA-Res-Existing Cust'!ST105+'[2]WA-Res-Cust Growth'!SV103)*'[2]Key Inputs'!$C$73)+(('[2]WA-Com-Existing Cust'!ST105+'[2]WA-Com-Cust Growth'!SV103)*'[2]Key Inputs'!$C$77)</f>
        <v>0</v>
      </c>
      <c r="AD7" s="63">
        <f>(('[2]WA-Res-Existing Cust'!SU105+'[2]WA-Res-Cust Growth'!SW103)*'[2]Key Inputs'!$C$73)+(('[2]WA-Com-Existing Cust'!SU105+'[2]WA-Com-Cust Growth'!SW103)*'[2]Key Inputs'!$C$77)</f>
        <v>0</v>
      </c>
      <c r="AE7" s="63">
        <f>(('[2]WA-Res-Existing Cust'!SV105+'[2]WA-Res-Cust Growth'!SX103)*'[2]Key Inputs'!$C$73)+(('[2]WA-Com-Existing Cust'!SV105+'[2]WA-Com-Cust Growth'!SX103)*'[2]Key Inputs'!$C$77)</f>
        <v>378191.6633793097</v>
      </c>
      <c r="AF7" s="63">
        <f>(('[2]WA-Res-Existing Cust'!SW105+'[2]WA-Res-Cust Growth'!SY103)*'[2]Key Inputs'!$C$73)+(('[2]WA-Com-Existing Cust'!SW105+'[2]WA-Com-Cust Growth'!SY103)*'[2]Key Inputs'!$C$77)</f>
        <v>378191.6633793097</v>
      </c>
      <c r="AG7" s="63">
        <f>(('[2]WA-Res-Existing Cust'!SX105+'[2]WA-Res-Cust Growth'!SZ103)*'[2]Key Inputs'!$C$73)+(('[2]WA-Com-Existing Cust'!SX105+'[2]WA-Com-Cust Growth'!SZ103)*'[2]Key Inputs'!$C$77)</f>
        <v>321539.53360946913</v>
      </c>
      <c r="AI7" s="152">
        <f>'[6]WA-IndComSales-Annual'!TF9*2.33</f>
        <v>0</v>
      </c>
      <c r="AJ7" s="152">
        <f>'[6]WA-IndComSales-Annual'!TG9*2.33</f>
        <v>0</v>
      </c>
      <c r="AK7" s="152">
        <f>'[6]WA-IndComSales-Annual'!TH9*2.33</f>
        <v>39034.010183099599</v>
      </c>
      <c r="AL7" s="152">
        <f>'[6]WA-IndComSales-Annual'!TI9*2.33</f>
        <v>0</v>
      </c>
      <c r="AM7" s="152">
        <f>'[6]WA-IndComSales-Annual'!TJ9*2.33</f>
        <v>0</v>
      </c>
      <c r="AN7" s="152">
        <f>'[6]WA-IndComSales-Annual'!TK9*2.33</f>
        <v>0</v>
      </c>
      <c r="AO7" s="152">
        <f>'[6]WA-IndComSales-Annual'!TL9*2.33</f>
        <v>0</v>
      </c>
      <c r="AP7" s="152">
        <f>'[6]WA-IndComSales-Annual'!TM9*2.33</f>
        <v>0</v>
      </c>
      <c r="AQ7" s="152">
        <f>'[6]WA-IndComSales-Annual'!TN9*2.33</f>
        <v>0</v>
      </c>
      <c r="AR7" s="152">
        <f>'[6]WA-IndComSales-Annual'!TO9*2.33</f>
        <v>0</v>
      </c>
      <c r="AT7">
        <v>0</v>
      </c>
      <c r="AU7" s="152">
        <f>'[6]WA-Transport-Annual'!TE9*1.79</f>
        <v>141791.78856299599</v>
      </c>
      <c r="AV7" s="152">
        <f>'[6]WA-Transport-Annual'!TF9*1.79</f>
        <v>283583.5771259953</v>
      </c>
      <c r="AW7" s="152">
        <f>'[6]WA-Transport-Annual'!TG9*1.79</f>
        <v>141791.78856299599</v>
      </c>
      <c r="AX7" s="152">
        <f>'[6]WA-Transport-Annual'!TH9*1.79</f>
        <v>141791.78856299599</v>
      </c>
      <c r="AY7" s="152">
        <f>'[6]WA-Transport-Annual'!TI9*1.79</f>
        <v>0</v>
      </c>
      <c r="AZ7" s="152">
        <f>'[6]WA-Transport-Annual'!TJ9*1.79</f>
        <v>0</v>
      </c>
      <c r="BA7" s="152">
        <f>'[6]WA-Transport-Annual'!TK9*1.79</f>
        <v>141791.78856299599</v>
      </c>
      <c r="BB7" s="152">
        <f>'[6]WA-Transport-Annual'!TL9*1.79</f>
        <v>141791.78856299599</v>
      </c>
      <c r="BC7" s="152">
        <f>'[6]WA-Transport-Annual'!TM9*1.79</f>
        <v>70895.894281497996</v>
      </c>
      <c r="BE7" s="133">
        <f t="shared" si="1"/>
        <v>271253.02063684503</v>
      </c>
      <c r="BF7" s="133">
        <f t="shared" si="0"/>
        <v>5113877.7464158293</v>
      </c>
      <c r="BG7" s="133">
        <f t="shared" si="0"/>
        <v>4194669.7127625067</v>
      </c>
      <c r="BH7" s="133">
        <f t="shared" si="0"/>
        <v>4115012.7104424513</v>
      </c>
      <c r="BI7" s="133">
        <f t="shared" si="0"/>
        <v>4020103.4968749546</v>
      </c>
      <c r="BJ7" s="133">
        <f t="shared" si="0"/>
        <v>0</v>
      </c>
      <c r="BK7" s="133">
        <f t="shared" si="0"/>
        <v>0</v>
      </c>
      <c r="BL7" s="133">
        <f t="shared" si="0"/>
        <v>4496883.096208727</v>
      </c>
      <c r="BM7" s="133">
        <f t="shared" si="0"/>
        <v>4496883.096208727</v>
      </c>
      <c r="BN7" s="133">
        <f t="shared" si="0"/>
        <v>1164808.448527812</v>
      </c>
      <c r="BP7" s="154">
        <f>BE7/[4]Annual!HZ7</f>
        <v>2.5380080159880854E-2</v>
      </c>
      <c r="BQ7" s="154">
        <f>BF7/[4]Annual!IA7</f>
        <v>0.50253312816370821</v>
      </c>
      <c r="BR7" s="154">
        <f>BG7/[4]Annual!IB7</f>
        <v>0.41310405205744344</v>
      </c>
      <c r="BS7" s="154">
        <f>BH7/[4]Annual!IC7</f>
        <v>0.41356774837277738</v>
      </c>
      <c r="BT7" s="154">
        <f>BI7/[4]Annual!ID7</f>
        <v>0.40458025824874938</v>
      </c>
      <c r="BU7" s="154">
        <f>BJ7/[4]Annual!IE7</f>
        <v>0</v>
      </c>
      <c r="BV7" s="154">
        <f>BK7/[4]Annual!IF7</f>
        <v>0</v>
      </c>
      <c r="BW7" s="154">
        <f>BL7/[4]Annual!IG7</f>
        <v>0.43783595496703431</v>
      </c>
      <c r="BX7" s="154">
        <f>BM7/[4]Annual!IH7</f>
        <v>0.43783595496703431</v>
      </c>
      <c r="BY7" s="154">
        <f>BN7/[4]Annual!II7</f>
        <v>0.11330557040635723</v>
      </c>
    </row>
    <row r="8" spans="1:77" x14ac:dyDescent="0.25">
      <c r="A8">
        <v>2028</v>
      </c>
      <c r="B8" s="133">
        <f>('[2]WA Res Incremental EE'!ST8+'[2]WA Com Incremental EE'!SI8)*'[5]Energy Efficiency'!$BR$9</f>
        <v>336080.7275745137</v>
      </c>
      <c r="C8" s="133">
        <f>('[2]WA Res Incremental EE'!SU8+'[2]WA Com Incremental EE'!SJ8)*'[5]Energy Efficiency'!$BR$9</f>
        <v>336080.7275745137</v>
      </c>
      <c r="D8" s="133">
        <f>('[2]WA Res Incremental EE'!SV8+'[2]WA Com Incremental EE'!SK8)*'[5]Energy Efficiency'!$BR$9</f>
        <v>2156381.473079477</v>
      </c>
      <c r="E8" s="133">
        <f>('[2]WA Res Incremental EE'!SW8+'[2]WA Com Incremental EE'!SL8)*'[5]Energy Efficiency'!$BR$9</f>
        <v>336080.7275745137</v>
      </c>
      <c r="F8" s="133">
        <f>('[2]WA Res Incremental EE'!SX8+'[2]WA Com Incremental EE'!SM8)*'[5]Energy Efficiency'!$BR$9</f>
        <v>82850.633796123046</v>
      </c>
      <c r="G8" s="133">
        <v>0</v>
      </c>
      <c r="H8" s="133">
        <v>0</v>
      </c>
      <c r="I8" s="133">
        <f>('[2]WA Res Incremental EE'!TA8+'[2]WA Com Incremental EE'!SP8)*'[5]Energy Efficiency'!$BR$9</f>
        <v>336080.7275745137</v>
      </c>
      <c r="J8" s="133">
        <f>('[2]WA Res Incremental EE'!TB8+'[2]WA Com Incremental EE'!SQ8)*'[5]Energy Efficiency'!$BR$9</f>
        <v>336080.7275745137</v>
      </c>
      <c r="K8" s="133">
        <f>('[2]WA Res Incremental EE'!TC8+'[2]WA Com Incremental EE'!SR8)*'[5]Energy Efficiency'!$BR$9</f>
        <v>336080.7275745137</v>
      </c>
      <c r="L8" s="133"/>
      <c r="M8" s="133">
        <f>('[2]WA-Res-Existing Cust'!SO42*0.87*'[2]Key Inputs'!$C$74)+('[2]WA-Res-Existing Cust'!SO170*0.67*'[2]Key Inputs'!$C$75)+('[2]WA-Res-Cust Growth'!SQ40*0.87*'[2]Key Inputs'!$C$74)+('[2]WA-Res-Cust Growth'!SQ168*0.87*'[2]Key Inputs'!$C$75)+('[2]WA-Com-Existing Cust'!SO42*0.87*'[2]Key Inputs'!$C$78)+('[2]WA-Com-Cust Growth'!SQ40*0.87*'[2]Key Inputs'!$C$78)</f>
        <v>0</v>
      </c>
      <c r="N8" s="133">
        <f>('[2]WA-Res-Existing Cust'!SP42*0.87*'[2]Key Inputs'!$C$74)+('[2]WA-Res-Existing Cust'!SP170*0.67*'[2]Key Inputs'!$C$75)+('[2]WA-Res-Cust Growth'!SR40*0.87*'[2]Key Inputs'!$C$74)+('[2]WA-Res-Cust Growth'!SR168*0.87*'[2]Key Inputs'!$C$75)+('[2]WA-Com-Existing Cust'!SP42*0.87*'[2]Key Inputs'!$C$78)+('[2]WA-Com-Cust Growth'!SR40*0.87*'[2]Key Inputs'!$C$78)</f>
        <v>5187916.6959666945</v>
      </c>
      <c r="O8" s="133">
        <f>('[2]WA-Res-Existing Cust'!SQ42*0.87*'[2]Key Inputs'!$C$74)+('[2]WA-Res-Existing Cust'!SQ170*0.67*'[2]Key Inputs'!$C$75)+('[2]WA-Res-Cust Growth'!SS40*0.87*'[2]Key Inputs'!$C$74)+('[2]WA-Res-Cust Growth'!SS168*0.87*'[2]Key Inputs'!$C$75)+('[2]WA-Com-Existing Cust'!SQ42*0.87*'[2]Key Inputs'!$C$78)+('[2]WA-Com-Cust Growth'!SS40*0.87*'[2]Key Inputs'!$C$78)</f>
        <v>2468678.3479833473</v>
      </c>
      <c r="P8" s="133">
        <f>('[2]WA-Res-Existing Cust'!SR42*0.87*'[2]Key Inputs'!$C$74)+('[2]WA-Res-Existing Cust'!SR170*0.67*'[2]Key Inputs'!$C$75)+('[2]WA-Res-Cust Growth'!ST40*0.87*'[2]Key Inputs'!$C$74)+('[2]WA-Res-Cust Growth'!ST168*0.87*'[2]Key Inputs'!$C$75)+('[2]WA-Com-Existing Cust'!SR42*0.87*'[2]Key Inputs'!$C$78)+('[2]WA-Com-Cust Growth'!ST40*0.87*'[2]Key Inputs'!$C$78)</f>
        <v>2505600</v>
      </c>
      <c r="Q8" s="133">
        <f>('[2]WA-Res-Existing Cust'!SS42*0.87*'[2]Key Inputs'!$C$74)+('[2]WA-Res-Existing Cust'!SS170*0.67*'[2]Key Inputs'!$C$75)+('[2]WA-Res-Cust Growth'!SU40*0.87*'[2]Key Inputs'!$C$74)+('[2]WA-Res-Cust Growth'!SU168*0.87*'[2]Key Inputs'!$C$75)+('[2]WA-Com-Existing Cust'!SS42*0.87*'[2]Key Inputs'!$C$78)+('[2]WA-Com-Cust Growth'!SU40*0.87*'[2]Key Inputs'!$C$78)</f>
        <v>4436236.6959666945</v>
      </c>
      <c r="R8" s="133">
        <f>('[2]WA-Res-Existing Cust'!ST42*0.87*'[2]Key Inputs'!$C$74)+('[2]WA-Res-Existing Cust'!ST170*0.67*'[2]Key Inputs'!$C$75)+('[2]WA-Res-Cust Growth'!SV40*0.87*'[2]Key Inputs'!$C$74)+('[2]WA-Res-Cust Growth'!SV168*0.87*'[2]Key Inputs'!$C$75)+('[2]WA-Com-Existing Cust'!ST42*0.87*'[2]Key Inputs'!$C$78)+('[2]WA-Com-Cust Growth'!SV40*0.87*'[2]Key Inputs'!$C$78)</f>
        <v>0</v>
      </c>
      <c r="S8" s="133">
        <f>('[2]WA-Res-Existing Cust'!SU42*0.87*'[2]Key Inputs'!$C$74)+('[2]WA-Res-Existing Cust'!SU170*0.67*'[2]Key Inputs'!$C$75)+('[2]WA-Res-Cust Growth'!SW40*0.87*'[2]Key Inputs'!$C$74)+('[2]WA-Res-Cust Growth'!SW168*0.87*'[2]Key Inputs'!$C$75)+('[2]WA-Com-Existing Cust'!SU42*0.87*'[2]Key Inputs'!$C$78)+('[2]WA-Com-Cust Growth'!SW40*0.87*'[2]Key Inputs'!$C$78)</f>
        <v>0</v>
      </c>
      <c r="T8" s="133">
        <f>('[2]WA-Res-Existing Cust'!SV42*0.87*'[2]Key Inputs'!$C$74)+('[2]WA-Res-Existing Cust'!SV170*0.67*'[2]Key Inputs'!$C$75)+('[2]WA-Res-Cust Growth'!SX40*0.87*'[2]Key Inputs'!$C$74)+('[2]WA-Res-Cust Growth'!SX168*0.87*'[2]Key Inputs'!$C$75)+('[2]WA-Com-Existing Cust'!SV42*0.87*'[2]Key Inputs'!$C$78)+('[2]WA-Com-Cust Growth'!SX40*0.87*'[2]Key Inputs'!$C$78)</f>
        <v>4937356.6959666945</v>
      </c>
      <c r="U8" s="133">
        <f>('[2]WA-Res-Existing Cust'!SW42*0.87*'[2]Key Inputs'!$C$74)+('[2]WA-Res-Existing Cust'!SW170*0.67*'[2]Key Inputs'!$C$75)+('[2]WA-Res-Cust Growth'!SY40*0.87*'[2]Key Inputs'!$C$74)+('[2]WA-Res-Cust Growth'!SY168*0.87*'[2]Key Inputs'!$C$75)+('[2]WA-Com-Existing Cust'!SW42*0.87*'[2]Key Inputs'!$C$78)+('[2]WA-Com-Cust Growth'!SY40*0.87*'[2]Key Inputs'!$C$78)</f>
        <v>4937356.6959666945</v>
      </c>
      <c r="V8" s="133">
        <f>('[2]WA-Res-Existing Cust'!SX42*0.87*'[2]Key Inputs'!$C$74)+('[2]WA-Res-Existing Cust'!SX170*0.67*'[2]Key Inputs'!$C$75)+('[2]WA-Res-Cust Growth'!SZ40*0.87*'[2]Key Inputs'!$C$74)+('[2]WA-Res-Cust Growth'!SZ168*0.87*'[2]Key Inputs'!$C$75)+('[2]WA-Com-Existing Cust'!SX42*0.87*'[2]Key Inputs'!$C$78)+('[2]WA-Com-Cust Growth'!SZ40*0.87*'[2]Key Inputs'!$C$78)</f>
        <v>626400</v>
      </c>
      <c r="X8" s="63">
        <f>(('[2]WA-Res-Existing Cust'!SO106+'[2]WA-Res-Cust Growth'!SQ104)*'[2]Key Inputs'!$C$73)+(('[2]WA-Com-Existing Cust'!SO106+'[2]WA-Com-Cust Growth'!SQ104)*'[2]Key Inputs'!$C$77)</f>
        <v>0</v>
      </c>
      <c r="Y8" s="63">
        <f>(('[2]WA-Res-Existing Cust'!SP106+'[2]WA-Res-Cust Growth'!SR104)*'[2]Key Inputs'!$C$73)+(('[2]WA-Com-Existing Cust'!SP106+'[2]WA-Com-Cust Growth'!SR104)*'[2]Key Inputs'!$C$77)</f>
        <v>664384.81581254699</v>
      </c>
      <c r="Z8" s="63">
        <f>(('[2]WA-Res-Existing Cust'!SQ106+'[2]WA-Res-Cust Growth'!SS104)*'[2]Key Inputs'!$C$73)+(('[2]WA-Com-Existing Cust'!SQ106+'[2]WA-Com-Cust Growth'!SS104)*'[2]Key Inputs'!$C$77)</f>
        <v>251874.50060015795</v>
      </c>
      <c r="AA8" s="63">
        <f>(('[2]WA-Res-Existing Cust'!SR106+'[2]WA-Res-Cust Growth'!ST104)*'[2]Key Inputs'!$C$73)+(('[2]WA-Com-Existing Cust'!SR106+'[2]WA-Com-Cust Growth'!ST104)*'[2]Key Inputs'!$C$77)</f>
        <v>1606358.1461223108</v>
      </c>
      <c r="AB8" s="63">
        <f>(('[2]WA-Res-Existing Cust'!SS106+'[2]WA-Res-Cust Growth'!SU104)*'[2]Key Inputs'!$C$73)+(('[2]WA-Com-Existing Cust'!SS106+'[2]WA-Com-Cust Growth'!SU104)*'[2]Key Inputs'!$C$77)</f>
        <v>481907.44383669324</v>
      </c>
      <c r="AC8" s="63">
        <f>(('[2]WA-Res-Existing Cust'!ST106+'[2]WA-Res-Cust Growth'!SV104)*'[2]Key Inputs'!$C$73)+(('[2]WA-Com-Existing Cust'!ST106+'[2]WA-Com-Cust Growth'!SV104)*'[2]Key Inputs'!$C$77)</f>
        <v>0</v>
      </c>
      <c r="AD8" s="63">
        <f>(('[2]WA-Res-Existing Cust'!SU106+'[2]WA-Res-Cust Growth'!SW104)*'[2]Key Inputs'!$C$73)+(('[2]WA-Com-Existing Cust'!SU106+'[2]WA-Com-Cust Growth'!SW104)*'[2]Key Inputs'!$C$77)</f>
        <v>0</v>
      </c>
      <c r="AE8" s="63">
        <f>(('[2]WA-Res-Existing Cust'!SV106+'[2]WA-Res-Cust Growth'!SX104)*'[2]Key Inputs'!$C$73)+(('[2]WA-Com-Existing Cust'!SV106+'[2]WA-Com-Cust Growth'!SX104)*'[2]Key Inputs'!$C$77)</f>
        <v>503749.00120031589</v>
      </c>
      <c r="AF8" s="63">
        <f>(('[2]WA-Res-Existing Cust'!SW106+'[2]WA-Res-Cust Growth'!SY104)*'[2]Key Inputs'!$C$73)+(('[2]WA-Com-Existing Cust'!SW106+'[2]WA-Com-Cust Growth'!SY104)*'[2]Key Inputs'!$C$77)</f>
        <v>503749.00120031589</v>
      </c>
      <c r="AG8" s="63">
        <f>(('[2]WA-Res-Existing Cust'!SX106+'[2]WA-Res-Cust Growth'!SZ104)*'[2]Key Inputs'!$C$73)+(('[2]WA-Com-Existing Cust'!SX106+'[2]WA-Com-Cust Growth'!SZ104)*'[2]Key Inputs'!$C$77)</f>
        <v>401589.53653057769</v>
      </c>
      <c r="AI8" s="152">
        <f>'[6]WA-IndComSales-Annual'!TF10*2.33</f>
        <v>0</v>
      </c>
      <c r="AJ8" s="152">
        <f>'[6]WA-IndComSales-Annual'!TG10*2.33</f>
        <v>0</v>
      </c>
      <c r="AK8" s="152">
        <f>'[6]WA-IndComSales-Annual'!TH10*2.33</f>
        <v>39001.915411704016</v>
      </c>
      <c r="AL8" s="152">
        <f>'[6]WA-IndComSales-Annual'!TI10*2.33</f>
        <v>0</v>
      </c>
      <c r="AM8" s="152">
        <f>'[6]WA-IndComSales-Annual'!TJ10*2.33</f>
        <v>0</v>
      </c>
      <c r="AN8" s="152">
        <f>'[6]WA-IndComSales-Annual'!TK10*2.33</f>
        <v>0</v>
      </c>
      <c r="AO8" s="152">
        <f>'[6]WA-IndComSales-Annual'!TL10*2.33</f>
        <v>0</v>
      </c>
      <c r="AP8" s="152">
        <f>'[6]WA-IndComSales-Annual'!TM10*2.33</f>
        <v>0</v>
      </c>
      <c r="AQ8" s="152">
        <f>'[6]WA-IndComSales-Annual'!TN10*2.33</f>
        <v>0</v>
      </c>
      <c r="AR8" s="152">
        <f>'[6]WA-IndComSales-Annual'!TO10*2.33</f>
        <v>0</v>
      </c>
      <c r="AT8">
        <v>0</v>
      </c>
      <c r="AU8" s="152">
        <f>'[6]WA-Transport-Annual'!TE10*1.79</f>
        <v>145017.98396500415</v>
      </c>
      <c r="AV8" s="152">
        <f>'[6]WA-Transport-Annual'!TF10*1.79</f>
        <v>290035.96793000499</v>
      </c>
      <c r="AW8" s="152">
        <f>'[6]WA-Transport-Annual'!TG10*1.79</f>
        <v>145017.98396500415</v>
      </c>
      <c r="AX8" s="152">
        <f>'[6]WA-Transport-Annual'!TH10*1.79</f>
        <v>145017.98396500415</v>
      </c>
      <c r="AY8" s="152">
        <f>'[6]WA-Transport-Annual'!TI10*1.79</f>
        <v>0</v>
      </c>
      <c r="AZ8" s="152">
        <f>'[6]WA-Transport-Annual'!TJ10*1.79</f>
        <v>0</v>
      </c>
      <c r="BA8" s="152">
        <f>'[6]WA-Transport-Annual'!TK10*1.79</f>
        <v>145017.98396500415</v>
      </c>
      <c r="BB8" s="152">
        <f>'[6]WA-Transport-Annual'!TL10*1.79</f>
        <v>145017.98396500415</v>
      </c>
      <c r="BC8" s="152">
        <f>'[6]WA-Transport-Annual'!TM10*1.79</f>
        <v>72508.991982502077</v>
      </c>
      <c r="BE8" s="133">
        <f t="shared" si="1"/>
        <v>336080.7275745137</v>
      </c>
      <c r="BF8" s="133">
        <f t="shared" si="0"/>
        <v>6333400.2233187584</v>
      </c>
      <c r="BG8" s="133">
        <f t="shared" si="0"/>
        <v>5205972.2050046911</v>
      </c>
      <c r="BH8" s="133">
        <f t="shared" si="0"/>
        <v>4593056.8576618284</v>
      </c>
      <c r="BI8" s="133">
        <f t="shared" si="0"/>
        <v>5146012.7575645149</v>
      </c>
      <c r="BJ8" s="133">
        <f t="shared" si="0"/>
        <v>0</v>
      </c>
      <c r="BK8" s="133">
        <f t="shared" si="0"/>
        <v>0</v>
      </c>
      <c r="BL8" s="133">
        <f t="shared" si="0"/>
        <v>5922204.4087065272</v>
      </c>
      <c r="BM8" s="133">
        <f t="shared" si="0"/>
        <v>5922204.4087065272</v>
      </c>
      <c r="BN8" s="133">
        <f t="shared" si="0"/>
        <v>1436579.2560875935</v>
      </c>
      <c r="BP8" s="154">
        <f>BE8/[4]Annual!HZ8</f>
        <v>3.1063693927114791E-2</v>
      </c>
      <c r="BQ8" s="154">
        <f>BF8/[4]Annual!IA8</f>
        <v>0.62331730454211332</v>
      </c>
      <c r="BR8" s="154">
        <f>BG8/[4]Annual!IB8</f>
        <v>0.51270361132702924</v>
      </c>
      <c r="BS8" s="154">
        <f>BH8/[4]Annual!IC8</f>
        <v>0.46692197421535969</v>
      </c>
      <c r="BT8" s="154">
        <f>BI8/[4]Annual!ID8</f>
        <v>0.52363014496990878</v>
      </c>
      <c r="BU8" s="154">
        <f>BJ8/[4]Annual!IE8</f>
        <v>0</v>
      </c>
      <c r="BV8" s="154">
        <f>BK8/[4]Annual!IF8</f>
        <v>0</v>
      </c>
      <c r="BW8" s="154">
        <f>BL8/[4]Annual!IG8</f>
        <v>0.57623165223774164</v>
      </c>
      <c r="BX8" s="154">
        <f>BM8/[4]Annual!IH8</f>
        <v>0.57623165223774164</v>
      </c>
      <c r="BY8" s="154">
        <f>BN8/[4]Annual!II8</f>
        <v>0.13949225137985941</v>
      </c>
    </row>
    <row r="9" spans="1:77" x14ac:dyDescent="0.25">
      <c r="A9">
        <v>2029</v>
      </c>
      <c r="B9" s="133">
        <f>('[2]WA Res Incremental EE'!ST9+'[2]WA Com Incremental EE'!SI9)*'[5]Energy Efficiency'!$BR$9</f>
        <v>395809.11559853813</v>
      </c>
      <c r="C9" s="133">
        <f>('[2]WA Res Incremental EE'!SU9+'[2]WA Com Incremental EE'!SJ9)*'[5]Energy Efficiency'!$BR$9</f>
        <v>395809.11559853813</v>
      </c>
      <c r="D9" s="133">
        <f>('[2]WA Res Incremental EE'!SV9+'[2]WA Com Incremental EE'!SK9)*'[5]Energy Efficiency'!$BR$9</f>
        <v>2416736.6482922011</v>
      </c>
      <c r="E9" s="133">
        <f>('[2]WA Res Incremental EE'!SW9+'[2]WA Com Incremental EE'!SL9)*'[5]Energy Efficiency'!$BR$9</f>
        <v>395809.11559853813</v>
      </c>
      <c r="F9" s="133">
        <f>('[2]WA Res Incremental EE'!SX9+'[2]WA Com Incremental EE'!SM9)*'[5]Energy Efficiency'!$BR$9</f>
        <v>91726.560931945758</v>
      </c>
      <c r="G9" s="133">
        <v>0</v>
      </c>
      <c r="H9" s="133">
        <v>0</v>
      </c>
      <c r="I9" s="133">
        <f>('[2]WA Res Incremental EE'!TA9+'[2]WA Com Incremental EE'!SP9)*'[5]Energy Efficiency'!$BR$9</f>
        <v>395809.11559853813</v>
      </c>
      <c r="J9" s="133">
        <f>('[2]WA Res Incremental EE'!TB9+'[2]WA Com Incremental EE'!SQ9)*'[5]Energy Efficiency'!$BR$9</f>
        <v>395809.11559853813</v>
      </c>
      <c r="K9" s="133">
        <f>('[2]WA Res Incremental EE'!TC9+'[2]WA Com Incremental EE'!SR9)*'[5]Energy Efficiency'!$BR$9</f>
        <v>395809.11559853813</v>
      </c>
      <c r="L9" s="133"/>
      <c r="M9" s="133">
        <f>('[2]WA-Res-Existing Cust'!SO43*0.87*'[2]Key Inputs'!$C$74)+('[2]WA-Res-Existing Cust'!SO171*0.67*'[2]Key Inputs'!$C$75)+('[2]WA-Res-Cust Growth'!SQ41*0.87*'[2]Key Inputs'!$C$74)+('[2]WA-Res-Cust Growth'!SQ169*0.87*'[2]Key Inputs'!$C$75)+('[2]WA-Com-Existing Cust'!SO43*0.87*'[2]Key Inputs'!$C$78)+('[2]WA-Com-Cust Growth'!SQ41*0.87*'[2]Key Inputs'!$C$78)</f>
        <v>0</v>
      </c>
      <c r="N9" s="133">
        <f>('[2]WA-Res-Existing Cust'!SP43*0.87*'[2]Key Inputs'!$C$74)+('[2]WA-Res-Existing Cust'!SP171*0.67*'[2]Key Inputs'!$C$75)+('[2]WA-Res-Cust Growth'!SR41*0.87*'[2]Key Inputs'!$C$74)+('[2]WA-Res-Cust Growth'!SR169*0.87*'[2]Key Inputs'!$C$75)+('[2]WA-Com-Existing Cust'!SP43*0.87*'[2]Key Inputs'!$C$78)+('[2]WA-Com-Cust Growth'!SR41*0.87*'[2]Key Inputs'!$C$78)</f>
        <v>6292559.7586884154</v>
      </c>
      <c r="O9" s="133">
        <f>('[2]WA-Res-Existing Cust'!SQ43*0.87*'[2]Key Inputs'!$C$74)+('[2]WA-Res-Existing Cust'!SQ171*0.67*'[2]Key Inputs'!$C$75)+('[2]WA-Res-Cust Growth'!SS41*0.87*'[2]Key Inputs'!$C$74)+('[2]WA-Res-Cust Growth'!SS169*0.87*'[2]Key Inputs'!$C$75)+('[2]WA-Com-Existing Cust'!SQ43*0.87*'[2]Key Inputs'!$C$78)+('[2]WA-Com-Cust Growth'!SS41*0.87*'[2]Key Inputs'!$C$78)</f>
        <v>3353452.6648655124</v>
      </c>
      <c r="P9" s="133">
        <f>('[2]WA-Res-Existing Cust'!SR43*0.87*'[2]Key Inputs'!$C$74)+('[2]WA-Res-Existing Cust'!SR171*0.67*'[2]Key Inputs'!$C$75)+('[2]WA-Res-Cust Growth'!ST41*0.87*'[2]Key Inputs'!$C$74)+('[2]WA-Res-Cust Growth'!ST169*0.87*'[2]Key Inputs'!$C$75)+('[2]WA-Com-Existing Cust'!SR43*0.87*'[2]Key Inputs'!$C$78)+('[2]WA-Com-Cust Growth'!ST41*0.87*'[2]Key Inputs'!$C$78)</f>
        <v>2505600</v>
      </c>
      <c r="Q9" s="133">
        <f>('[2]WA-Res-Existing Cust'!SS43*0.87*'[2]Key Inputs'!$C$74)+('[2]WA-Res-Existing Cust'!SS171*0.67*'[2]Key Inputs'!$C$75)+('[2]WA-Res-Cust Growth'!SU41*0.87*'[2]Key Inputs'!$C$74)+('[2]WA-Res-Cust Growth'!SU169*0.87*'[2]Key Inputs'!$C$75)+('[2]WA-Com-Existing Cust'!SS43*0.87*'[2]Key Inputs'!$C$78)+('[2]WA-Com-Cust Growth'!SU41*0.87*'[2]Key Inputs'!$C$78)</f>
        <v>5540879.7586884154</v>
      </c>
      <c r="R9" s="133">
        <f>('[2]WA-Res-Existing Cust'!ST43*0.87*'[2]Key Inputs'!$C$74)+('[2]WA-Res-Existing Cust'!ST171*0.67*'[2]Key Inputs'!$C$75)+('[2]WA-Res-Cust Growth'!SV41*0.87*'[2]Key Inputs'!$C$74)+('[2]WA-Res-Cust Growth'!SV169*0.87*'[2]Key Inputs'!$C$75)+('[2]WA-Com-Existing Cust'!ST43*0.87*'[2]Key Inputs'!$C$78)+('[2]WA-Com-Cust Growth'!SV41*0.87*'[2]Key Inputs'!$C$78)</f>
        <v>0</v>
      </c>
      <c r="S9" s="133">
        <f>('[2]WA-Res-Existing Cust'!SU43*0.87*'[2]Key Inputs'!$C$74)+('[2]WA-Res-Existing Cust'!SU171*0.67*'[2]Key Inputs'!$C$75)+('[2]WA-Res-Cust Growth'!SW41*0.87*'[2]Key Inputs'!$C$74)+('[2]WA-Res-Cust Growth'!SW169*0.87*'[2]Key Inputs'!$C$75)+('[2]WA-Com-Existing Cust'!SU43*0.87*'[2]Key Inputs'!$C$78)+('[2]WA-Com-Cust Growth'!SW41*0.87*'[2]Key Inputs'!$C$78)</f>
        <v>0</v>
      </c>
      <c r="T9" s="133">
        <f>('[2]WA-Res-Existing Cust'!SV43*0.87*'[2]Key Inputs'!$C$74)+('[2]WA-Res-Existing Cust'!SV171*0.67*'[2]Key Inputs'!$C$75)+('[2]WA-Res-Cust Growth'!SX41*0.87*'[2]Key Inputs'!$C$74)+('[2]WA-Res-Cust Growth'!SX169*0.87*'[2]Key Inputs'!$C$75)+('[2]WA-Com-Existing Cust'!SV43*0.87*'[2]Key Inputs'!$C$78)+('[2]WA-Com-Cust Growth'!SX41*0.87*'[2]Key Inputs'!$C$78)</f>
        <v>6167279.7586884154</v>
      </c>
      <c r="U9" s="133">
        <f>('[2]WA-Res-Existing Cust'!SW43*0.87*'[2]Key Inputs'!$C$74)+('[2]WA-Res-Existing Cust'!SW171*0.67*'[2]Key Inputs'!$C$75)+('[2]WA-Res-Cust Growth'!SY41*0.87*'[2]Key Inputs'!$C$74)+('[2]WA-Res-Cust Growth'!SY169*0.87*'[2]Key Inputs'!$C$75)+('[2]WA-Com-Existing Cust'!SW43*0.87*'[2]Key Inputs'!$C$78)+('[2]WA-Com-Cust Growth'!SY41*0.87*'[2]Key Inputs'!$C$78)</f>
        <v>6167279.7586884154</v>
      </c>
      <c r="V9" s="133">
        <f>('[2]WA-Res-Existing Cust'!SX43*0.87*'[2]Key Inputs'!$C$74)+('[2]WA-Res-Existing Cust'!SX171*0.67*'[2]Key Inputs'!$C$75)+('[2]WA-Res-Cust Growth'!SZ41*0.87*'[2]Key Inputs'!$C$74)+('[2]WA-Res-Cust Growth'!SZ169*0.87*'[2]Key Inputs'!$C$75)+('[2]WA-Com-Existing Cust'!SX43*0.87*'[2]Key Inputs'!$C$78)+('[2]WA-Com-Cust Growth'!SZ41*0.87*'[2]Key Inputs'!$C$78)</f>
        <v>751680</v>
      </c>
      <c r="X9" s="63">
        <f>(('[2]WA-Res-Existing Cust'!SO107+'[2]WA-Res-Cust Growth'!SQ105)*'[2]Key Inputs'!$C$73)+(('[2]WA-Com-Existing Cust'!SO107+'[2]WA-Com-Cust Growth'!SQ105)*'[2]Key Inputs'!$C$77)</f>
        <v>0</v>
      </c>
      <c r="Y9" s="63">
        <f>(('[2]WA-Res-Existing Cust'!SP107+'[2]WA-Res-Cust Growth'!SR105)*'[2]Key Inputs'!$C$73)+(('[2]WA-Com-Existing Cust'!SP107+'[2]WA-Com-Cust Growth'!SR105)*'[2]Key Inputs'!$C$77)</f>
        <v>709839.12349664234</v>
      </c>
      <c r="Z9" s="63">
        <f>(('[2]WA-Res-Existing Cust'!SQ107+'[2]WA-Res-Cust Growth'!SS105)*'[2]Key Inputs'!$C$73)+(('[2]WA-Com-Existing Cust'!SQ107+'[2]WA-Com-Cust Growth'!SS105)*'[2]Key Inputs'!$C$77)</f>
        <v>288369.33367868379</v>
      </c>
      <c r="AA9" s="63">
        <f>(('[2]WA-Res-Existing Cust'!SR107+'[2]WA-Res-Cust Growth'!ST105)*'[2]Key Inputs'!$C$73)+(('[2]WA-Com-Existing Cust'!SR107+'[2]WA-Com-Cust Growth'!ST105)*'[2]Key Inputs'!$C$77)</f>
        <v>1605008.4629328819</v>
      </c>
      <c r="AB9" s="63">
        <f>(('[2]WA-Res-Existing Cust'!SS107+'[2]WA-Res-Cust Growth'!SU105)*'[2]Key Inputs'!$C$73)+(('[2]WA-Com-Existing Cust'!SS107+'[2]WA-Com-Cust Growth'!SU105)*'[2]Key Inputs'!$C$77)</f>
        <v>481502.5388798645</v>
      </c>
      <c r="AC9" s="63">
        <f>(('[2]WA-Res-Existing Cust'!ST107+'[2]WA-Res-Cust Growth'!SV105)*'[2]Key Inputs'!$C$73)+(('[2]WA-Com-Existing Cust'!ST107+'[2]WA-Com-Cust Growth'!SV105)*'[2]Key Inputs'!$C$77)</f>
        <v>0</v>
      </c>
      <c r="AD9" s="63">
        <f>(('[2]WA-Res-Existing Cust'!SU107+'[2]WA-Res-Cust Growth'!SW105)*'[2]Key Inputs'!$C$73)+(('[2]WA-Com-Existing Cust'!SU107+'[2]WA-Com-Cust Growth'!SW105)*'[2]Key Inputs'!$C$77)</f>
        <v>0</v>
      </c>
      <c r="AE9" s="63">
        <f>(('[2]WA-Res-Existing Cust'!SV107+'[2]WA-Res-Cust Growth'!SX105)*'[2]Key Inputs'!$C$73)+(('[2]WA-Com-Existing Cust'!SV107+'[2]WA-Com-Cust Growth'!SX105)*'[2]Key Inputs'!$C$77)</f>
        <v>629588.70034999831</v>
      </c>
      <c r="AF9" s="63">
        <f>(('[2]WA-Res-Existing Cust'!SW107+'[2]WA-Res-Cust Growth'!SY105)*'[2]Key Inputs'!$C$73)+(('[2]WA-Com-Existing Cust'!SW107+'[2]WA-Com-Cust Growth'!SY105)*'[2]Key Inputs'!$C$77)</f>
        <v>629588.70034999831</v>
      </c>
      <c r="AG9" s="63">
        <f>(('[2]WA-Res-Existing Cust'!SX107+'[2]WA-Res-Cust Growth'!SZ105)*'[2]Key Inputs'!$C$73)+(('[2]WA-Com-Existing Cust'!SX107+'[2]WA-Com-Cust Growth'!SZ105)*'[2]Key Inputs'!$C$77)</f>
        <v>481502.5388798645</v>
      </c>
      <c r="AI9" s="152">
        <f>'[6]WA-IndComSales-Annual'!TF11*2.33</f>
        <v>0</v>
      </c>
      <c r="AJ9" s="152">
        <f>'[6]WA-IndComSales-Annual'!TG11*2.33</f>
        <v>0</v>
      </c>
      <c r="AK9" s="152">
        <f>'[6]WA-IndComSales-Annual'!TH11*2.33</f>
        <v>36240.44503309943</v>
      </c>
      <c r="AL9" s="152">
        <f>'[6]WA-IndComSales-Annual'!TI11*2.33</f>
        <v>0</v>
      </c>
      <c r="AM9" s="152">
        <f>'[6]WA-IndComSales-Annual'!TJ11*2.33</f>
        <v>0</v>
      </c>
      <c r="AN9" s="152">
        <f>'[6]WA-IndComSales-Annual'!TK11*2.33</f>
        <v>0</v>
      </c>
      <c r="AO9" s="152">
        <f>'[6]WA-IndComSales-Annual'!TL11*2.33</f>
        <v>0</v>
      </c>
      <c r="AP9" s="152">
        <f>'[6]WA-IndComSales-Annual'!TM11*2.33</f>
        <v>0</v>
      </c>
      <c r="AQ9" s="152">
        <f>'[6]WA-IndComSales-Annual'!TN11*2.33</f>
        <v>0</v>
      </c>
      <c r="AR9" s="152">
        <f>'[6]WA-IndComSales-Annual'!TO11*2.33</f>
        <v>0</v>
      </c>
      <c r="AT9">
        <v>0</v>
      </c>
      <c r="AU9" s="152">
        <f>'[6]WA-Transport-Annual'!TE11*1.79</f>
        <v>145080.2598549962</v>
      </c>
      <c r="AV9" s="152">
        <f>'[6]WA-Transport-Annual'!TF11*1.79</f>
        <v>290160.51970999571</v>
      </c>
      <c r="AW9" s="152">
        <f>'[6]WA-Transport-Annual'!TG11*1.79</f>
        <v>145080.2598549962</v>
      </c>
      <c r="AX9" s="152">
        <f>'[6]WA-Transport-Annual'!TH11*1.79</f>
        <v>145080.2598549962</v>
      </c>
      <c r="AY9" s="152">
        <f>'[6]WA-Transport-Annual'!TI11*1.79</f>
        <v>0</v>
      </c>
      <c r="AZ9" s="152">
        <f>'[6]WA-Transport-Annual'!TJ11*1.79</f>
        <v>0</v>
      </c>
      <c r="BA9" s="152">
        <f>'[6]WA-Transport-Annual'!TK11*1.79</f>
        <v>145080.2598549962</v>
      </c>
      <c r="BB9" s="152">
        <f>'[6]WA-Transport-Annual'!TL11*1.79</f>
        <v>145080.2598549962</v>
      </c>
      <c r="BC9" s="152">
        <f>'[6]WA-Transport-Annual'!TM11*1.79</f>
        <v>72540.129927496426</v>
      </c>
      <c r="BE9" s="133">
        <f t="shared" si="1"/>
        <v>395809.11559853813</v>
      </c>
      <c r="BF9" s="133">
        <f t="shared" si="0"/>
        <v>7543288.2576385923</v>
      </c>
      <c r="BG9" s="133">
        <f t="shared" si="0"/>
        <v>6384959.6115794927</v>
      </c>
      <c r="BH9" s="133">
        <f t="shared" si="0"/>
        <v>4651497.8383864164</v>
      </c>
      <c r="BI9" s="133">
        <f t="shared" si="0"/>
        <v>6259189.118355223</v>
      </c>
      <c r="BJ9" s="133">
        <f t="shared" si="0"/>
        <v>0</v>
      </c>
      <c r="BK9" s="133">
        <f t="shared" si="0"/>
        <v>0</v>
      </c>
      <c r="BL9" s="133">
        <f t="shared" si="0"/>
        <v>7337757.8344919486</v>
      </c>
      <c r="BM9" s="133">
        <f t="shared" si="0"/>
        <v>7337757.8344919486</v>
      </c>
      <c r="BN9" s="133">
        <f t="shared" si="0"/>
        <v>1701531.7844058992</v>
      </c>
      <c r="BP9" s="154">
        <f>BE9/[4]Annual!HZ9</f>
        <v>3.6592268395907027E-2</v>
      </c>
      <c r="BQ9" s="154">
        <f>BF9/[4]Annual!IA9</f>
        <v>0.75347816192831352</v>
      </c>
      <c r="BR9" s="154">
        <f>BG9/[4]Annual!IB9</f>
        <v>0.63700701794335501</v>
      </c>
      <c r="BS9" s="154">
        <f>BH9/[4]Annual!IC9</f>
        <v>0.48551749683622747</v>
      </c>
      <c r="BT9" s="154">
        <f>BI9/[4]Annual!ID9</f>
        <v>0.6525763556512979</v>
      </c>
      <c r="BU9" s="154">
        <f>BJ9/[4]Annual!IE9</f>
        <v>0</v>
      </c>
      <c r="BV9" s="154">
        <f>BK9/[4]Annual!IF9</f>
        <v>0</v>
      </c>
      <c r="BW9" s="154">
        <f>BL9/[4]Annual!IG9</f>
        <v>0.72352982658863074</v>
      </c>
      <c r="BX9" s="154">
        <f>BM9/[4]Annual!IH9</f>
        <v>0.72352982658863074</v>
      </c>
      <c r="BY9" s="154">
        <f>BN9/[4]Annual!II9</f>
        <v>0.16717630274113374</v>
      </c>
    </row>
    <row r="10" spans="1:77" x14ac:dyDescent="0.25">
      <c r="A10">
        <v>2030</v>
      </c>
      <c r="B10" s="133">
        <f>('[2]WA Res Incremental EE'!ST10+'[2]WA Com Incremental EE'!SI10)*'[5]Energy Efficiency'!$BR$9</f>
        <v>545088.16226035613</v>
      </c>
      <c r="C10" s="133">
        <f>('[2]WA Res Incremental EE'!SU10+'[2]WA Com Incremental EE'!SJ10)*'[5]Energy Efficiency'!$BR$9</f>
        <v>545088.16226035613</v>
      </c>
      <c r="D10" s="133">
        <f>('[2]WA Res Incremental EE'!SV10+'[2]WA Com Incremental EE'!SK10)*'[5]Energy Efficiency'!$BR$9</f>
        <v>2801246.5590682016</v>
      </c>
      <c r="E10" s="133">
        <f>('[2]WA Res Incremental EE'!SW10+'[2]WA Com Incremental EE'!SL10)*'[5]Energy Efficiency'!$BR$9</f>
        <v>545088.16226035613</v>
      </c>
      <c r="F10" s="133">
        <f>('[2]WA Res Incremental EE'!SX10+'[2]WA Com Incremental EE'!SM10)*'[5]Energy Efficiency'!$BR$9</f>
        <v>134490.18570706272</v>
      </c>
      <c r="G10" s="133">
        <v>0</v>
      </c>
      <c r="H10" s="133">
        <v>0</v>
      </c>
      <c r="I10" s="133">
        <f>('[2]WA Res Incremental EE'!TA10+'[2]WA Com Incremental EE'!SP10)*'[5]Energy Efficiency'!$BR$9</f>
        <v>545088.16226035613</v>
      </c>
      <c r="J10" s="133">
        <f>('[2]WA Res Incremental EE'!TB10+'[2]WA Com Incremental EE'!SQ10)*'[5]Energy Efficiency'!$BR$9</f>
        <v>545088.16226035613</v>
      </c>
      <c r="K10" s="133">
        <f>('[2]WA Res Incremental EE'!TC10+'[2]WA Com Incremental EE'!SR10)*'[5]Energy Efficiency'!$BR$9</f>
        <v>545088.16226035613</v>
      </c>
      <c r="L10" s="133"/>
      <c r="M10" s="133">
        <f>('[2]WA-Res-Existing Cust'!SO44*0.87*'[2]Key Inputs'!$C$74)+('[2]WA-Res-Existing Cust'!SO172*0.67*'[2]Key Inputs'!$C$75)+('[2]WA-Res-Cust Growth'!SQ42*0.87*'[2]Key Inputs'!$C$74)+('[2]WA-Res-Cust Growth'!SQ170*0.87*'[2]Key Inputs'!$C$75)+('[2]WA-Com-Existing Cust'!SO44*0.87*'[2]Key Inputs'!$C$78)+('[2]WA-Com-Cust Growth'!SQ42*0.87*'[2]Key Inputs'!$C$78)</f>
        <v>0</v>
      </c>
      <c r="N10" s="133">
        <f>('[2]WA-Res-Existing Cust'!SP44*0.87*'[2]Key Inputs'!$C$74)+('[2]WA-Res-Existing Cust'!SP172*0.67*'[2]Key Inputs'!$C$75)+('[2]WA-Res-Cust Growth'!SR42*0.87*'[2]Key Inputs'!$C$74)+('[2]WA-Res-Cust Growth'!SR170*0.87*'[2]Key Inputs'!$C$75)+('[2]WA-Com-Existing Cust'!SP44*0.87*'[2]Key Inputs'!$C$78)+('[2]WA-Com-Cust Growth'!SR42*0.87*'[2]Key Inputs'!$C$78)</f>
        <v>7395410.0845573451</v>
      </c>
      <c r="O10" s="133">
        <f>('[2]WA-Res-Existing Cust'!SQ44*0.87*'[2]Key Inputs'!$C$74)+('[2]WA-Res-Existing Cust'!SQ172*0.67*'[2]Key Inputs'!$C$75)+('[2]WA-Res-Cust Growth'!SS42*0.87*'[2]Key Inputs'!$C$74)+('[2]WA-Res-Cust Growth'!SS170*0.87*'[2]Key Inputs'!$C$75)+('[2]WA-Com-Existing Cust'!SQ44*0.87*'[2]Key Inputs'!$C$78)+('[2]WA-Com-Cust Growth'!SS42*0.87*'[2]Key Inputs'!$C$78)</f>
        <v>4236798.0507344073</v>
      </c>
      <c r="P10" s="133">
        <f>('[2]WA-Res-Existing Cust'!SR44*0.87*'[2]Key Inputs'!$C$74)+('[2]WA-Res-Existing Cust'!SR172*0.67*'[2]Key Inputs'!$C$75)+('[2]WA-Res-Cust Growth'!ST42*0.87*'[2]Key Inputs'!$C$74)+('[2]WA-Res-Cust Growth'!ST170*0.87*'[2]Key Inputs'!$C$75)+('[2]WA-Com-Existing Cust'!SR44*0.87*'[2]Key Inputs'!$C$78)+('[2]WA-Com-Cust Growth'!ST42*0.87*'[2]Key Inputs'!$C$78)</f>
        <v>2505600</v>
      </c>
      <c r="Q10" s="133">
        <f>('[2]WA-Res-Existing Cust'!SS44*0.87*'[2]Key Inputs'!$C$74)+('[2]WA-Res-Existing Cust'!SS172*0.67*'[2]Key Inputs'!$C$75)+('[2]WA-Res-Cust Growth'!SU42*0.87*'[2]Key Inputs'!$C$74)+('[2]WA-Res-Cust Growth'!SU170*0.87*'[2]Key Inputs'!$C$75)+('[2]WA-Com-Existing Cust'!SS44*0.87*'[2]Key Inputs'!$C$78)+('[2]WA-Com-Cust Growth'!SU42*0.87*'[2]Key Inputs'!$C$78)</f>
        <v>5536441.7371311206</v>
      </c>
      <c r="R10" s="133">
        <f>('[2]WA-Res-Existing Cust'!ST44*0.87*'[2]Key Inputs'!$C$74)+('[2]WA-Res-Existing Cust'!ST172*0.67*'[2]Key Inputs'!$C$75)+('[2]WA-Res-Cust Growth'!SV42*0.87*'[2]Key Inputs'!$C$74)+('[2]WA-Res-Cust Growth'!SV170*0.87*'[2]Key Inputs'!$C$75)+('[2]WA-Com-Existing Cust'!ST44*0.87*'[2]Key Inputs'!$C$78)+('[2]WA-Com-Cust Growth'!SV42*0.87*'[2]Key Inputs'!$C$78)</f>
        <v>0</v>
      </c>
      <c r="S10" s="133">
        <f>('[2]WA-Res-Existing Cust'!SU44*0.87*'[2]Key Inputs'!$C$74)+('[2]WA-Res-Existing Cust'!SU172*0.67*'[2]Key Inputs'!$C$75)+('[2]WA-Res-Cust Growth'!SW42*0.87*'[2]Key Inputs'!$C$74)+('[2]WA-Res-Cust Growth'!SW170*0.87*'[2]Key Inputs'!$C$75)+('[2]WA-Com-Existing Cust'!SU44*0.87*'[2]Key Inputs'!$C$78)+('[2]WA-Com-Cust Growth'!SW42*0.87*'[2]Key Inputs'!$C$78)</f>
        <v>0</v>
      </c>
      <c r="T10" s="133">
        <f>('[2]WA-Res-Existing Cust'!SV44*0.87*'[2]Key Inputs'!$C$74)+('[2]WA-Res-Existing Cust'!SV172*0.67*'[2]Key Inputs'!$C$75)+('[2]WA-Res-Cust Growth'!SX42*0.87*'[2]Key Inputs'!$C$74)+('[2]WA-Res-Cust Growth'!SX170*0.87*'[2]Key Inputs'!$C$75)+('[2]WA-Com-Existing Cust'!SV44*0.87*'[2]Key Inputs'!$C$78)+('[2]WA-Com-Cust Growth'!SX42*0.87*'[2]Key Inputs'!$C$78)</f>
        <v>7395410.0845573451</v>
      </c>
      <c r="U10" s="133">
        <f>('[2]WA-Res-Existing Cust'!SW44*0.87*'[2]Key Inputs'!$C$74)+('[2]WA-Res-Existing Cust'!SW172*0.67*'[2]Key Inputs'!$C$75)+('[2]WA-Res-Cust Growth'!SY42*0.87*'[2]Key Inputs'!$C$74)+('[2]WA-Res-Cust Growth'!SY170*0.87*'[2]Key Inputs'!$C$75)+('[2]WA-Com-Existing Cust'!SW44*0.87*'[2]Key Inputs'!$C$78)+('[2]WA-Com-Cust Growth'!SY42*0.87*'[2]Key Inputs'!$C$78)</f>
        <v>7395410.0845573451</v>
      </c>
      <c r="V10" s="133">
        <f>('[2]WA-Res-Existing Cust'!SX44*0.87*'[2]Key Inputs'!$C$74)+('[2]WA-Res-Existing Cust'!SX172*0.67*'[2]Key Inputs'!$C$75)+('[2]WA-Res-Cust Growth'!SZ42*0.87*'[2]Key Inputs'!$C$74)+('[2]WA-Res-Cust Growth'!SZ170*0.87*'[2]Key Inputs'!$C$75)+('[2]WA-Com-Existing Cust'!SX44*0.87*'[2]Key Inputs'!$C$78)+('[2]WA-Com-Cust Growth'!SZ42*0.87*'[2]Key Inputs'!$C$78)</f>
        <v>751680</v>
      </c>
      <c r="X10" s="63">
        <f>(('[2]WA-Res-Existing Cust'!SO108+'[2]WA-Res-Cust Growth'!SQ106)*'[2]Key Inputs'!$C$73)+(('[2]WA-Com-Existing Cust'!SO108+'[2]WA-Com-Cust Growth'!SQ106)*'[2]Key Inputs'!$C$77)</f>
        <v>0</v>
      </c>
      <c r="Y10" s="63">
        <f>(('[2]WA-Res-Existing Cust'!SP108+'[2]WA-Res-Cust Growth'!SR106)*'[2]Key Inputs'!$C$73)+(('[2]WA-Com-Existing Cust'!SP108+'[2]WA-Com-Cust Growth'!SR106)*'[2]Key Inputs'!$C$77)</f>
        <v>755022.245604328</v>
      </c>
      <c r="Z10" s="63">
        <f>(('[2]WA-Res-Existing Cust'!SQ108+'[2]WA-Res-Cust Growth'!SS106)*'[2]Key Inputs'!$C$73)+(('[2]WA-Com-Existing Cust'!SQ108+'[2]WA-Com-Cust Growth'!SS106)*'[2]Key Inputs'!$C$77)</f>
        <v>324721.12375392346</v>
      </c>
      <c r="AA10" s="63">
        <f>(('[2]WA-Res-Existing Cust'!SR108+'[2]WA-Res-Cust Growth'!ST106)*'[2]Key Inputs'!$C$73)+(('[2]WA-Com-Existing Cust'!SR108+'[2]WA-Com-Cust Growth'!ST106)*'[2]Key Inputs'!$C$77)</f>
        <v>1603652.7951084173</v>
      </c>
      <c r="AB10" s="63">
        <f>(('[2]WA-Res-Existing Cust'!SS108+'[2]WA-Res-Cust Growth'!SU106)*'[2]Key Inputs'!$C$73)+(('[2]WA-Com-Existing Cust'!SS108+'[2]WA-Com-Cust Growth'!SU106)*'[2]Key Inputs'!$C$77)</f>
        <v>481095.83853252511</v>
      </c>
      <c r="AC10" s="63">
        <f>(('[2]WA-Res-Existing Cust'!ST108+'[2]WA-Res-Cust Growth'!SV106)*'[2]Key Inputs'!$C$73)+(('[2]WA-Com-Existing Cust'!ST108+'[2]WA-Com-Cust Growth'!SV106)*'[2]Key Inputs'!$C$77)</f>
        <v>0</v>
      </c>
      <c r="AD10" s="63">
        <f>(('[2]WA-Res-Existing Cust'!SU108+'[2]WA-Res-Cust Growth'!SW106)*'[2]Key Inputs'!$C$73)+(('[2]WA-Com-Existing Cust'!SU108+'[2]WA-Com-Cust Growth'!SW106)*'[2]Key Inputs'!$C$77)</f>
        <v>0</v>
      </c>
      <c r="AE10" s="63">
        <f>(('[2]WA-Res-Existing Cust'!SV108+'[2]WA-Res-Cust Growth'!SX106)*'[2]Key Inputs'!$C$73)+(('[2]WA-Com-Existing Cust'!SV108+'[2]WA-Com-Cust Growth'!SX106)*'[2]Key Inputs'!$C$77)</f>
        <v>755022.245604328</v>
      </c>
      <c r="AF10" s="63">
        <f>(('[2]WA-Res-Existing Cust'!SW108+'[2]WA-Res-Cust Growth'!SY106)*'[2]Key Inputs'!$C$73)+(('[2]WA-Com-Existing Cust'!SW108+'[2]WA-Com-Cust Growth'!SY106)*'[2]Key Inputs'!$C$77)</f>
        <v>755022.245604328</v>
      </c>
      <c r="AG10" s="63">
        <f>(('[2]WA-Res-Existing Cust'!SX108+'[2]WA-Res-Cust Growth'!SZ106)*'[2]Key Inputs'!$C$73)+(('[2]WA-Com-Existing Cust'!SX108+'[2]WA-Com-Cust Growth'!SZ106)*'[2]Key Inputs'!$C$77)</f>
        <v>481095.83853252511</v>
      </c>
      <c r="AI10" s="152">
        <f>'[6]WA-IndComSales-Annual'!TF12*2.33</f>
        <v>0</v>
      </c>
      <c r="AJ10" s="152">
        <f>'[6]WA-IndComSales-Annual'!TG12*2.33</f>
        <v>0</v>
      </c>
      <c r="AK10" s="152">
        <f>'[6]WA-IndComSales-Annual'!TH12*2.33</f>
        <v>36324.32370499691</v>
      </c>
      <c r="AL10" s="152">
        <f>'[6]WA-IndComSales-Annual'!TI12*2.33</f>
        <v>0</v>
      </c>
      <c r="AM10" s="152">
        <f>'[6]WA-IndComSales-Annual'!TJ12*2.33</f>
        <v>0</v>
      </c>
      <c r="AN10" s="152">
        <f>'[6]WA-IndComSales-Annual'!TK12*2.33</f>
        <v>0</v>
      </c>
      <c r="AO10" s="152">
        <f>'[6]WA-IndComSales-Annual'!TL12*2.33</f>
        <v>0</v>
      </c>
      <c r="AP10" s="152">
        <f>'[6]WA-IndComSales-Annual'!TM12*2.33</f>
        <v>0</v>
      </c>
      <c r="AQ10" s="152">
        <f>'[6]WA-IndComSales-Annual'!TN12*2.33</f>
        <v>0</v>
      </c>
      <c r="AR10" s="152">
        <f>'[6]WA-IndComSales-Annual'!TO12*2.33</f>
        <v>0</v>
      </c>
      <c r="AT10">
        <v>0</v>
      </c>
      <c r="AU10" s="152">
        <f>'[6]WA-Transport-Annual'!TE12*1.79</f>
        <v>148463.79518300018</v>
      </c>
      <c r="AV10" s="152">
        <f>'[6]WA-Transport-Annual'!TF12*1.79</f>
        <v>296927.59036600037</v>
      </c>
      <c r="AW10" s="152">
        <f>'[6]WA-Transport-Annual'!TG12*1.79</f>
        <v>148463.79518300018</v>
      </c>
      <c r="AX10" s="152">
        <f>'[6]WA-Transport-Annual'!TH12*1.79</f>
        <v>148463.79518300018</v>
      </c>
      <c r="AY10" s="152">
        <f>'[6]WA-Transport-Annual'!TI12*1.79</f>
        <v>0</v>
      </c>
      <c r="AZ10" s="152">
        <f>'[6]WA-Transport-Annual'!TJ12*1.79</f>
        <v>0</v>
      </c>
      <c r="BA10" s="152">
        <f>'[6]WA-Transport-Annual'!TK12*1.79</f>
        <v>148463.79518300018</v>
      </c>
      <c r="BB10" s="152">
        <f>'[6]WA-Transport-Annual'!TL12*1.79</f>
        <v>148463.79518300018</v>
      </c>
      <c r="BC10" s="152">
        <f>'[6]WA-Transport-Annual'!TM12*1.79</f>
        <v>74231.897591503439</v>
      </c>
      <c r="BE10" s="133">
        <f t="shared" si="1"/>
        <v>545088.16226035613</v>
      </c>
      <c r="BF10" s="133">
        <f t="shared" si="0"/>
        <v>8843984.2876050305</v>
      </c>
      <c r="BG10" s="133">
        <f t="shared" si="0"/>
        <v>7696017.6476275306</v>
      </c>
      <c r="BH10" s="133">
        <f t="shared" si="0"/>
        <v>4802804.7525517736</v>
      </c>
      <c r="BI10" s="133">
        <f t="shared" si="0"/>
        <v>6300491.5565537084</v>
      </c>
      <c r="BJ10" s="133">
        <f t="shared" si="0"/>
        <v>0</v>
      </c>
      <c r="BK10" s="133">
        <f t="shared" si="0"/>
        <v>0</v>
      </c>
      <c r="BL10" s="133">
        <f t="shared" si="0"/>
        <v>8843984.2876050305</v>
      </c>
      <c r="BM10" s="133">
        <f t="shared" si="0"/>
        <v>8843984.2876050305</v>
      </c>
      <c r="BN10" s="133">
        <f t="shared" si="0"/>
        <v>1852095.8983843846</v>
      </c>
      <c r="BP10" s="154">
        <f>BE10/[4]Annual!HZ10</f>
        <v>5.0092650895770939E-2</v>
      </c>
      <c r="BQ10" s="154">
        <f>BF10/[4]Annual!IA10</f>
        <v>0.89101947772721479</v>
      </c>
      <c r="BR10" s="154">
        <f>BG10/[4]Annual!IB10</f>
        <v>0.77316020522115525</v>
      </c>
      <c r="BS10" s="154">
        <f>BH10/[4]Annual!IC10</f>
        <v>0.510946586540725</v>
      </c>
      <c r="BT10" s="154">
        <f>BI10/[4]Annual!ID10</f>
        <v>0.66879227983405298</v>
      </c>
      <c r="BU10" s="154">
        <f>BJ10/[4]Annual!IE10</f>
        <v>0</v>
      </c>
      <c r="BV10" s="154">
        <f>BK10/[4]Annual!IF10</f>
        <v>0</v>
      </c>
      <c r="BW10" s="154">
        <f>BL10/[4]Annual!IG10</f>
        <v>0.87920816181815098</v>
      </c>
      <c r="BX10" s="154">
        <f>BM10/[4]Annual!IH10</f>
        <v>0.87920816181815098</v>
      </c>
      <c r="BY10" s="154">
        <f>BN10/[4]Annual!II10</f>
        <v>0.18302289968692667</v>
      </c>
    </row>
    <row r="11" spans="1:77" x14ac:dyDescent="0.25">
      <c r="A11">
        <v>2031</v>
      </c>
      <c r="B11" s="133">
        <f>('[2]WA Res Incremental EE'!ST11+'[2]WA Com Incremental EE'!SI11)*'[5]Energy Efficiency'!$BR$9</f>
        <v>626768.56128619483</v>
      </c>
      <c r="C11" s="133">
        <f>('[2]WA Res Incremental EE'!SU11+'[2]WA Com Incremental EE'!SJ11)*'[5]Energy Efficiency'!$BR$9</f>
        <v>626768.56128619483</v>
      </c>
      <c r="D11" s="133">
        <f>('[2]WA Res Incremental EE'!SV11+'[2]WA Com Incremental EE'!SK11)*'[5]Energy Efficiency'!$BR$9</f>
        <v>3082410.9633544483</v>
      </c>
      <c r="E11" s="133">
        <f>('[2]WA Res Incremental EE'!SW11+'[2]WA Com Incremental EE'!SL11)*'[5]Energy Efficiency'!$BR$9</f>
        <v>626768.56128619483</v>
      </c>
      <c r="F11" s="133">
        <f>('[2]WA Res Incremental EE'!SX11+'[2]WA Com Incremental EE'!SM11)*'[5]Energy Efficiency'!$BR$9</f>
        <v>140640.15424953727</v>
      </c>
      <c r="G11" s="133">
        <v>0</v>
      </c>
      <c r="H11" s="133">
        <v>0</v>
      </c>
      <c r="I11" s="133">
        <f>('[2]WA Res Incremental EE'!TA11+'[2]WA Com Incremental EE'!SP11)*'[5]Energy Efficiency'!$BR$9</f>
        <v>626768.56128619483</v>
      </c>
      <c r="J11" s="133">
        <f>('[2]WA Res Incremental EE'!TB11+'[2]WA Com Incremental EE'!SQ11)*'[5]Energy Efficiency'!$BR$9</f>
        <v>626768.56128619483</v>
      </c>
      <c r="K11" s="133">
        <f>('[2]WA Res Incremental EE'!TC11+'[2]WA Com Incremental EE'!SR11)*'[5]Energy Efficiency'!$BR$9</f>
        <v>626768.56128619483</v>
      </c>
      <c r="L11" s="133"/>
      <c r="M11" s="133">
        <f>('[2]WA-Res-Existing Cust'!SO45*0.87*'[2]Key Inputs'!$C$74)+('[2]WA-Res-Existing Cust'!SO173*0.67*'[2]Key Inputs'!$C$75)+('[2]WA-Res-Cust Growth'!SQ43*0.87*'[2]Key Inputs'!$C$74)+('[2]WA-Res-Cust Growth'!SQ171*0.87*'[2]Key Inputs'!$C$75)+('[2]WA-Com-Existing Cust'!SO45*0.87*'[2]Key Inputs'!$C$78)+('[2]WA-Com-Cust Growth'!SQ43*0.87*'[2]Key Inputs'!$C$78)</f>
        <v>0</v>
      </c>
      <c r="N11" s="133">
        <f>('[2]WA-Res-Existing Cust'!SP45*0.87*'[2]Key Inputs'!$C$74)+('[2]WA-Res-Existing Cust'!SP173*0.67*'[2]Key Inputs'!$C$75)+('[2]WA-Res-Cust Growth'!SR43*0.87*'[2]Key Inputs'!$C$74)+('[2]WA-Res-Cust Growth'!SR171*0.87*'[2]Key Inputs'!$C$75)+('[2]WA-Com-Existing Cust'!SP45*0.87*'[2]Key Inputs'!$C$78)+('[2]WA-Com-Cust Growth'!SR43*0.87*'[2]Key Inputs'!$C$78)</f>
        <v>7390085.7274710434</v>
      </c>
      <c r="O11" s="133">
        <f>('[2]WA-Res-Existing Cust'!SQ45*0.87*'[2]Key Inputs'!$C$74)+('[2]WA-Res-Existing Cust'!SQ173*0.67*'[2]Key Inputs'!$C$75)+('[2]WA-Res-Cust Growth'!SS43*0.87*'[2]Key Inputs'!$C$74)+('[2]WA-Res-Cust Growth'!SS171*0.87*'[2]Key Inputs'!$C$75)+('[2]WA-Com-Existing Cust'!SQ45*0.87*'[2]Key Inputs'!$C$78)+('[2]WA-Com-Cust Growth'!SS43*0.87*'[2]Key Inputs'!$C$78)</f>
        <v>5340004.3910611346</v>
      </c>
      <c r="P11" s="133">
        <f>('[2]WA-Res-Existing Cust'!SR45*0.87*'[2]Key Inputs'!$C$74)+('[2]WA-Res-Existing Cust'!SR173*0.67*'[2]Key Inputs'!$C$75)+('[2]WA-Res-Cust Growth'!ST43*0.87*'[2]Key Inputs'!$C$74)+('[2]WA-Res-Cust Growth'!ST171*0.87*'[2]Key Inputs'!$C$75)+('[2]WA-Com-Existing Cust'!SR45*0.87*'[2]Key Inputs'!$C$78)+('[2]WA-Com-Cust Growth'!ST43*0.87*'[2]Key Inputs'!$C$78)</f>
        <v>2505600</v>
      </c>
      <c r="Q11" s="133">
        <f>('[2]WA-Res-Existing Cust'!SS45*0.87*'[2]Key Inputs'!$C$74)+('[2]WA-Res-Existing Cust'!SS173*0.67*'[2]Key Inputs'!$C$75)+('[2]WA-Res-Cust Growth'!SU43*0.87*'[2]Key Inputs'!$C$74)+('[2]WA-Res-Cust Growth'!SU171*0.87*'[2]Key Inputs'!$C$75)+('[2]WA-Com-Existing Cust'!SS45*0.87*'[2]Key Inputs'!$C$78)+('[2]WA-Com-Cust Growth'!SU43*0.87*'[2]Key Inputs'!$C$78)</f>
        <v>5532004.7728925366</v>
      </c>
      <c r="R11" s="133">
        <f>('[2]WA-Res-Existing Cust'!ST45*0.87*'[2]Key Inputs'!$C$74)+('[2]WA-Res-Existing Cust'!ST173*0.67*'[2]Key Inputs'!$C$75)+('[2]WA-Res-Cust Growth'!SV43*0.87*'[2]Key Inputs'!$C$74)+('[2]WA-Res-Cust Growth'!SV171*0.87*'[2]Key Inputs'!$C$75)+('[2]WA-Com-Existing Cust'!ST45*0.87*'[2]Key Inputs'!$C$78)+('[2]WA-Com-Cust Growth'!SV43*0.87*'[2]Key Inputs'!$C$78)</f>
        <v>0</v>
      </c>
      <c r="S11" s="133">
        <f>('[2]WA-Res-Existing Cust'!SU45*0.87*'[2]Key Inputs'!$C$74)+('[2]WA-Res-Existing Cust'!SU173*0.67*'[2]Key Inputs'!$C$75)+('[2]WA-Res-Cust Growth'!SW43*0.87*'[2]Key Inputs'!$C$74)+('[2]WA-Res-Cust Growth'!SW171*0.87*'[2]Key Inputs'!$C$75)+('[2]WA-Com-Existing Cust'!SU45*0.87*'[2]Key Inputs'!$C$78)+('[2]WA-Com-Cust Growth'!SW43*0.87*'[2]Key Inputs'!$C$78)</f>
        <v>0</v>
      </c>
      <c r="T11" s="133">
        <f>('[2]WA-Res-Existing Cust'!SV45*0.87*'[2]Key Inputs'!$C$74)+('[2]WA-Res-Existing Cust'!SV173*0.67*'[2]Key Inputs'!$C$75)+('[2]WA-Res-Cust Growth'!SX43*0.87*'[2]Key Inputs'!$C$74)+('[2]WA-Res-Cust Growth'!SX171*0.87*'[2]Key Inputs'!$C$75)+('[2]WA-Com-Existing Cust'!SV45*0.87*'[2]Key Inputs'!$C$78)+('[2]WA-Com-Cust Growth'!SX43*0.87*'[2]Key Inputs'!$C$78)</f>
        <v>7390085.7274710434</v>
      </c>
      <c r="U11" s="133">
        <f>('[2]WA-Res-Existing Cust'!SW45*0.87*'[2]Key Inputs'!$C$74)+('[2]WA-Res-Existing Cust'!SW173*0.67*'[2]Key Inputs'!$C$75)+('[2]WA-Res-Cust Growth'!SY43*0.87*'[2]Key Inputs'!$C$74)+('[2]WA-Res-Cust Growth'!SY171*0.87*'[2]Key Inputs'!$C$75)+('[2]WA-Com-Existing Cust'!SW45*0.87*'[2]Key Inputs'!$C$78)+('[2]WA-Com-Cust Growth'!SY43*0.87*'[2]Key Inputs'!$C$78)</f>
        <v>7390085.7274710434</v>
      </c>
      <c r="V11" s="133">
        <f>('[2]WA-Res-Existing Cust'!SX45*0.87*'[2]Key Inputs'!$C$74)+('[2]WA-Res-Existing Cust'!SX173*0.67*'[2]Key Inputs'!$C$75)+('[2]WA-Res-Cust Growth'!SZ43*0.87*'[2]Key Inputs'!$C$74)+('[2]WA-Res-Cust Growth'!SZ171*0.87*'[2]Key Inputs'!$C$75)+('[2]WA-Com-Existing Cust'!SX45*0.87*'[2]Key Inputs'!$C$78)+('[2]WA-Com-Cust Growth'!SZ43*0.87*'[2]Key Inputs'!$C$78)</f>
        <v>751680</v>
      </c>
      <c r="X11" s="63">
        <f>(('[2]WA-Res-Existing Cust'!SO109+'[2]WA-Res-Cust Growth'!SQ107)*'[2]Key Inputs'!$C$73)+(('[2]WA-Com-Existing Cust'!SO109+'[2]WA-Com-Cust Growth'!SQ107)*'[2]Key Inputs'!$C$77)</f>
        <v>0</v>
      </c>
      <c r="Y11" s="63">
        <f>(('[2]WA-Res-Existing Cust'!SP109+'[2]WA-Res-Cust Growth'!SR107)*'[2]Key Inputs'!$C$73)+(('[2]WA-Com-Existing Cust'!SP109+'[2]WA-Com-Cust Growth'!SR107)*'[2]Key Inputs'!$C$77)</f>
        <v>754124.76836169139</v>
      </c>
      <c r="Z11" s="63">
        <f>(('[2]WA-Res-Existing Cust'!SQ109+'[2]WA-Res-Cust Growth'!SS107)*'[2]Key Inputs'!$C$73)+(('[2]WA-Com-Existing Cust'!SQ109+'[2]WA-Com-Cust Growth'!SS107)*'[2]Key Inputs'!$C$77)</f>
        <v>369863.53237704339</v>
      </c>
      <c r="AA11" s="63">
        <f>(('[2]WA-Res-Existing Cust'!SR109+'[2]WA-Res-Cust Growth'!ST107)*'[2]Key Inputs'!$C$73)+(('[2]WA-Com-Existing Cust'!SR109+'[2]WA-Com-Cust Growth'!ST107)*'[2]Key Inputs'!$C$77)</f>
        <v>1602298.3848737436</v>
      </c>
      <c r="AB11" s="63">
        <f>(('[2]WA-Res-Existing Cust'!SS109+'[2]WA-Res-Cust Growth'!SU107)*'[2]Key Inputs'!$C$73)+(('[2]WA-Com-Existing Cust'!SS109+'[2]WA-Com-Cust Growth'!SU107)*'[2]Key Inputs'!$C$77)</f>
        <v>480689.51546212309</v>
      </c>
      <c r="AC11" s="63">
        <f>(('[2]WA-Res-Existing Cust'!ST109+'[2]WA-Res-Cust Growth'!SV107)*'[2]Key Inputs'!$C$73)+(('[2]WA-Com-Existing Cust'!ST109+'[2]WA-Com-Cust Growth'!SV107)*'[2]Key Inputs'!$C$77)</f>
        <v>0</v>
      </c>
      <c r="AD11" s="63">
        <f>(('[2]WA-Res-Existing Cust'!SU109+'[2]WA-Res-Cust Growth'!SW107)*'[2]Key Inputs'!$C$73)+(('[2]WA-Com-Existing Cust'!SU109+'[2]WA-Com-Cust Growth'!SW107)*'[2]Key Inputs'!$C$77)</f>
        <v>0</v>
      </c>
      <c r="AE11" s="63">
        <f>(('[2]WA-Res-Existing Cust'!SV109+'[2]WA-Res-Cust Growth'!SX107)*'[2]Key Inputs'!$C$73)+(('[2]WA-Com-Existing Cust'!SV109+'[2]WA-Com-Cust Growth'!SX107)*'[2]Key Inputs'!$C$77)</f>
        <v>754124.76836169139</v>
      </c>
      <c r="AF11" s="63">
        <f>(('[2]WA-Res-Existing Cust'!SW109+'[2]WA-Res-Cust Growth'!SY107)*'[2]Key Inputs'!$C$73)+(('[2]WA-Com-Existing Cust'!SW109+'[2]WA-Com-Cust Growth'!SY107)*'[2]Key Inputs'!$C$77)</f>
        <v>754124.76836169139</v>
      </c>
      <c r="AG11" s="63">
        <f>(('[2]WA-Res-Existing Cust'!SX109+'[2]WA-Res-Cust Growth'!SZ107)*'[2]Key Inputs'!$C$73)+(('[2]WA-Com-Existing Cust'!SX109+'[2]WA-Com-Cust Growth'!SZ107)*'[2]Key Inputs'!$C$77)</f>
        <v>480689.51546212309</v>
      </c>
      <c r="AI11" s="152">
        <f>'[6]WA-IndComSales-Annual'!TF13*2.33</f>
        <v>0</v>
      </c>
      <c r="AJ11" s="152">
        <f>'[6]WA-IndComSales-Annual'!TG13*2.33</f>
        <v>0</v>
      </c>
      <c r="AK11" s="152">
        <f>'[6]WA-IndComSales-Annual'!TH13*2.33</f>
        <v>34893.844227302543</v>
      </c>
      <c r="AL11" s="152">
        <f>'[6]WA-IndComSales-Annual'!TI13*2.33</f>
        <v>0</v>
      </c>
      <c r="AM11" s="152">
        <f>'[6]WA-IndComSales-Annual'!TJ13*2.33</f>
        <v>0</v>
      </c>
      <c r="AN11" s="152">
        <f>'[6]WA-IndComSales-Annual'!TK13*2.33</f>
        <v>0</v>
      </c>
      <c r="AO11" s="152">
        <f>'[6]WA-IndComSales-Annual'!TL13*2.33</f>
        <v>0</v>
      </c>
      <c r="AP11" s="152">
        <f>'[6]WA-IndComSales-Annual'!TM13*2.33</f>
        <v>0</v>
      </c>
      <c r="AQ11" s="152">
        <f>'[6]WA-IndComSales-Annual'!TN13*2.33</f>
        <v>0</v>
      </c>
      <c r="AR11" s="152">
        <f>'[6]WA-IndComSales-Annual'!TO13*2.33</f>
        <v>0</v>
      </c>
      <c r="AT11">
        <v>0</v>
      </c>
      <c r="AU11" s="152">
        <f>'[6]WA-Transport-Annual'!TE13*1.79</f>
        <v>145542.87175099796</v>
      </c>
      <c r="AV11" s="152">
        <f>'[6]WA-Transport-Annual'!TF13*1.79</f>
        <v>291085.74350199592</v>
      </c>
      <c r="AW11" s="152">
        <f>'[6]WA-Transport-Annual'!TG13*1.79</f>
        <v>145542.87175099796</v>
      </c>
      <c r="AX11" s="152">
        <f>'[6]WA-Transport-Annual'!TH13*1.79</f>
        <v>145542.87175099796</v>
      </c>
      <c r="AY11" s="152">
        <f>'[6]WA-Transport-Annual'!TI13*1.79</f>
        <v>0</v>
      </c>
      <c r="AZ11" s="152">
        <f>'[6]WA-Transport-Annual'!TJ13*1.79</f>
        <v>0</v>
      </c>
      <c r="BA11" s="152">
        <f>'[6]WA-Transport-Annual'!TK13*1.79</f>
        <v>145542.87175099796</v>
      </c>
      <c r="BB11" s="152">
        <f>'[6]WA-Transport-Annual'!TL13*1.79</f>
        <v>145542.87175099796</v>
      </c>
      <c r="BC11" s="152">
        <f>'[6]WA-Transport-Annual'!TM13*1.79</f>
        <v>72771.435875497307</v>
      </c>
      <c r="BE11" s="133">
        <f t="shared" si="1"/>
        <v>626768.56128619483</v>
      </c>
      <c r="BF11" s="133">
        <f t="shared" si="0"/>
        <v>8916521.9288699273</v>
      </c>
      <c r="BG11" s="133">
        <f t="shared" si="0"/>
        <v>9118258.4745219257</v>
      </c>
      <c r="BH11" s="133">
        <f t="shared" si="0"/>
        <v>4880209.8179109367</v>
      </c>
      <c r="BI11" s="133">
        <f t="shared" si="0"/>
        <v>6298877.3143551955</v>
      </c>
      <c r="BJ11" s="133">
        <f t="shared" si="0"/>
        <v>0</v>
      </c>
      <c r="BK11" s="133">
        <f t="shared" si="0"/>
        <v>0</v>
      </c>
      <c r="BL11" s="133">
        <f t="shared" si="0"/>
        <v>8916521.9288699273</v>
      </c>
      <c r="BM11" s="133">
        <f t="shared" si="0"/>
        <v>8916521.9288699273</v>
      </c>
      <c r="BN11" s="133">
        <f t="shared" si="0"/>
        <v>1931909.5126238151</v>
      </c>
      <c r="BP11" s="154">
        <f>BE11/[4]Annual!HZ11</f>
        <v>5.7267765241675199E-2</v>
      </c>
      <c r="BQ11" s="154">
        <f>BF11/[4]Annual!IA11</f>
        <v>0.90628010609927623</v>
      </c>
      <c r="BR11" s="154">
        <f>BG11/[4]Annual!IB11</f>
        <v>0.922861654223887</v>
      </c>
      <c r="BS11" s="154">
        <f>BH11/[4]Annual!IC11</f>
        <v>0.52914491167517252</v>
      </c>
      <c r="BT11" s="154">
        <f>BI11/[4]Annual!ID11</f>
        <v>0.68074850809658416</v>
      </c>
      <c r="BU11" s="154">
        <f>BJ11/[4]Annual!IE11</f>
        <v>0</v>
      </c>
      <c r="BV11" s="154">
        <f>BK11/[4]Annual!IF11</f>
        <v>0</v>
      </c>
      <c r="BW11" s="154">
        <f>BL11/[4]Annual!IG11</f>
        <v>0.89437295917144777</v>
      </c>
      <c r="BX11" s="154">
        <f>BM11/[4]Annual!IH11</f>
        <v>0.89437295917144777</v>
      </c>
      <c r="BY11" s="154">
        <f>BN11/[4]Annual!II11</f>
        <v>0.19201841355468993</v>
      </c>
    </row>
    <row r="12" spans="1:77" x14ac:dyDescent="0.25">
      <c r="A12">
        <v>2032</v>
      </c>
      <c r="B12" s="133">
        <f>('[2]WA Res Incremental EE'!ST12+'[2]WA Com Incremental EE'!SI12)*'[5]Energy Efficiency'!$BR$9</f>
        <v>1062873.2574484663</v>
      </c>
      <c r="C12" s="133">
        <f>('[2]WA Res Incremental EE'!SU12+'[2]WA Com Incremental EE'!SJ12)*'[5]Energy Efficiency'!$BR$9</f>
        <v>1062873.2574484663</v>
      </c>
      <c r="D12" s="133">
        <f>('[2]WA Res Incremental EE'!SV12+'[2]WA Com Incremental EE'!SK12)*'[5]Energy Efficiency'!$BR$9</f>
        <v>3791285.3624959136</v>
      </c>
      <c r="E12" s="133">
        <f>('[2]WA Res Incremental EE'!SW12+'[2]WA Com Incremental EE'!SL12)*'[5]Energy Efficiency'!$BR$9</f>
        <v>1062873.2574484663</v>
      </c>
      <c r="F12" s="133">
        <f>('[2]WA Res Incremental EE'!SX12+'[2]WA Com Incremental EE'!SM12)*'[5]Energy Efficiency'!$BR$9</f>
        <v>265965.81256482174</v>
      </c>
      <c r="G12" s="133">
        <v>0</v>
      </c>
      <c r="H12" s="133">
        <v>0</v>
      </c>
      <c r="I12" s="133">
        <f>('[2]WA Res Incremental EE'!TA12+'[2]WA Com Incremental EE'!SP12)*'[5]Energy Efficiency'!$BR$9</f>
        <v>1062873.2574484663</v>
      </c>
      <c r="J12" s="133">
        <f>('[2]WA Res Incremental EE'!TB12+'[2]WA Com Incremental EE'!SQ12)*'[5]Energy Efficiency'!$BR$9</f>
        <v>1062873.2574484663</v>
      </c>
      <c r="K12" s="133">
        <f>('[2]WA Res Incremental EE'!TC12+'[2]WA Com Incremental EE'!SR12)*'[5]Energy Efficiency'!$BR$9</f>
        <v>1062873.2574484663</v>
      </c>
      <c r="L12" s="133"/>
      <c r="M12" s="133">
        <f>('[2]WA-Res-Existing Cust'!SO46*0.87*'[2]Key Inputs'!$C$74)+('[2]WA-Res-Existing Cust'!SO174*0.67*'[2]Key Inputs'!$C$75)+('[2]WA-Res-Cust Growth'!SQ44*0.87*'[2]Key Inputs'!$C$74)+('[2]WA-Res-Cust Growth'!SQ172*0.87*'[2]Key Inputs'!$C$75)+('[2]WA-Com-Existing Cust'!SO46*0.87*'[2]Key Inputs'!$C$78)+('[2]WA-Com-Cust Growth'!SQ44*0.87*'[2]Key Inputs'!$C$78)</f>
        <v>0</v>
      </c>
      <c r="N12" s="133">
        <f>('[2]WA-Res-Existing Cust'!SP46*0.87*'[2]Key Inputs'!$C$74)+('[2]WA-Res-Existing Cust'!SP174*0.67*'[2]Key Inputs'!$C$75)+('[2]WA-Res-Cust Growth'!SR44*0.87*'[2]Key Inputs'!$C$74)+('[2]WA-Res-Cust Growth'!SR172*0.87*'[2]Key Inputs'!$C$75)+('[2]WA-Com-Existing Cust'!SP46*0.87*'[2]Key Inputs'!$C$78)+('[2]WA-Com-Cust Growth'!SR44*0.87*'[2]Key Inputs'!$C$78)</f>
        <v>7384779.4164053714</v>
      </c>
      <c r="O12" s="133">
        <f>('[2]WA-Res-Existing Cust'!SQ46*0.87*'[2]Key Inputs'!$C$74)+('[2]WA-Res-Existing Cust'!SQ174*0.67*'[2]Key Inputs'!$C$75)+('[2]WA-Res-Cust Growth'!SS44*0.87*'[2]Key Inputs'!$C$74)+('[2]WA-Res-Cust Growth'!SS172*0.87*'[2]Key Inputs'!$C$75)+('[2]WA-Com-Existing Cust'!SQ46*0.87*'[2]Key Inputs'!$C$78)+('[2]WA-Com-Cust Growth'!SS44*0.87*'[2]Key Inputs'!$C$78)</f>
        <v>6441452.7886450151</v>
      </c>
      <c r="P12" s="133">
        <f>('[2]WA-Res-Existing Cust'!SR46*0.87*'[2]Key Inputs'!$C$74)+('[2]WA-Res-Existing Cust'!SR174*0.67*'[2]Key Inputs'!$C$75)+('[2]WA-Res-Cust Growth'!ST44*0.87*'[2]Key Inputs'!$C$74)+('[2]WA-Res-Cust Growth'!ST172*0.87*'[2]Key Inputs'!$C$75)+('[2]WA-Com-Existing Cust'!SR46*0.87*'[2]Key Inputs'!$C$78)+('[2]WA-Com-Cust Growth'!ST44*0.87*'[2]Key Inputs'!$C$78)</f>
        <v>2505600</v>
      </c>
      <c r="Q12" s="133">
        <f>('[2]WA-Res-Existing Cust'!SS46*0.87*'[2]Key Inputs'!$C$74)+('[2]WA-Res-Existing Cust'!SS174*0.67*'[2]Key Inputs'!$C$75)+('[2]WA-Res-Cust Growth'!SU44*0.87*'[2]Key Inputs'!$C$74)+('[2]WA-Res-Cust Growth'!SU172*0.87*'[2]Key Inputs'!$C$75)+('[2]WA-Com-Existing Cust'!SS46*0.87*'[2]Key Inputs'!$C$78)+('[2]WA-Com-Cust Growth'!SU44*0.87*'[2]Key Inputs'!$C$78)</f>
        <v>5527582.8470044769</v>
      </c>
      <c r="R12" s="133">
        <f>('[2]WA-Res-Existing Cust'!ST46*0.87*'[2]Key Inputs'!$C$74)+('[2]WA-Res-Existing Cust'!ST174*0.67*'[2]Key Inputs'!$C$75)+('[2]WA-Res-Cust Growth'!SV44*0.87*'[2]Key Inputs'!$C$74)+('[2]WA-Res-Cust Growth'!SV172*0.87*'[2]Key Inputs'!$C$75)+('[2]WA-Com-Existing Cust'!ST46*0.87*'[2]Key Inputs'!$C$78)+('[2]WA-Com-Cust Growth'!SV44*0.87*'[2]Key Inputs'!$C$78)</f>
        <v>0</v>
      </c>
      <c r="S12" s="133">
        <f>('[2]WA-Res-Existing Cust'!SU46*0.87*'[2]Key Inputs'!$C$74)+('[2]WA-Res-Existing Cust'!SU174*0.67*'[2]Key Inputs'!$C$75)+('[2]WA-Res-Cust Growth'!SW44*0.87*'[2]Key Inputs'!$C$74)+('[2]WA-Res-Cust Growth'!SW172*0.87*'[2]Key Inputs'!$C$75)+('[2]WA-Com-Existing Cust'!SU46*0.87*'[2]Key Inputs'!$C$78)+('[2]WA-Com-Cust Growth'!SW44*0.87*'[2]Key Inputs'!$C$78)</f>
        <v>0</v>
      </c>
      <c r="T12" s="133">
        <f>('[2]WA-Res-Existing Cust'!SV46*0.87*'[2]Key Inputs'!$C$74)+('[2]WA-Res-Existing Cust'!SV174*0.67*'[2]Key Inputs'!$C$75)+('[2]WA-Res-Cust Growth'!SX44*0.87*'[2]Key Inputs'!$C$74)+('[2]WA-Res-Cust Growth'!SX172*0.87*'[2]Key Inputs'!$C$75)+('[2]WA-Com-Existing Cust'!SV46*0.87*'[2]Key Inputs'!$C$78)+('[2]WA-Com-Cust Growth'!SX44*0.87*'[2]Key Inputs'!$C$78)</f>
        <v>7384779.4164053714</v>
      </c>
      <c r="U12" s="133">
        <f>('[2]WA-Res-Existing Cust'!SW46*0.87*'[2]Key Inputs'!$C$74)+('[2]WA-Res-Existing Cust'!SW174*0.67*'[2]Key Inputs'!$C$75)+('[2]WA-Res-Cust Growth'!SY44*0.87*'[2]Key Inputs'!$C$74)+('[2]WA-Res-Cust Growth'!SY172*0.87*'[2]Key Inputs'!$C$75)+('[2]WA-Com-Existing Cust'!SW46*0.87*'[2]Key Inputs'!$C$78)+('[2]WA-Com-Cust Growth'!SY44*0.87*'[2]Key Inputs'!$C$78)</f>
        <v>7384779.4164053714</v>
      </c>
      <c r="V12" s="133">
        <f>('[2]WA-Res-Existing Cust'!SX46*0.87*'[2]Key Inputs'!$C$74)+('[2]WA-Res-Existing Cust'!SX174*0.67*'[2]Key Inputs'!$C$75)+('[2]WA-Res-Cust Growth'!SZ44*0.87*'[2]Key Inputs'!$C$74)+('[2]WA-Res-Cust Growth'!SZ172*0.87*'[2]Key Inputs'!$C$75)+('[2]WA-Com-Existing Cust'!SX46*0.87*'[2]Key Inputs'!$C$78)+('[2]WA-Com-Cust Growth'!SZ44*0.87*'[2]Key Inputs'!$C$78)</f>
        <v>751680</v>
      </c>
      <c r="X12" s="63">
        <f>(('[2]WA-Res-Existing Cust'!SO110+'[2]WA-Res-Cust Growth'!SQ108)*'[2]Key Inputs'!$C$73)+(('[2]WA-Com-Existing Cust'!SO110+'[2]WA-Com-Cust Growth'!SQ108)*'[2]Key Inputs'!$C$77)</f>
        <v>0</v>
      </c>
      <c r="Y12" s="63">
        <f>(('[2]WA-Res-Existing Cust'!SP110+'[2]WA-Res-Cust Growth'!SR108)*'[2]Key Inputs'!$C$73)+(('[2]WA-Com-Existing Cust'!SP110+'[2]WA-Com-Cust Growth'!SR108)*'[2]Key Inputs'!$C$77)</f>
        <v>753086.41239819338</v>
      </c>
      <c r="Z12" s="63">
        <f>(('[2]WA-Res-Existing Cust'!SQ110+'[2]WA-Res-Cust Growth'!SS108)*'[2]Key Inputs'!$C$73)+(('[2]WA-Com-Existing Cust'!SQ110+'[2]WA-Com-Cust Growth'!SS108)*'[2]Key Inputs'!$C$77)</f>
        <v>414709.75486968923</v>
      </c>
      <c r="AA12" s="63">
        <f>(('[2]WA-Res-Existing Cust'!SR110+'[2]WA-Res-Cust Growth'!ST108)*'[2]Key Inputs'!$C$73)+(('[2]WA-Com-Existing Cust'!SR110+'[2]WA-Com-Cust Growth'!ST108)*'[2]Key Inputs'!$C$77)</f>
        <v>1600949.4261219886</v>
      </c>
      <c r="AB12" s="63">
        <f>(('[2]WA-Res-Existing Cust'!SS110+'[2]WA-Res-Cust Growth'!SU108)*'[2]Key Inputs'!$C$73)+(('[2]WA-Com-Existing Cust'!SS110+'[2]WA-Com-Cust Growth'!SU108)*'[2]Key Inputs'!$C$77)</f>
        <v>480284.82783659652</v>
      </c>
      <c r="AC12" s="63">
        <f>(('[2]WA-Res-Existing Cust'!ST110+'[2]WA-Res-Cust Growth'!SV108)*'[2]Key Inputs'!$C$73)+(('[2]WA-Com-Existing Cust'!ST110+'[2]WA-Com-Cust Growth'!SV108)*'[2]Key Inputs'!$C$77)</f>
        <v>0</v>
      </c>
      <c r="AD12" s="63">
        <f>(('[2]WA-Res-Existing Cust'!SU110+'[2]WA-Res-Cust Growth'!SW108)*'[2]Key Inputs'!$C$73)+(('[2]WA-Com-Existing Cust'!SU110+'[2]WA-Com-Cust Growth'!SW108)*'[2]Key Inputs'!$C$77)</f>
        <v>0</v>
      </c>
      <c r="AE12" s="63">
        <f>(('[2]WA-Res-Existing Cust'!SV110+'[2]WA-Res-Cust Growth'!SX108)*'[2]Key Inputs'!$C$73)+(('[2]WA-Com-Existing Cust'!SV110+'[2]WA-Com-Cust Growth'!SX108)*'[2]Key Inputs'!$C$77)</f>
        <v>753086.41239819338</v>
      </c>
      <c r="AF12" s="63">
        <f>(('[2]WA-Res-Existing Cust'!SW110+'[2]WA-Res-Cust Growth'!SY108)*'[2]Key Inputs'!$C$73)+(('[2]WA-Com-Existing Cust'!SW110+'[2]WA-Com-Cust Growth'!SY108)*'[2]Key Inputs'!$C$77)</f>
        <v>753086.41239819338</v>
      </c>
      <c r="AG12" s="63">
        <f>(('[2]WA-Res-Existing Cust'!SX110+'[2]WA-Res-Cust Growth'!SZ108)*'[2]Key Inputs'!$C$73)+(('[2]WA-Com-Existing Cust'!SX110+'[2]WA-Com-Cust Growth'!SZ108)*'[2]Key Inputs'!$C$77)</f>
        <v>480284.82783659652</v>
      </c>
      <c r="AI12" s="152">
        <f>'[6]WA-IndComSales-Annual'!TF14*2.33</f>
        <v>0</v>
      </c>
      <c r="AJ12" s="152">
        <f>'[6]WA-IndComSales-Annual'!TG14*2.33</f>
        <v>0</v>
      </c>
      <c r="AK12" s="152">
        <f>'[6]WA-IndComSales-Annual'!TH14*2.33</f>
        <v>34225.039512796349</v>
      </c>
      <c r="AL12" s="152">
        <f>'[6]WA-IndComSales-Annual'!TI14*2.33</f>
        <v>0</v>
      </c>
      <c r="AM12" s="152">
        <f>'[6]WA-IndComSales-Annual'!TJ14*2.33</f>
        <v>0</v>
      </c>
      <c r="AN12" s="152">
        <f>'[6]WA-IndComSales-Annual'!TK14*2.33</f>
        <v>0</v>
      </c>
      <c r="AO12" s="152">
        <f>'[6]WA-IndComSales-Annual'!TL14*2.33</f>
        <v>0</v>
      </c>
      <c r="AP12" s="152">
        <f>'[6]WA-IndComSales-Annual'!TM14*2.33</f>
        <v>0</v>
      </c>
      <c r="AQ12" s="152">
        <f>'[6]WA-IndComSales-Annual'!TN14*2.33</f>
        <v>0</v>
      </c>
      <c r="AR12" s="152">
        <f>'[6]WA-IndComSales-Annual'!TO14*2.33</f>
        <v>0</v>
      </c>
      <c r="AT12">
        <v>0</v>
      </c>
      <c r="AU12" s="152">
        <f>'[6]WA-Transport-Annual'!TE14*1.79</f>
        <v>146758.95425399582</v>
      </c>
      <c r="AV12" s="152">
        <f>'[6]WA-Transport-Annual'!TF14*1.79</f>
        <v>293517.90850799164</v>
      </c>
      <c r="AW12" s="152">
        <f>'[6]WA-Transport-Annual'!TG14*1.79</f>
        <v>146758.95425399582</v>
      </c>
      <c r="AX12" s="152">
        <f>'[6]WA-Transport-Annual'!TH14*1.79</f>
        <v>146758.95425399582</v>
      </c>
      <c r="AY12" s="152">
        <f>'[6]WA-Transport-Annual'!TI14*1.79</f>
        <v>0</v>
      </c>
      <c r="AZ12" s="152">
        <f>'[6]WA-Transport-Annual'!TJ14*1.79</f>
        <v>0</v>
      </c>
      <c r="BA12" s="152">
        <f>'[6]WA-Transport-Annual'!TK14*1.79</f>
        <v>146758.95425399582</v>
      </c>
      <c r="BB12" s="152">
        <f>'[6]WA-Transport-Annual'!TL14*1.79</f>
        <v>146758.95425399582</v>
      </c>
      <c r="BC12" s="152">
        <f>'[6]WA-Transport-Annual'!TM14*1.79</f>
        <v>73379.47712699791</v>
      </c>
      <c r="BE12" s="133">
        <f t="shared" si="1"/>
        <v>1062873.2574484663</v>
      </c>
      <c r="BF12" s="133">
        <f t="shared" si="0"/>
        <v>9347498.0405060258</v>
      </c>
      <c r="BG12" s="133">
        <f t="shared" si="0"/>
        <v>10975190.854031404</v>
      </c>
      <c r="BH12" s="133">
        <f t="shared" si="0"/>
        <v>5316181.6378244506</v>
      </c>
      <c r="BI12" s="133">
        <f t="shared" si="0"/>
        <v>6420592.441659891</v>
      </c>
      <c r="BJ12" s="133">
        <f t="shared" si="0"/>
        <v>0</v>
      </c>
      <c r="BK12" s="133">
        <f t="shared" si="0"/>
        <v>0</v>
      </c>
      <c r="BL12" s="133">
        <f t="shared" si="0"/>
        <v>9347498.0405060258</v>
      </c>
      <c r="BM12" s="133">
        <f t="shared" si="0"/>
        <v>9347498.0405060258</v>
      </c>
      <c r="BN12" s="133">
        <f t="shared" si="0"/>
        <v>2368217.5624120608</v>
      </c>
      <c r="BP12" s="154">
        <f>BE12/[4]Annual!HZ12</f>
        <v>9.5981985018657956E-2</v>
      </c>
      <c r="BQ12" s="154">
        <f>BF12/[4]Annual!IA12</f>
        <v>0.95230233418926458</v>
      </c>
      <c r="BR12" s="154">
        <f>BG12/[4]Annual!IB12</f>
        <v>1.11266042507487</v>
      </c>
      <c r="BS12" s="154">
        <f>BH12/[4]Annual!IC12</f>
        <v>0.58330487729259706</v>
      </c>
      <c r="BT12" s="154">
        <f>BI12/[4]Annual!ID12</f>
        <v>0.7018781324119312</v>
      </c>
      <c r="BU12" s="154">
        <f>BJ12/[4]Annual!IE12</f>
        <v>0</v>
      </c>
      <c r="BV12" s="154">
        <f>BK12/[4]Annual!IF12</f>
        <v>0</v>
      </c>
      <c r="BW12" s="154">
        <f>BL12/[4]Annual!IG12</f>
        <v>0.93998472708002401</v>
      </c>
      <c r="BX12" s="154">
        <f>BM12/[4]Annual!IH12</f>
        <v>0.93998472708002401</v>
      </c>
      <c r="BY12" s="154">
        <f>BN12/[4]Annual!II12</f>
        <v>0.23524619863938026</v>
      </c>
    </row>
    <row r="13" spans="1:77" x14ac:dyDescent="0.25">
      <c r="A13">
        <v>2033</v>
      </c>
      <c r="B13" s="133">
        <f>('[2]WA Res Incremental EE'!ST13+'[2]WA Com Incremental EE'!SI13)*'[5]Energy Efficiency'!$BR$9</f>
        <v>1234842.8930339818</v>
      </c>
      <c r="C13" s="133">
        <f>('[2]WA Res Incremental EE'!SU13+'[2]WA Com Incremental EE'!SJ13)*'[5]Energy Efficiency'!$BR$9</f>
        <v>1234842.8930339818</v>
      </c>
      <c r="D13" s="133">
        <f>('[2]WA Res Incremental EE'!SV13+'[2]WA Com Incremental EE'!SK13)*'[5]Energy Efficiency'!$BR$9</f>
        <v>4120657.4626960359</v>
      </c>
      <c r="E13" s="133">
        <f>('[2]WA Res Incremental EE'!SW13+'[2]WA Com Incremental EE'!SL13)*'[5]Energy Efficiency'!$BR$9</f>
        <v>1234842.8930339818</v>
      </c>
      <c r="F13" s="133">
        <f>('[2]WA Res Incremental EE'!SX13+'[2]WA Com Incremental EE'!SM13)*'[5]Energy Efficiency'!$BR$9</f>
        <v>279559.91625292861</v>
      </c>
      <c r="G13" s="133">
        <v>0</v>
      </c>
      <c r="H13" s="133">
        <v>0</v>
      </c>
      <c r="I13" s="133">
        <f>('[2]WA Res Incremental EE'!TA13+'[2]WA Com Incremental EE'!SP13)*'[5]Energy Efficiency'!$BR$9</f>
        <v>1234842.8930339818</v>
      </c>
      <c r="J13" s="133">
        <f>('[2]WA Res Incremental EE'!TB13+'[2]WA Com Incremental EE'!SQ13)*'[5]Energy Efficiency'!$BR$9</f>
        <v>1234842.8930339818</v>
      </c>
      <c r="K13" s="133">
        <f>('[2]WA Res Incremental EE'!TC13+'[2]WA Com Incremental EE'!SR13)*'[5]Energy Efficiency'!$BR$9</f>
        <v>1234842.8930339818</v>
      </c>
      <c r="L13" s="133"/>
      <c r="M13" s="133">
        <f>('[2]WA-Res-Existing Cust'!SO47*0.87*'[2]Key Inputs'!$C$74)+('[2]WA-Res-Existing Cust'!SO175*0.67*'[2]Key Inputs'!$C$75)+('[2]WA-Res-Cust Growth'!SQ45*0.87*'[2]Key Inputs'!$C$74)+('[2]WA-Res-Cust Growth'!SQ173*0.87*'[2]Key Inputs'!$C$75)+('[2]WA-Com-Existing Cust'!SO47*0.87*'[2]Key Inputs'!$C$78)+('[2]WA-Com-Cust Growth'!SQ45*0.87*'[2]Key Inputs'!$C$78)</f>
        <v>0</v>
      </c>
      <c r="N13" s="133">
        <f>('[2]WA-Res-Existing Cust'!SP47*0.87*'[2]Key Inputs'!$C$74)+('[2]WA-Res-Existing Cust'!SP175*0.67*'[2]Key Inputs'!$C$75)+('[2]WA-Res-Cust Growth'!SR45*0.87*'[2]Key Inputs'!$C$74)+('[2]WA-Res-Cust Growth'!SR173*0.87*'[2]Key Inputs'!$C$75)+('[2]WA-Com-Existing Cust'!SP47*0.87*'[2]Key Inputs'!$C$78)+('[2]WA-Com-Cust Growth'!SR45*0.87*'[2]Key Inputs'!$C$78)</f>
        <v>7379452.3918960216</v>
      </c>
      <c r="O13" s="133">
        <f>('[2]WA-Res-Existing Cust'!SQ47*0.87*'[2]Key Inputs'!$C$74)+('[2]WA-Res-Existing Cust'!SQ175*0.67*'[2]Key Inputs'!$C$75)+('[2]WA-Res-Cust Growth'!SS45*0.87*'[2]Key Inputs'!$C$74)+('[2]WA-Res-Cust Growth'!SS173*0.87*'[2]Key Inputs'!$C$75)+('[2]WA-Com-Existing Cust'!SQ47*0.87*'[2]Key Inputs'!$C$78)+('[2]WA-Com-Cust Growth'!SS45*0.87*'[2]Key Inputs'!$C$78)</f>
        <v>7762035.3774821581</v>
      </c>
      <c r="P13" s="133">
        <f>('[2]WA-Res-Existing Cust'!SR47*0.87*'[2]Key Inputs'!$C$74)+('[2]WA-Res-Existing Cust'!SR175*0.67*'[2]Key Inputs'!$C$75)+('[2]WA-Res-Cust Growth'!ST45*0.87*'[2]Key Inputs'!$C$74)+('[2]WA-Res-Cust Growth'!ST173*0.87*'[2]Key Inputs'!$C$75)+('[2]WA-Com-Existing Cust'!SR47*0.87*'[2]Key Inputs'!$C$78)+('[2]WA-Com-Cust Growth'!ST45*0.87*'[2]Key Inputs'!$C$78)</f>
        <v>2505600</v>
      </c>
      <c r="Q13" s="133">
        <f>('[2]WA-Res-Existing Cust'!SS47*0.87*'[2]Key Inputs'!$C$74)+('[2]WA-Res-Existing Cust'!SS175*0.67*'[2]Key Inputs'!$C$75)+('[2]WA-Res-Cust Growth'!SU45*0.87*'[2]Key Inputs'!$C$74)+('[2]WA-Res-Cust Growth'!SU173*0.87*'[2]Key Inputs'!$C$75)+('[2]WA-Com-Existing Cust'!SS47*0.87*'[2]Key Inputs'!$C$78)+('[2]WA-Com-Cust Growth'!SU45*0.87*'[2]Key Inputs'!$C$78)</f>
        <v>5523143.6599133508</v>
      </c>
      <c r="R13" s="133">
        <f>('[2]WA-Res-Existing Cust'!ST47*0.87*'[2]Key Inputs'!$C$74)+('[2]WA-Res-Existing Cust'!ST175*0.67*'[2]Key Inputs'!$C$75)+('[2]WA-Res-Cust Growth'!SV45*0.87*'[2]Key Inputs'!$C$74)+('[2]WA-Res-Cust Growth'!SV173*0.87*'[2]Key Inputs'!$C$75)+('[2]WA-Com-Existing Cust'!ST47*0.87*'[2]Key Inputs'!$C$78)+('[2]WA-Com-Cust Growth'!SV45*0.87*'[2]Key Inputs'!$C$78)</f>
        <v>0</v>
      </c>
      <c r="S13" s="133">
        <f>('[2]WA-Res-Existing Cust'!SU47*0.87*'[2]Key Inputs'!$C$74)+('[2]WA-Res-Existing Cust'!SU175*0.67*'[2]Key Inputs'!$C$75)+('[2]WA-Res-Cust Growth'!SW45*0.87*'[2]Key Inputs'!$C$74)+('[2]WA-Res-Cust Growth'!SW173*0.87*'[2]Key Inputs'!$C$75)+('[2]WA-Com-Existing Cust'!SU47*0.87*'[2]Key Inputs'!$C$78)+('[2]WA-Com-Cust Growth'!SW45*0.87*'[2]Key Inputs'!$C$78)</f>
        <v>0</v>
      </c>
      <c r="T13" s="133">
        <f>('[2]WA-Res-Existing Cust'!SV47*0.87*'[2]Key Inputs'!$C$74)+('[2]WA-Res-Existing Cust'!SV175*0.67*'[2]Key Inputs'!$C$75)+('[2]WA-Res-Cust Growth'!SX45*0.87*'[2]Key Inputs'!$C$74)+('[2]WA-Res-Cust Growth'!SX173*0.87*'[2]Key Inputs'!$C$75)+('[2]WA-Com-Existing Cust'!SV47*0.87*'[2]Key Inputs'!$C$78)+('[2]WA-Com-Cust Growth'!SX45*0.87*'[2]Key Inputs'!$C$78)</f>
        <v>7379452.3918960216</v>
      </c>
      <c r="U13" s="133">
        <f>('[2]WA-Res-Existing Cust'!SW47*0.87*'[2]Key Inputs'!$C$74)+('[2]WA-Res-Existing Cust'!SW175*0.67*'[2]Key Inputs'!$C$75)+('[2]WA-Res-Cust Growth'!SY45*0.87*'[2]Key Inputs'!$C$74)+('[2]WA-Res-Cust Growth'!SY173*0.87*'[2]Key Inputs'!$C$75)+('[2]WA-Com-Existing Cust'!SW47*0.87*'[2]Key Inputs'!$C$78)+('[2]WA-Com-Cust Growth'!SY45*0.87*'[2]Key Inputs'!$C$78)</f>
        <v>7379452.3918960216</v>
      </c>
      <c r="V13" s="133">
        <f>('[2]WA-Res-Existing Cust'!SX47*0.87*'[2]Key Inputs'!$C$74)+('[2]WA-Res-Existing Cust'!SX175*0.67*'[2]Key Inputs'!$C$75)+('[2]WA-Res-Cust Growth'!SZ45*0.87*'[2]Key Inputs'!$C$74)+('[2]WA-Res-Cust Growth'!SZ173*0.87*'[2]Key Inputs'!$C$75)+('[2]WA-Com-Existing Cust'!SX47*0.87*'[2]Key Inputs'!$C$78)+('[2]WA-Com-Cust Growth'!SZ45*0.87*'[2]Key Inputs'!$C$78)</f>
        <v>751680</v>
      </c>
      <c r="X13" s="63">
        <f>(('[2]WA-Res-Existing Cust'!SO111+'[2]WA-Res-Cust Growth'!SQ109)*'[2]Key Inputs'!$C$73)+(('[2]WA-Com-Existing Cust'!SO111+'[2]WA-Com-Cust Growth'!SQ109)*'[2]Key Inputs'!$C$77)</f>
        <v>0</v>
      </c>
      <c r="Y13" s="63">
        <f>(('[2]WA-Res-Existing Cust'!SP111+'[2]WA-Res-Cust Growth'!SR109)*'[2]Key Inputs'!$C$73)+(('[2]WA-Com-Existing Cust'!SP111+'[2]WA-Com-Cust Growth'!SR109)*'[2]Key Inputs'!$C$77)</f>
        <v>752404.19884115388</v>
      </c>
      <c r="Z13" s="63">
        <f>(('[2]WA-Res-Existing Cust'!SQ111+'[2]WA-Res-Cust Growth'!SS109)*'[2]Key Inputs'!$C$73)+(('[2]WA-Com-Existing Cust'!SQ111+'[2]WA-Com-Cust Growth'!SS109)*'[2]Key Inputs'!$C$77)</f>
        <v>468821.67667014262</v>
      </c>
      <c r="AA13" s="63">
        <f>(('[2]WA-Res-Existing Cust'!SR111+'[2]WA-Res-Cust Growth'!ST109)*'[2]Key Inputs'!$C$73)+(('[2]WA-Com-Existing Cust'!SR111+'[2]WA-Com-Cust Growth'!ST109)*'[2]Key Inputs'!$C$77)</f>
        <v>1599596.175068744</v>
      </c>
      <c r="AB13" s="63">
        <f>(('[2]WA-Res-Existing Cust'!SS111+'[2]WA-Res-Cust Growth'!SU109)*'[2]Key Inputs'!$C$73)+(('[2]WA-Com-Existing Cust'!SS111+'[2]WA-Com-Cust Growth'!SU109)*'[2]Key Inputs'!$C$77)</f>
        <v>479878.85252062319</v>
      </c>
      <c r="AC13" s="63">
        <f>(('[2]WA-Res-Existing Cust'!ST111+'[2]WA-Res-Cust Growth'!SV109)*'[2]Key Inputs'!$C$73)+(('[2]WA-Com-Existing Cust'!ST111+'[2]WA-Com-Cust Growth'!SV109)*'[2]Key Inputs'!$C$77)</f>
        <v>0</v>
      </c>
      <c r="AD13" s="63">
        <f>(('[2]WA-Res-Existing Cust'!SU111+'[2]WA-Res-Cust Growth'!SW109)*'[2]Key Inputs'!$C$73)+(('[2]WA-Com-Existing Cust'!SU111+'[2]WA-Com-Cust Growth'!SW109)*'[2]Key Inputs'!$C$77)</f>
        <v>0</v>
      </c>
      <c r="AE13" s="63">
        <f>(('[2]WA-Res-Existing Cust'!SV111+'[2]WA-Res-Cust Growth'!SX109)*'[2]Key Inputs'!$C$73)+(('[2]WA-Com-Existing Cust'!SV111+'[2]WA-Com-Cust Growth'!SX109)*'[2]Key Inputs'!$C$77)</f>
        <v>752404.19884115388</v>
      </c>
      <c r="AF13" s="63">
        <f>(('[2]WA-Res-Existing Cust'!SW111+'[2]WA-Res-Cust Growth'!SY109)*'[2]Key Inputs'!$C$73)+(('[2]WA-Com-Existing Cust'!SW111+'[2]WA-Com-Cust Growth'!SY109)*'[2]Key Inputs'!$C$77)</f>
        <v>752404.19884115388</v>
      </c>
      <c r="AG13" s="63">
        <f>(('[2]WA-Res-Existing Cust'!SX111+'[2]WA-Res-Cust Growth'!SZ109)*'[2]Key Inputs'!$C$73)+(('[2]WA-Com-Existing Cust'!SX111+'[2]WA-Com-Cust Growth'!SZ109)*'[2]Key Inputs'!$C$77)</f>
        <v>479878.85252062319</v>
      </c>
      <c r="AI13" s="152">
        <f>'[6]WA-IndComSales-Annual'!TF15*2.33</f>
        <v>0</v>
      </c>
      <c r="AJ13" s="152">
        <f>'[6]WA-IndComSales-Annual'!TG15*2.33</f>
        <v>0</v>
      </c>
      <c r="AK13" s="152">
        <f>'[6]WA-IndComSales-Annual'!TH15*2.33</f>
        <v>28741.475452702009</v>
      </c>
      <c r="AL13" s="152">
        <f>'[6]WA-IndComSales-Annual'!TI15*2.33</f>
        <v>0</v>
      </c>
      <c r="AM13" s="152">
        <f>'[6]WA-IndComSales-Annual'!TJ15*2.33</f>
        <v>0</v>
      </c>
      <c r="AN13" s="152">
        <f>'[6]WA-IndComSales-Annual'!TK15*2.33</f>
        <v>0</v>
      </c>
      <c r="AO13" s="152">
        <f>'[6]WA-IndComSales-Annual'!TL15*2.33</f>
        <v>0</v>
      </c>
      <c r="AP13" s="152">
        <f>'[6]WA-IndComSales-Annual'!TM15*2.33</f>
        <v>0</v>
      </c>
      <c r="AQ13" s="152">
        <f>'[6]WA-IndComSales-Annual'!TN15*2.33</f>
        <v>0</v>
      </c>
      <c r="AR13" s="152">
        <f>'[6]WA-IndComSales-Annual'!TO15*2.33</f>
        <v>0</v>
      </c>
      <c r="AT13">
        <v>0</v>
      </c>
      <c r="AU13" s="152">
        <f>'[6]WA-Transport-Annual'!TE15*1.79</f>
        <v>137623.93645301601</v>
      </c>
      <c r="AV13" s="152">
        <f>'[6]WA-Transport-Annual'!TF15*1.79</f>
        <v>275247.87290603202</v>
      </c>
      <c r="AW13" s="152">
        <f>'[6]WA-Transport-Annual'!TG15*1.79</f>
        <v>137623.93645301601</v>
      </c>
      <c r="AX13" s="152">
        <f>'[6]WA-Transport-Annual'!TH15*1.79</f>
        <v>137623.93645301601</v>
      </c>
      <c r="AY13" s="152">
        <f>'[6]WA-Transport-Annual'!TI15*1.79</f>
        <v>0</v>
      </c>
      <c r="AZ13" s="152">
        <f>'[6]WA-Transport-Annual'!TJ15*1.79</f>
        <v>0</v>
      </c>
      <c r="BA13" s="152">
        <f>'[6]WA-Transport-Annual'!TK15*1.79</f>
        <v>137623.93645301601</v>
      </c>
      <c r="BB13" s="152">
        <f>'[6]WA-Transport-Annual'!TL15*1.79</f>
        <v>137623.93645301601</v>
      </c>
      <c r="BC13" s="152">
        <f>'[6]WA-Transport-Annual'!TM15*1.79</f>
        <v>68811.968226509678</v>
      </c>
      <c r="BE13" s="133">
        <f t="shared" si="1"/>
        <v>1234842.8930339818</v>
      </c>
      <c r="BF13" s="133">
        <f t="shared" si="0"/>
        <v>9504323.4202241749</v>
      </c>
      <c r="BG13" s="133">
        <f t="shared" si="0"/>
        <v>12655503.865207072</v>
      </c>
      <c r="BH13" s="133">
        <f t="shared" si="0"/>
        <v>5477663.0045557413</v>
      </c>
      <c r="BI13" s="133">
        <f t="shared" si="0"/>
        <v>6420206.3651399184</v>
      </c>
      <c r="BJ13" s="133">
        <f t="shared" si="0"/>
        <v>0</v>
      </c>
      <c r="BK13" s="133">
        <f t="shared" si="0"/>
        <v>0</v>
      </c>
      <c r="BL13" s="133">
        <f t="shared" si="0"/>
        <v>9504323.4202241749</v>
      </c>
      <c r="BM13" s="133">
        <f t="shared" si="0"/>
        <v>9504323.4202241749</v>
      </c>
      <c r="BN13" s="133">
        <f t="shared" si="0"/>
        <v>2535213.7137811147</v>
      </c>
      <c r="BP13" s="154">
        <f>BE13/[4]Annual!HZ13</f>
        <v>0.11157929286894892</v>
      </c>
      <c r="BQ13" s="154">
        <f>BF13/[4]Annual!IA13</f>
        <v>0.98335986142370546</v>
      </c>
      <c r="BR13" s="154">
        <f>BG13/[4]Annual!IB13</f>
        <v>1.3020826521061422</v>
      </c>
      <c r="BS13" s="154">
        <f>BH13/[4]Annual!IC13</f>
        <v>0.61758169273614727</v>
      </c>
      <c r="BT13" s="154">
        <f>BI13/[4]Annual!ID13</f>
        <v>0.71911678944028679</v>
      </c>
      <c r="BU13" s="154">
        <f>BJ13/[4]Annual!IE13</f>
        <v>0</v>
      </c>
      <c r="BV13" s="154">
        <f>BK13/[4]Annual!IF13</f>
        <v>0</v>
      </c>
      <c r="BW13" s="154">
        <f>BL13/[4]Annual!IG13</f>
        <v>0.97055142292646068</v>
      </c>
      <c r="BX13" s="154">
        <f>BM13/[4]Annual!IH13</f>
        <v>0.97055142292646068</v>
      </c>
      <c r="BY13" s="154">
        <f>BN13/[4]Annual!II13</f>
        <v>0.25496963759335672</v>
      </c>
    </row>
    <row r="14" spans="1:77" x14ac:dyDescent="0.25">
      <c r="A14">
        <v>2034</v>
      </c>
      <c r="B14" s="133">
        <f>('[2]WA Res Incremental EE'!ST14+'[2]WA Com Incremental EE'!SI14)*'[5]Energy Efficiency'!$BR$9</f>
        <v>1039738.0533774085</v>
      </c>
      <c r="C14" s="133">
        <f>('[2]WA Res Incremental EE'!SU14+'[2]WA Com Incremental EE'!SJ14)*'[5]Energy Efficiency'!$BR$9</f>
        <v>1039738.0533774085</v>
      </c>
      <c r="D14" s="133">
        <f>('[2]WA Res Incremental EE'!SV14+'[2]WA Com Incremental EE'!SK14)*'[5]Energy Efficiency'!$BR$9</f>
        <v>4021953.605778506</v>
      </c>
      <c r="E14" s="133">
        <f>('[2]WA Res Incremental EE'!SW14+'[2]WA Com Incremental EE'!SL14)*'[5]Energy Efficiency'!$BR$9</f>
        <v>1039738.0533774085</v>
      </c>
      <c r="F14" s="133">
        <f>('[2]WA Res Incremental EE'!SX14+'[2]WA Com Incremental EE'!SM14)*'[5]Energy Efficiency'!$BR$9</f>
        <v>182955.56353378139</v>
      </c>
      <c r="G14" s="133">
        <v>0</v>
      </c>
      <c r="H14" s="133">
        <v>0</v>
      </c>
      <c r="I14" s="133">
        <f>('[2]WA Res Incremental EE'!TA14+'[2]WA Com Incremental EE'!SP14)*'[5]Energy Efficiency'!$BR$9</f>
        <v>1039738.0533774085</v>
      </c>
      <c r="J14" s="133">
        <f>('[2]WA Res Incremental EE'!TB14+'[2]WA Com Incremental EE'!SQ14)*'[5]Energy Efficiency'!$BR$9</f>
        <v>1039738.0533774085</v>
      </c>
      <c r="K14" s="133">
        <f>('[2]WA Res Incremental EE'!TC14+'[2]WA Com Incremental EE'!SR14)*'[5]Energy Efficiency'!$BR$9</f>
        <v>1039738.0533774085</v>
      </c>
      <c r="L14" s="133"/>
      <c r="M14" s="133">
        <f>('[2]WA-Res-Existing Cust'!SO48*0.87*'[2]Key Inputs'!$C$74)+('[2]WA-Res-Existing Cust'!SO176*0.67*'[2]Key Inputs'!$C$75)+('[2]WA-Res-Cust Growth'!SQ46*0.87*'[2]Key Inputs'!$C$74)+('[2]WA-Res-Cust Growth'!SQ174*0.87*'[2]Key Inputs'!$C$75)+('[2]WA-Com-Existing Cust'!SO48*0.87*'[2]Key Inputs'!$C$78)+('[2]WA-Com-Cust Growth'!SQ46*0.87*'[2]Key Inputs'!$C$78)</f>
        <v>0</v>
      </c>
      <c r="N14" s="133">
        <f>('[2]WA-Res-Existing Cust'!SP48*0.87*'[2]Key Inputs'!$C$74)+('[2]WA-Res-Existing Cust'!SP176*0.67*'[2]Key Inputs'!$C$75)+('[2]WA-Res-Cust Growth'!SR46*0.87*'[2]Key Inputs'!$C$74)+('[2]WA-Res-Cust Growth'!SR174*0.87*'[2]Key Inputs'!$C$75)+('[2]WA-Com-Existing Cust'!SP48*0.87*'[2]Key Inputs'!$C$78)+('[2]WA-Com-Cust Growth'!SR46*0.87*'[2]Key Inputs'!$C$78)</f>
        <v>7374090.8652499951</v>
      </c>
      <c r="O14" s="133">
        <f>('[2]WA-Res-Existing Cust'!SQ48*0.87*'[2]Key Inputs'!$C$74)+('[2]WA-Res-Existing Cust'!SQ176*0.67*'[2]Key Inputs'!$C$75)+('[2]WA-Res-Cust Growth'!SS46*0.87*'[2]Key Inputs'!$C$74)+('[2]WA-Res-Cust Growth'!SS174*0.87*'[2]Key Inputs'!$C$75)+('[2]WA-Com-Existing Cust'!SQ48*0.87*'[2]Key Inputs'!$C$78)+('[2]WA-Com-Cust Growth'!SS46*0.87*'[2]Key Inputs'!$C$78)</f>
        <v>9080441.1536666602</v>
      </c>
      <c r="P14" s="133">
        <f>('[2]WA-Res-Existing Cust'!SR48*0.87*'[2]Key Inputs'!$C$74)+('[2]WA-Res-Existing Cust'!SR176*0.67*'[2]Key Inputs'!$C$75)+('[2]WA-Res-Cust Growth'!ST46*0.87*'[2]Key Inputs'!$C$74)+('[2]WA-Res-Cust Growth'!ST174*0.87*'[2]Key Inputs'!$C$75)+('[2]WA-Com-Existing Cust'!SR48*0.87*'[2]Key Inputs'!$C$78)+('[2]WA-Com-Cust Growth'!ST46*0.87*'[2]Key Inputs'!$C$78)</f>
        <v>2505600</v>
      </c>
      <c r="Q14" s="133">
        <f>('[2]WA-Res-Existing Cust'!SS48*0.87*'[2]Key Inputs'!$C$74)+('[2]WA-Res-Existing Cust'!SS176*0.67*'[2]Key Inputs'!$C$75)+('[2]WA-Res-Cust Growth'!SU46*0.87*'[2]Key Inputs'!$C$74)+('[2]WA-Res-Cust Growth'!SU174*0.87*'[2]Key Inputs'!$C$75)+('[2]WA-Com-Existing Cust'!SS48*0.87*'[2]Key Inputs'!$C$78)+('[2]WA-Com-Cust Growth'!SU46*0.87*'[2]Key Inputs'!$C$78)</f>
        <v>5518675.7210416626</v>
      </c>
      <c r="R14" s="133">
        <f>('[2]WA-Res-Existing Cust'!ST48*0.87*'[2]Key Inputs'!$C$74)+('[2]WA-Res-Existing Cust'!ST176*0.67*'[2]Key Inputs'!$C$75)+('[2]WA-Res-Cust Growth'!SV46*0.87*'[2]Key Inputs'!$C$74)+('[2]WA-Res-Cust Growth'!SV174*0.87*'[2]Key Inputs'!$C$75)+('[2]WA-Com-Existing Cust'!ST48*0.87*'[2]Key Inputs'!$C$78)+('[2]WA-Com-Cust Growth'!SV46*0.87*'[2]Key Inputs'!$C$78)</f>
        <v>0</v>
      </c>
      <c r="S14" s="133">
        <f>('[2]WA-Res-Existing Cust'!SU48*0.87*'[2]Key Inputs'!$C$74)+('[2]WA-Res-Existing Cust'!SU176*0.67*'[2]Key Inputs'!$C$75)+('[2]WA-Res-Cust Growth'!SW46*0.87*'[2]Key Inputs'!$C$74)+('[2]WA-Res-Cust Growth'!SW174*0.87*'[2]Key Inputs'!$C$75)+('[2]WA-Com-Existing Cust'!SU48*0.87*'[2]Key Inputs'!$C$78)+('[2]WA-Com-Cust Growth'!SW46*0.87*'[2]Key Inputs'!$C$78)</f>
        <v>0</v>
      </c>
      <c r="T14" s="133">
        <f>('[2]WA-Res-Existing Cust'!SV48*0.87*'[2]Key Inputs'!$C$74)+('[2]WA-Res-Existing Cust'!SV176*0.67*'[2]Key Inputs'!$C$75)+('[2]WA-Res-Cust Growth'!SX46*0.87*'[2]Key Inputs'!$C$74)+('[2]WA-Res-Cust Growth'!SX174*0.87*'[2]Key Inputs'!$C$75)+('[2]WA-Com-Existing Cust'!SV48*0.87*'[2]Key Inputs'!$C$78)+('[2]WA-Com-Cust Growth'!SX46*0.87*'[2]Key Inputs'!$C$78)</f>
        <v>7374090.8652499951</v>
      </c>
      <c r="U14" s="133">
        <f>('[2]WA-Res-Existing Cust'!SW48*0.87*'[2]Key Inputs'!$C$74)+('[2]WA-Res-Existing Cust'!SW176*0.67*'[2]Key Inputs'!$C$75)+('[2]WA-Res-Cust Growth'!SY46*0.87*'[2]Key Inputs'!$C$74)+('[2]WA-Res-Cust Growth'!SY174*0.87*'[2]Key Inputs'!$C$75)+('[2]WA-Com-Existing Cust'!SW48*0.87*'[2]Key Inputs'!$C$78)+('[2]WA-Com-Cust Growth'!SY46*0.87*'[2]Key Inputs'!$C$78)</f>
        <v>7374090.8652499951</v>
      </c>
      <c r="V14" s="133">
        <f>('[2]WA-Res-Existing Cust'!SX48*0.87*'[2]Key Inputs'!$C$74)+('[2]WA-Res-Existing Cust'!SX176*0.67*'[2]Key Inputs'!$C$75)+('[2]WA-Res-Cust Growth'!SZ46*0.87*'[2]Key Inputs'!$C$74)+('[2]WA-Res-Cust Growth'!SZ174*0.87*'[2]Key Inputs'!$C$75)+('[2]WA-Com-Existing Cust'!SX48*0.87*'[2]Key Inputs'!$C$78)+('[2]WA-Com-Cust Growth'!SZ46*0.87*'[2]Key Inputs'!$C$78)</f>
        <v>751680</v>
      </c>
      <c r="X14" s="63">
        <f>(('[2]WA-Res-Existing Cust'!SO112+'[2]WA-Res-Cust Growth'!SQ110)*'[2]Key Inputs'!$C$73)+(('[2]WA-Com-Existing Cust'!SO112+'[2]WA-Com-Cust Growth'!SQ110)*'[2]Key Inputs'!$C$77)</f>
        <v>0</v>
      </c>
      <c r="Y14" s="63">
        <f>(('[2]WA-Res-Existing Cust'!SP112+'[2]WA-Res-Cust Growth'!SR110)*'[2]Key Inputs'!$C$73)+(('[2]WA-Com-Existing Cust'!SP112+'[2]WA-Com-Cust Growth'!SR110)*'[2]Key Inputs'!$C$77)</f>
        <v>751772.76117771689</v>
      </c>
      <c r="Z14" s="63">
        <f>(('[2]WA-Res-Existing Cust'!SQ112+'[2]WA-Res-Cust Growth'!SS110)*'[2]Key Inputs'!$C$73)+(('[2]WA-Com-Existing Cust'!SQ112+'[2]WA-Com-Cust Growth'!SS110)*'[2]Key Inputs'!$C$77)</f>
        <v>522893.08897981612</v>
      </c>
      <c r="AA14" s="63">
        <f>(('[2]WA-Res-Existing Cust'!SR112+'[2]WA-Res-Cust Growth'!ST110)*'[2]Key Inputs'!$C$73)+(('[2]WA-Com-Existing Cust'!SR112+'[2]WA-Com-Cust Growth'!ST110)*'[2]Key Inputs'!$C$77)</f>
        <v>1598235.3086349105</v>
      </c>
      <c r="AB14" s="63">
        <f>(('[2]WA-Res-Existing Cust'!SS112+'[2]WA-Res-Cust Growth'!SU110)*'[2]Key Inputs'!$C$73)+(('[2]WA-Com-Existing Cust'!SS112+'[2]WA-Com-Cust Growth'!SU110)*'[2]Key Inputs'!$C$77)</f>
        <v>479470.59259047313</v>
      </c>
      <c r="AC14" s="63">
        <f>(('[2]WA-Res-Existing Cust'!ST112+'[2]WA-Res-Cust Growth'!SV110)*'[2]Key Inputs'!$C$73)+(('[2]WA-Com-Existing Cust'!ST112+'[2]WA-Com-Cust Growth'!SV110)*'[2]Key Inputs'!$C$77)</f>
        <v>0</v>
      </c>
      <c r="AD14" s="63">
        <f>(('[2]WA-Res-Existing Cust'!SU112+'[2]WA-Res-Cust Growth'!SW110)*'[2]Key Inputs'!$C$73)+(('[2]WA-Com-Existing Cust'!SU112+'[2]WA-Com-Cust Growth'!SW110)*'[2]Key Inputs'!$C$77)</f>
        <v>0</v>
      </c>
      <c r="AE14" s="63">
        <f>(('[2]WA-Res-Existing Cust'!SV112+'[2]WA-Res-Cust Growth'!SX110)*'[2]Key Inputs'!$C$73)+(('[2]WA-Com-Existing Cust'!SV112+'[2]WA-Com-Cust Growth'!SX110)*'[2]Key Inputs'!$C$77)</f>
        <v>751772.76117771689</v>
      </c>
      <c r="AF14" s="63">
        <f>(('[2]WA-Res-Existing Cust'!SW112+'[2]WA-Res-Cust Growth'!SY110)*'[2]Key Inputs'!$C$73)+(('[2]WA-Com-Existing Cust'!SW112+'[2]WA-Com-Cust Growth'!SY110)*'[2]Key Inputs'!$C$77)</f>
        <v>751772.76117771689</v>
      </c>
      <c r="AG14" s="63">
        <f>(('[2]WA-Res-Existing Cust'!SX112+'[2]WA-Res-Cust Growth'!SZ110)*'[2]Key Inputs'!$C$73)+(('[2]WA-Com-Existing Cust'!SX112+'[2]WA-Com-Cust Growth'!SZ110)*'[2]Key Inputs'!$C$77)</f>
        <v>479470.59259047313</v>
      </c>
      <c r="AI14" s="152">
        <f>'[6]WA-IndComSales-Annual'!TF16*2.33</f>
        <v>0</v>
      </c>
      <c r="AJ14" s="152">
        <f>'[6]WA-IndComSales-Annual'!TG16*2.33</f>
        <v>0</v>
      </c>
      <c r="AK14" s="152">
        <f>'[6]WA-IndComSales-Annual'!TH16*2.33</f>
        <v>27959.283991001117</v>
      </c>
      <c r="AL14" s="152">
        <f>'[6]WA-IndComSales-Annual'!TI16*2.33</f>
        <v>0</v>
      </c>
      <c r="AM14" s="152">
        <f>'[6]WA-IndComSales-Annual'!TJ16*2.33</f>
        <v>0</v>
      </c>
      <c r="AN14" s="152">
        <f>'[6]WA-IndComSales-Annual'!TK16*2.33</f>
        <v>0</v>
      </c>
      <c r="AO14" s="152">
        <f>'[6]WA-IndComSales-Annual'!TL16*2.33</f>
        <v>0</v>
      </c>
      <c r="AP14" s="152">
        <f>'[6]WA-IndComSales-Annual'!TM16*2.33</f>
        <v>0</v>
      </c>
      <c r="AQ14" s="152">
        <f>'[6]WA-IndComSales-Annual'!TN16*2.33</f>
        <v>0</v>
      </c>
      <c r="AR14" s="152">
        <f>'[6]WA-IndComSales-Annual'!TO16*2.33</f>
        <v>0</v>
      </c>
      <c r="AT14">
        <v>0</v>
      </c>
      <c r="AU14" s="152">
        <f>'[6]WA-Transport-Annual'!TE16*1.79</f>
        <v>136999.83129399878</v>
      </c>
      <c r="AV14" s="152">
        <f>'[6]WA-Transport-Annual'!TF16*1.79</f>
        <v>273999.66258799756</v>
      </c>
      <c r="AW14" s="152">
        <f>'[6]WA-Transport-Annual'!TG16*1.79</f>
        <v>136999.83129399878</v>
      </c>
      <c r="AX14" s="152">
        <f>'[6]WA-Transport-Annual'!TH16*1.79</f>
        <v>136999.83129399878</v>
      </c>
      <c r="AY14" s="152">
        <f>'[6]WA-Transport-Annual'!TI16*1.79</f>
        <v>0</v>
      </c>
      <c r="AZ14" s="152">
        <f>'[6]WA-Transport-Annual'!TJ16*1.79</f>
        <v>0</v>
      </c>
      <c r="BA14" s="152">
        <f>'[6]WA-Transport-Annual'!TK16*1.79</f>
        <v>136999.83129399878</v>
      </c>
      <c r="BB14" s="152">
        <f>'[6]WA-Transport-Annual'!TL16*1.79</f>
        <v>136999.83129399878</v>
      </c>
      <c r="BC14" s="152">
        <f>'[6]WA-Transport-Annual'!TM16*1.79</f>
        <v>68499.915646997732</v>
      </c>
      <c r="BE14" s="133">
        <f t="shared" si="1"/>
        <v>1039738.0533774085</v>
      </c>
      <c r="BF14" s="133">
        <f t="shared" si="0"/>
        <v>9302601.5110991187</v>
      </c>
      <c r="BG14" s="133">
        <f t="shared" si="0"/>
        <v>13927246.795003982</v>
      </c>
      <c r="BH14" s="133">
        <f t="shared" si="0"/>
        <v>5280573.1933063185</v>
      </c>
      <c r="BI14" s="133">
        <f t="shared" si="0"/>
        <v>6318101.7084599165</v>
      </c>
      <c r="BJ14" s="133">
        <f t="shared" si="0"/>
        <v>0</v>
      </c>
      <c r="BK14" s="133">
        <f t="shared" si="0"/>
        <v>0</v>
      </c>
      <c r="BL14" s="133">
        <f t="shared" si="0"/>
        <v>9302601.5110991187</v>
      </c>
      <c r="BM14" s="133">
        <f t="shared" si="0"/>
        <v>9302601.5110991187</v>
      </c>
      <c r="BN14" s="133">
        <f t="shared" si="0"/>
        <v>2339388.5616148794</v>
      </c>
      <c r="BP14" s="154">
        <f>BE14/[4]Annual!HZ14</f>
        <v>9.3435094538710434E-2</v>
      </c>
      <c r="BQ14" s="154">
        <f>BF14/[4]Annual!IA14</f>
        <v>0.97037744368376277</v>
      </c>
      <c r="BR14" s="154">
        <f>BG14/[4]Annual!IB14</f>
        <v>1.4450822880426548</v>
      </c>
      <c r="BS14" s="154">
        <f>BH14/[4]Annual!IC14</f>
        <v>0.606406013923386</v>
      </c>
      <c r="BT14" s="154">
        <f>BI14/[4]Annual!ID14</f>
        <v>0.71998459977859919</v>
      </c>
      <c r="BU14" s="154">
        <f>BJ14/[4]Annual!IE14</f>
        <v>0</v>
      </c>
      <c r="BV14" s="154">
        <f>BK14/[4]Annual!IF14</f>
        <v>0</v>
      </c>
      <c r="BW14" s="154">
        <f>BL14/[4]Annual!IG14</f>
        <v>0.95785334769044783</v>
      </c>
      <c r="BX14" s="154">
        <f>BM14/[4]Annual!IH14</f>
        <v>0.95785334769044783</v>
      </c>
      <c r="BY14" s="154">
        <f>BN14/[4]Annual!II14</f>
        <v>0.23651838863476465</v>
      </c>
    </row>
    <row r="15" spans="1:77" x14ac:dyDescent="0.25">
      <c r="A15">
        <v>2035</v>
      </c>
      <c r="B15" s="133">
        <f>('[2]WA Res Incremental EE'!ST15+'[2]WA Com Incremental EE'!SI15)*'[5]Energy Efficiency'!$BR$9</f>
        <v>1165100.7830455068</v>
      </c>
      <c r="C15" s="133">
        <f>('[2]WA Res Incremental EE'!SU15+'[2]WA Com Incremental EE'!SJ15)*'[5]Energy Efficiency'!$BR$9</f>
        <v>1165100.7830455068</v>
      </c>
      <c r="D15" s="133">
        <f>('[2]WA Res Incremental EE'!SV15+'[2]WA Com Incremental EE'!SK15)*'[5]Energy Efficiency'!$BR$9</f>
        <v>4270411.4395133024</v>
      </c>
      <c r="E15" s="133">
        <f>('[2]WA Res Incremental EE'!SW15+'[2]WA Com Incremental EE'!SL15)*'[5]Energy Efficiency'!$BR$9</f>
        <v>1165100.7830455068</v>
      </c>
      <c r="F15" s="133">
        <f>('[2]WA Res Incremental EE'!SX15+'[2]WA Com Incremental EE'!SM15)*'[5]Energy Efficiency'!$BR$9</f>
        <v>193000.08120499999</v>
      </c>
      <c r="G15" s="133">
        <v>0</v>
      </c>
      <c r="H15" s="133">
        <v>0</v>
      </c>
      <c r="I15" s="133">
        <f>('[2]WA Res Incremental EE'!TA15+'[2]WA Com Incremental EE'!SP15)*'[5]Energy Efficiency'!$BR$9</f>
        <v>1165100.7830455068</v>
      </c>
      <c r="J15" s="133">
        <f>('[2]WA Res Incremental EE'!TB15+'[2]WA Com Incremental EE'!SQ15)*'[5]Energy Efficiency'!$BR$9</f>
        <v>1165100.7830455068</v>
      </c>
      <c r="K15" s="133">
        <f>('[2]WA Res Incremental EE'!TC15+'[2]WA Com Incremental EE'!SR15)*'[5]Energy Efficiency'!$BR$9</f>
        <v>1165100.7830455068</v>
      </c>
      <c r="L15" s="133"/>
      <c r="M15" s="133">
        <f>('[2]WA-Res-Existing Cust'!SO49*0.87*'[2]Key Inputs'!$C$74)+('[2]WA-Res-Existing Cust'!SO177*0.67*'[2]Key Inputs'!$C$75)+('[2]WA-Res-Cust Growth'!SQ47*0.87*'[2]Key Inputs'!$C$74)+('[2]WA-Res-Cust Growth'!SQ175*0.87*'[2]Key Inputs'!$C$75)+('[2]WA-Com-Existing Cust'!SO49*0.87*'[2]Key Inputs'!$C$78)+('[2]WA-Com-Cust Growth'!SQ47*0.87*'[2]Key Inputs'!$C$78)</f>
        <v>0</v>
      </c>
      <c r="N15" s="133">
        <f>('[2]WA-Res-Existing Cust'!SP49*0.87*'[2]Key Inputs'!$C$74)+('[2]WA-Res-Existing Cust'!SP177*0.67*'[2]Key Inputs'!$C$75)+('[2]WA-Res-Cust Growth'!SR47*0.87*'[2]Key Inputs'!$C$74)+('[2]WA-Res-Cust Growth'!SR175*0.87*'[2]Key Inputs'!$C$75)+('[2]WA-Com-Existing Cust'!SP49*0.87*'[2]Key Inputs'!$C$78)+('[2]WA-Com-Cust Growth'!SR47*0.87*'[2]Key Inputs'!$C$78)</f>
        <v>7368674.0426949784</v>
      </c>
      <c r="O15" s="133">
        <f>('[2]WA-Res-Existing Cust'!SQ49*0.87*'[2]Key Inputs'!$C$74)+('[2]WA-Res-Existing Cust'!SQ177*0.67*'[2]Key Inputs'!$C$75)+('[2]WA-Res-Cust Growth'!SS47*0.87*'[2]Key Inputs'!$C$74)+('[2]WA-Res-Cust Growth'!SS175*0.87*'[2]Key Inputs'!$C$75)+('[2]WA-Com-Existing Cust'!SQ49*0.87*'[2]Key Inputs'!$C$78)+('[2]WA-Com-Cust Growth'!SS47*0.87*'[2]Key Inputs'!$C$78)</f>
        <v>10617184.000222132</v>
      </c>
      <c r="P15" s="133">
        <f>('[2]WA-Res-Existing Cust'!SR49*0.87*'[2]Key Inputs'!$C$74)+('[2]WA-Res-Existing Cust'!SR177*0.67*'[2]Key Inputs'!$C$75)+('[2]WA-Res-Cust Growth'!ST47*0.87*'[2]Key Inputs'!$C$74)+('[2]WA-Res-Cust Growth'!ST175*0.87*'[2]Key Inputs'!$C$75)+('[2]WA-Com-Existing Cust'!SR49*0.87*'[2]Key Inputs'!$C$78)+('[2]WA-Com-Cust Growth'!ST47*0.87*'[2]Key Inputs'!$C$78)</f>
        <v>2505600</v>
      </c>
      <c r="Q15" s="133">
        <f>('[2]WA-Res-Existing Cust'!SS49*0.87*'[2]Key Inputs'!$C$74)+('[2]WA-Res-Existing Cust'!SS177*0.67*'[2]Key Inputs'!$C$75)+('[2]WA-Res-Cust Growth'!SU47*0.87*'[2]Key Inputs'!$C$74)+('[2]WA-Res-Cust Growth'!SU175*0.87*'[2]Key Inputs'!$C$75)+('[2]WA-Com-Existing Cust'!SS49*0.87*'[2]Key Inputs'!$C$78)+('[2]WA-Com-Cust Growth'!SU47*0.87*'[2]Key Inputs'!$C$78)</f>
        <v>5514161.7022458157</v>
      </c>
      <c r="R15" s="133">
        <f>('[2]WA-Res-Existing Cust'!ST49*0.87*'[2]Key Inputs'!$C$74)+('[2]WA-Res-Existing Cust'!ST177*0.67*'[2]Key Inputs'!$C$75)+('[2]WA-Res-Cust Growth'!SV47*0.87*'[2]Key Inputs'!$C$74)+('[2]WA-Res-Cust Growth'!SV175*0.87*'[2]Key Inputs'!$C$75)+('[2]WA-Com-Existing Cust'!ST49*0.87*'[2]Key Inputs'!$C$78)+('[2]WA-Com-Cust Growth'!SV47*0.87*'[2]Key Inputs'!$C$78)</f>
        <v>0</v>
      </c>
      <c r="S15" s="133">
        <f>('[2]WA-Res-Existing Cust'!SU49*0.87*'[2]Key Inputs'!$C$74)+('[2]WA-Res-Existing Cust'!SU177*0.67*'[2]Key Inputs'!$C$75)+('[2]WA-Res-Cust Growth'!SW47*0.87*'[2]Key Inputs'!$C$74)+('[2]WA-Res-Cust Growth'!SW175*0.87*'[2]Key Inputs'!$C$75)+('[2]WA-Com-Existing Cust'!SU49*0.87*'[2]Key Inputs'!$C$78)+('[2]WA-Com-Cust Growth'!SW47*0.87*'[2]Key Inputs'!$C$78)</f>
        <v>0</v>
      </c>
      <c r="T15" s="133">
        <f>('[2]WA-Res-Existing Cust'!SV49*0.87*'[2]Key Inputs'!$C$74)+('[2]WA-Res-Existing Cust'!SV177*0.67*'[2]Key Inputs'!$C$75)+('[2]WA-Res-Cust Growth'!SX47*0.87*'[2]Key Inputs'!$C$74)+('[2]WA-Res-Cust Growth'!SX175*0.87*'[2]Key Inputs'!$C$75)+('[2]WA-Com-Existing Cust'!SV49*0.87*'[2]Key Inputs'!$C$78)+('[2]WA-Com-Cust Growth'!SX47*0.87*'[2]Key Inputs'!$C$78)</f>
        <v>7368674.0426949784</v>
      </c>
      <c r="U15" s="133">
        <f>('[2]WA-Res-Existing Cust'!SW49*0.87*'[2]Key Inputs'!$C$74)+('[2]WA-Res-Existing Cust'!SW177*0.67*'[2]Key Inputs'!$C$75)+('[2]WA-Res-Cust Growth'!SY47*0.87*'[2]Key Inputs'!$C$74)+('[2]WA-Res-Cust Growth'!SY175*0.87*'[2]Key Inputs'!$C$75)+('[2]WA-Com-Existing Cust'!SW49*0.87*'[2]Key Inputs'!$C$78)+('[2]WA-Com-Cust Growth'!SY47*0.87*'[2]Key Inputs'!$C$78)</f>
        <v>7368674.0426949784</v>
      </c>
      <c r="V15" s="133">
        <f>('[2]WA-Res-Existing Cust'!SX49*0.87*'[2]Key Inputs'!$C$74)+('[2]WA-Res-Existing Cust'!SX177*0.67*'[2]Key Inputs'!$C$75)+('[2]WA-Res-Cust Growth'!SZ47*0.87*'[2]Key Inputs'!$C$74)+('[2]WA-Res-Cust Growth'!SZ175*0.87*'[2]Key Inputs'!$C$75)+('[2]WA-Com-Existing Cust'!SX49*0.87*'[2]Key Inputs'!$C$78)+('[2]WA-Com-Cust Growth'!SZ47*0.87*'[2]Key Inputs'!$C$78)</f>
        <v>751680</v>
      </c>
      <c r="X15" s="63">
        <f>(('[2]WA-Res-Existing Cust'!SO113+'[2]WA-Res-Cust Growth'!SQ111)*'[2]Key Inputs'!$C$73)+(('[2]WA-Com-Existing Cust'!SO113+'[2]WA-Com-Cust Growth'!SQ111)*'[2]Key Inputs'!$C$77)</f>
        <v>0</v>
      </c>
      <c r="Y15" s="63">
        <f>(('[2]WA-Res-Existing Cust'!SP113+'[2]WA-Res-Cust Growth'!SR111)*'[2]Key Inputs'!$C$73)+(('[2]WA-Com-Existing Cust'!SP113+'[2]WA-Com-Cust Growth'!SR111)*'[2]Key Inputs'!$C$77)</f>
        <v>751411.50617943297</v>
      </c>
      <c r="Z15" s="63">
        <f>(('[2]WA-Res-Existing Cust'!SQ113+'[2]WA-Res-Cust Growth'!SS111)*'[2]Key Inputs'!$C$73)+(('[2]WA-Com-Existing Cust'!SQ113+'[2]WA-Com-Cust Growth'!SS111)*'[2]Key Inputs'!$C$77)</f>
        <v>586372.62761489651</v>
      </c>
      <c r="AA15" s="63">
        <f>(('[2]WA-Res-Existing Cust'!SR113+'[2]WA-Res-Cust Growth'!ST111)*'[2]Key Inputs'!$C$73)+(('[2]WA-Com-Existing Cust'!SR113+'[2]WA-Com-Cust Growth'!ST111)*'[2]Key Inputs'!$C$77)</f>
        <v>1596861.4380167979</v>
      </c>
      <c r="AB15" s="63">
        <f>(('[2]WA-Res-Existing Cust'!SS113+'[2]WA-Res-Cust Growth'!SU111)*'[2]Key Inputs'!$C$73)+(('[2]WA-Com-Existing Cust'!SS113+'[2]WA-Com-Cust Growth'!SU111)*'[2]Key Inputs'!$C$77)</f>
        <v>479058.43140503939</v>
      </c>
      <c r="AC15" s="63">
        <f>(('[2]WA-Res-Existing Cust'!ST113+'[2]WA-Res-Cust Growth'!SV111)*'[2]Key Inputs'!$C$73)+(('[2]WA-Com-Existing Cust'!ST113+'[2]WA-Com-Cust Growth'!SV111)*'[2]Key Inputs'!$C$77)</f>
        <v>0</v>
      </c>
      <c r="AD15" s="63">
        <f>(('[2]WA-Res-Existing Cust'!SU113+'[2]WA-Res-Cust Growth'!SW111)*'[2]Key Inputs'!$C$73)+(('[2]WA-Com-Existing Cust'!SU113+'[2]WA-Com-Cust Growth'!SW111)*'[2]Key Inputs'!$C$77)</f>
        <v>0</v>
      </c>
      <c r="AE15" s="63">
        <f>(('[2]WA-Res-Existing Cust'!SV113+'[2]WA-Res-Cust Growth'!SX111)*'[2]Key Inputs'!$C$73)+(('[2]WA-Com-Existing Cust'!SV113+'[2]WA-Com-Cust Growth'!SX111)*'[2]Key Inputs'!$C$77)</f>
        <v>751411.50617943297</v>
      </c>
      <c r="AF15" s="63">
        <f>(('[2]WA-Res-Existing Cust'!SW113+'[2]WA-Res-Cust Growth'!SY111)*'[2]Key Inputs'!$C$73)+(('[2]WA-Com-Existing Cust'!SW113+'[2]WA-Com-Cust Growth'!SY111)*'[2]Key Inputs'!$C$77)</f>
        <v>751411.50617943297</v>
      </c>
      <c r="AG15" s="63">
        <f>(('[2]WA-Res-Existing Cust'!SX113+'[2]WA-Res-Cust Growth'!SZ111)*'[2]Key Inputs'!$C$73)+(('[2]WA-Com-Existing Cust'!SX113+'[2]WA-Com-Cust Growth'!SZ111)*'[2]Key Inputs'!$C$77)</f>
        <v>479058.43140503939</v>
      </c>
      <c r="AI15" s="152">
        <f>'[6]WA-IndComSales-Annual'!TF17*2.33</f>
        <v>0</v>
      </c>
      <c r="AJ15" s="152">
        <f>'[6]WA-IndComSales-Annual'!TG17*2.33</f>
        <v>0</v>
      </c>
      <c r="AK15" s="152">
        <f>'[6]WA-IndComSales-Annual'!TH17*2.33</f>
        <v>25685.922446502354</v>
      </c>
      <c r="AL15" s="152">
        <f>'[6]WA-IndComSales-Annual'!TI17*2.33</f>
        <v>0</v>
      </c>
      <c r="AM15" s="152">
        <f>'[6]WA-IndComSales-Annual'!TJ17*2.33</f>
        <v>0</v>
      </c>
      <c r="AN15" s="152">
        <f>'[6]WA-IndComSales-Annual'!TK17*2.33</f>
        <v>0</v>
      </c>
      <c r="AO15" s="152">
        <f>'[6]WA-IndComSales-Annual'!TL17*2.33</f>
        <v>0</v>
      </c>
      <c r="AP15" s="152">
        <f>'[6]WA-IndComSales-Annual'!TM17*2.33</f>
        <v>0</v>
      </c>
      <c r="AQ15" s="152">
        <f>'[6]WA-IndComSales-Annual'!TN17*2.33</f>
        <v>0</v>
      </c>
      <c r="AR15" s="152">
        <f>'[6]WA-IndComSales-Annual'!TO17*2.33</f>
        <v>0</v>
      </c>
      <c r="AT15">
        <v>0</v>
      </c>
      <c r="AU15" s="152">
        <f>'[6]WA-Transport-Annual'!TE17*1.79</f>
        <v>129777.57706298665</v>
      </c>
      <c r="AV15" s="152">
        <f>'[6]WA-Transport-Annual'!TF17*1.79</f>
        <v>259555.15412597329</v>
      </c>
      <c r="AW15" s="152">
        <f>'[6]WA-Transport-Annual'!TG17*1.79</f>
        <v>129777.57706298665</v>
      </c>
      <c r="AX15" s="152">
        <f>'[6]WA-Transport-Annual'!TH17*1.79</f>
        <v>129777.57706298665</v>
      </c>
      <c r="AY15" s="152">
        <f>'[6]WA-Transport-Annual'!TI17*1.79</f>
        <v>0</v>
      </c>
      <c r="AZ15" s="152">
        <f>'[6]WA-Transport-Annual'!TJ17*1.79</f>
        <v>0</v>
      </c>
      <c r="BA15" s="152">
        <f>'[6]WA-Transport-Annual'!TK17*1.79</f>
        <v>129777.57706298665</v>
      </c>
      <c r="BB15" s="152">
        <f>'[6]WA-Transport-Annual'!TL17*1.79</f>
        <v>129777.57706298665</v>
      </c>
      <c r="BC15" s="152">
        <f>'[6]WA-Transport-Annual'!TM17*1.79</f>
        <v>64888.788531493323</v>
      </c>
      <c r="BE15" s="133">
        <f t="shared" si="1"/>
        <v>1165100.7830455068</v>
      </c>
      <c r="BF15" s="133">
        <f t="shared" si="0"/>
        <v>9414963.9089829046</v>
      </c>
      <c r="BG15" s="133">
        <f t="shared" si="0"/>
        <v>15759209.143922808</v>
      </c>
      <c r="BH15" s="133">
        <f t="shared" si="0"/>
        <v>5397339.7981252912</v>
      </c>
      <c r="BI15" s="133">
        <f t="shared" si="0"/>
        <v>6315997.7919188421</v>
      </c>
      <c r="BJ15" s="133">
        <f t="shared" si="0"/>
        <v>0</v>
      </c>
      <c r="BK15" s="133">
        <f t="shared" si="0"/>
        <v>0</v>
      </c>
      <c r="BL15" s="133">
        <f t="shared" si="0"/>
        <v>9414963.9089829046</v>
      </c>
      <c r="BM15" s="133">
        <f t="shared" si="0"/>
        <v>9414963.9089829046</v>
      </c>
      <c r="BN15" s="133">
        <f t="shared" si="0"/>
        <v>2460728.0029820395</v>
      </c>
      <c r="BP15" s="154">
        <f>BE15/[4]Annual!HZ15</f>
        <v>0.10413553767157337</v>
      </c>
      <c r="BQ15" s="154">
        <f>BF15/[4]Annual!IA15</f>
        <v>0.98951681315922979</v>
      </c>
      <c r="BR15" s="154">
        <f>BG15/[4]Annual!IB15</f>
        <v>1.648877216818917</v>
      </c>
      <c r="BS15" s="154">
        <f>BH15/[4]Annual!IC15</f>
        <v>0.63091823039003281</v>
      </c>
      <c r="BT15" s="154">
        <f>BI15/[4]Annual!ID15</f>
        <v>0.73192316653628853</v>
      </c>
      <c r="BU15" s="154">
        <f>BJ15/[4]Annual!IE15</f>
        <v>0</v>
      </c>
      <c r="BV15" s="154">
        <f>BK15/[4]Annual!IF15</f>
        <v>0</v>
      </c>
      <c r="BW15" s="154">
        <f>BL15/[4]Annual!IG15</f>
        <v>0.97685763996358288</v>
      </c>
      <c r="BX15" s="154">
        <f>BM15/[4]Annual!IH15</f>
        <v>0.97685763996358288</v>
      </c>
      <c r="BY15" s="154">
        <f>BN15/[4]Annual!II15</f>
        <v>0.24995415139639979</v>
      </c>
    </row>
    <row r="16" spans="1:77" x14ac:dyDescent="0.25">
      <c r="A16">
        <v>2036</v>
      </c>
      <c r="B16" s="133">
        <f>('[2]WA Res Incremental EE'!ST16+'[2]WA Com Incremental EE'!SI16)*'[5]Energy Efficiency'!$BR$9</f>
        <v>1634054.5626361142</v>
      </c>
      <c r="C16" s="133">
        <f>('[2]WA Res Incremental EE'!SU16+'[2]WA Com Incremental EE'!SJ16)*'[5]Energy Efficiency'!$BR$9</f>
        <v>1634054.5626361142</v>
      </c>
      <c r="D16" s="133">
        <f>('[2]WA Res Incremental EE'!SV16+'[2]WA Com Incremental EE'!SK16)*'[5]Energy Efficiency'!$BR$9</f>
        <v>4965583.7229669141</v>
      </c>
      <c r="E16" s="133">
        <f>('[2]WA Res Incremental EE'!SW16+'[2]WA Com Incremental EE'!SL16)*'[5]Energy Efficiency'!$BR$9</f>
        <v>1634054.5626361142</v>
      </c>
      <c r="F16" s="133">
        <f>('[2]WA Res Incremental EE'!SX16+'[2]WA Com Incremental EE'!SM16)*'[5]Energy Efficiency'!$BR$9</f>
        <v>289169.98491961294</v>
      </c>
      <c r="G16" s="133">
        <v>0</v>
      </c>
      <c r="H16" s="133">
        <v>0</v>
      </c>
      <c r="I16" s="133">
        <f>('[2]WA Res Incremental EE'!TA16+'[2]WA Com Incremental EE'!SP16)*'[5]Energy Efficiency'!$BR$9</f>
        <v>1634054.5626361142</v>
      </c>
      <c r="J16" s="133">
        <f>('[2]WA Res Incremental EE'!TB16+'[2]WA Com Incremental EE'!SQ16)*'[5]Energy Efficiency'!$BR$9</f>
        <v>1634054.5626361142</v>
      </c>
      <c r="K16" s="133">
        <f>('[2]WA Res Incremental EE'!TC16+'[2]WA Com Incremental EE'!SR16)*'[5]Energy Efficiency'!$BR$9</f>
        <v>1634054.5626361142</v>
      </c>
      <c r="L16" s="133"/>
      <c r="M16" s="133">
        <f>('[2]WA-Res-Existing Cust'!SO50*0.87*'[2]Key Inputs'!$C$74)+('[2]WA-Res-Existing Cust'!SO178*0.67*'[2]Key Inputs'!$C$75)+('[2]WA-Res-Cust Growth'!SQ48*0.87*'[2]Key Inputs'!$C$74)+('[2]WA-Res-Cust Growth'!SQ176*0.87*'[2]Key Inputs'!$C$75)+('[2]WA-Com-Existing Cust'!SO50*0.87*'[2]Key Inputs'!$C$78)+('[2]WA-Com-Cust Growth'!SQ48*0.87*'[2]Key Inputs'!$C$78)</f>
        <v>0</v>
      </c>
      <c r="N16" s="133">
        <f>('[2]WA-Res-Existing Cust'!SP50*0.87*'[2]Key Inputs'!$C$74)+('[2]WA-Res-Existing Cust'!SP178*0.67*'[2]Key Inputs'!$C$75)+('[2]WA-Res-Cust Growth'!SR48*0.87*'[2]Key Inputs'!$C$74)+('[2]WA-Res-Cust Growth'!SR176*0.87*'[2]Key Inputs'!$C$75)+('[2]WA-Com-Existing Cust'!SP50*0.87*'[2]Key Inputs'!$C$78)+('[2]WA-Com-Cust Growth'!SR48*0.87*'[2]Key Inputs'!$C$78)</f>
        <v>7363230.367983155</v>
      </c>
      <c r="O16" s="133">
        <f>('[2]WA-Res-Existing Cust'!SQ50*0.87*'[2]Key Inputs'!$C$74)+('[2]WA-Res-Existing Cust'!SQ178*0.67*'[2]Key Inputs'!$C$75)+('[2]WA-Res-Cust Growth'!SS48*0.87*'[2]Key Inputs'!$C$74)+('[2]WA-Res-Cust Growth'!SS176*0.87*'[2]Key Inputs'!$C$75)+('[2]WA-Com-Existing Cust'!SQ50*0.87*'[2]Key Inputs'!$C$78)+('[2]WA-Com-Cust Growth'!SS48*0.87*'[2]Key Inputs'!$C$78)</f>
        <v>11930965.650103576</v>
      </c>
      <c r="P16" s="133">
        <f>('[2]WA-Res-Existing Cust'!SR50*0.87*'[2]Key Inputs'!$C$74)+('[2]WA-Res-Existing Cust'!SR178*0.67*'[2]Key Inputs'!$C$75)+('[2]WA-Res-Cust Growth'!ST48*0.87*'[2]Key Inputs'!$C$74)+('[2]WA-Res-Cust Growth'!ST176*0.87*'[2]Key Inputs'!$C$75)+('[2]WA-Com-Existing Cust'!SR50*0.87*'[2]Key Inputs'!$C$78)+('[2]WA-Com-Cust Growth'!ST48*0.87*'[2]Key Inputs'!$C$78)</f>
        <v>2505600</v>
      </c>
      <c r="Q16" s="133">
        <f>('[2]WA-Res-Existing Cust'!SS50*0.87*'[2]Key Inputs'!$C$74)+('[2]WA-Res-Existing Cust'!SS178*0.67*'[2]Key Inputs'!$C$75)+('[2]WA-Res-Cust Growth'!SU48*0.87*'[2]Key Inputs'!$C$74)+('[2]WA-Res-Cust Growth'!SU176*0.87*'[2]Key Inputs'!$C$75)+('[2]WA-Com-Existing Cust'!SS50*0.87*'[2]Key Inputs'!$C$78)+('[2]WA-Com-Cust Growth'!SU48*0.87*'[2]Key Inputs'!$C$78)</f>
        <v>5509625.3066526297</v>
      </c>
      <c r="R16" s="133">
        <f>('[2]WA-Res-Existing Cust'!ST50*0.87*'[2]Key Inputs'!$C$74)+('[2]WA-Res-Existing Cust'!ST178*0.67*'[2]Key Inputs'!$C$75)+('[2]WA-Res-Cust Growth'!SV48*0.87*'[2]Key Inputs'!$C$74)+('[2]WA-Res-Cust Growth'!SV176*0.87*'[2]Key Inputs'!$C$75)+('[2]WA-Com-Existing Cust'!ST50*0.87*'[2]Key Inputs'!$C$78)+('[2]WA-Com-Cust Growth'!SV48*0.87*'[2]Key Inputs'!$C$78)</f>
        <v>0</v>
      </c>
      <c r="S16" s="133">
        <f>('[2]WA-Res-Existing Cust'!SU50*0.87*'[2]Key Inputs'!$C$74)+('[2]WA-Res-Existing Cust'!SU178*0.67*'[2]Key Inputs'!$C$75)+('[2]WA-Res-Cust Growth'!SW48*0.87*'[2]Key Inputs'!$C$74)+('[2]WA-Res-Cust Growth'!SW176*0.87*'[2]Key Inputs'!$C$75)+('[2]WA-Com-Existing Cust'!SU50*0.87*'[2]Key Inputs'!$C$78)+('[2]WA-Com-Cust Growth'!SW48*0.87*'[2]Key Inputs'!$C$78)</f>
        <v>0</v>
      </c>
      <c r="T16" s="133">
        <f>('[2]WA-Res-Existing Cust'!SV50*0.87*'[2]Key Inputs'!$C$74)+('[2]WA-Res-Existing Cust'!SV178*0.67*'[2]Key Inputs'!$C$75)+('[2]WA-Res-Cust Growth'!SX48*0.87*'[2]Key Inputs'!$C$74)+('[2]WA-Res-Cust Growth'!SX176*0.87*'[2]Key Inputs'!$C$75)+('[2]WA-Com-Existing Cust'!SV50*0.87*'[2]Key Inputs'!$C$78)+('[2]WA-Com-Cust Growth'!SX48*0.87*'[2]Key Inputs'!$C$78)</f>
        <v>7363230.367983155</v>
      </c>
      <c r="U16" s="133">
        <f>('[2]WA-Res-Existing Cust'!SW50*0.87*'[2]Key Inputs'!$C$74)+('[2]WA-Res-Existing Cust'!SW178*0.67*'[2]Key Inputs'!$C$75)+('[2]WA-Res-Cust Growth'!SY48*0.87*'[2]Key Inputs'!$C$74)+('[2]WA-Res-Cust Growth'!SY176*0.87*'[2]Key Inputs'!$C$75)+('[2]WA-Com-Existing Cust'!SW50*0.87*'[2]Key Inputs'!$C$78)+('[2]WA-Com-Cust Growth'!SY48*0.87*'[2]Key Inputs'!$C$78)</f>
        <v>7363230.367983155</v>
      </c>
      <c r="V16" s="133">
        <f>('[2]WA-Res-Existing Cust'!SX50*0.87*'[2]Key Inputs'!$C$74)+('[2]WA-Res-Existing Cust'!SX178*0.67*'[2]Key Inputs'!$C$75)+('[2]WA-Res-Cust Growth'!SZ48*0.87*'[2]Key Inputs'!$C$74)+('[2]WA-Res-Cust Growth'!SZ176*0.87*'[2]Key Inputs'!$C$75)+('[2]WA-Com-Existing Cust'!SX50*0.87*'[2]Key Inputs'!$C$78)+('[2]WA-Com-Cust Growth'!SZ48*0.87*'[2]Key Inputs'!$C$78)</f>
        <v>751680</v>
      </c>
      <c r="X16" s="63">
        <f>(('[2]WA-Res-Existing Cust'!SO114+'[2]WA-Res-Cust Growth'!SQ112)*'[2]Key Inputs'!$C$73)+(('[2]WA-Com-Existing Cust'!SO114+'[2]WA-Com-Cust Growth'!SQ112)*'[2]Key Inputs'!$C$77)</f>
        <v>0</v>
      </c>
      <c r="Y16" s="63">
        <f>(('[2]WA-Res-Existing Cust'!SP114+'[2]WA-Res-Cust Growth'!SR112)*'[2]Key Inputs'!$C$73)+(('[2]WA-Com-Existing Cust'!SP114+'[2]WA-Com-Cust Growth'!SR112)*'[2]Key Inputs'!$C$77)</f>
        <v>750365.34731831658</v>
      </c>
      <c r="Z16" s="63">
        <f>(('[2]WA-Res-Existing Cust'!SQ114+'[2]WA-Res-Cust Growth'!SS112)*'[2]Key Inputs'!$C$73)+(('[2]WA-Com-Existing Cust'!SQ114+'[2]WA-Com-Cust Growth'!SS112)*'[2]Key Inputs'!$C$77)</f>
        <v>639587.95533737214</v>
      </c>
      <c r="AA16" s="63">
        <f>(('[2]WA-Res-Existing Cust'!SR114+'[2]WA-Res-Cust Growth'!ST112)*'[2]Key Inputs'!$C$73)+(('[2]WA-Com-Existing Cust'!SR114+'[2]WA-Com-Cust Growth'!ST112)*'[2]Key Inputs'!$C$77)</f>
        <v>1595482.5385852414</v>
      </c>
      <c r="AB16" s="63">
        <f>(('[2]WA-Res-Existing Cust'!SS114+'[2]WA-Res-Cust Growth'!SU112)*'[2]Key Inputs'!$C$73)+(('[2]WA-Com-Existing Cust'!SS114+'[2]WA-Com-Cust Growth'!SU112)*'[2]Key Inputs'!$C$77)</f>
        <v>478644.76157557243</v>
      </c>
      <c r="AC16" s="63">
        <f>(('[2]WA-Res-Existing Cust'!ST114+'[2]WA-Res-Cust Growth'!SV112)*'[2]Key Inputs'!$C$73)+(('[2]WA-Com-Existing Cust'!ST114+'[2]WA-Com-Cust Growth'!SV112)*'[2]Key Inputs'!$C$77)</f>
        <v>0</v>
      </c>
      <c r="AD16" s="63">
        <f>(('[2]WA-Res-Existing Cust'!SU114+'[2]WA-Res-Cust Growth'!SW112)*'[2]Key Inputs'!$C$73)+(('[2]WA-Com-Existing Cust'!SU114+'[2]WA-Com-Cust Growth'!SW112)*'[2]Key Inputs'!$C$77)</f>
        <v>0</v>
      </c>
      <c r="AE16" s="63">
        <f>(('[2]WA-Res-Existing Cust'!SV114+'[2]WA-Res-Cust Growth'!SX112)*'[2]Key Inputs'!$C$73)+(('[2]WA-Com-Existing Cust'!SV114+'[2]WA-Com-Cust Growth'!SX112)*'[2]Key Inputs'!$C$77)</f>
        <v>750365.34731831658</v>
      </c>
      <c r="AF16" s="63">
        <f>(('[2]WA-Res-Existing Cust'!SW114+'[2]WA-Res-Cust Growth'!SY112)*'[2]Key Inputs'!$C$73)+(('[2]WA-Com-Existing Cust'!SW114+'[2]WA-Com-Cust Growth'!SY112)*'[2]Key Inputs'!$C$77)</f>
        <v>750365.34731831658</v>
      </c>
      <c r="AG16" s="63">
        <f>(('[2]WA-Res-Existing Cust'!SX114+'[2]WA-Res-Cust Growth'!SZ112)*'[2]Key Inputs'!$C$73)+(('[2]WA-Com-Existing Cust'!SX114+'[2]WA-Com-Cust Growth'!SZ112)*'[2]Key Inputs'!$C$77)</f>
        <v>478644.76157557243</v>
      </c>
      <c r="AI16" s="152">
        <f>'[6]WA-IndComSales-Annual'!TF18*2.33</f>
        <v>0</v>
      </c>
      <c r="AJ16" s="152">
        <f>'[6]WA-IndComSales-Annual'!TG18*2.33</f>
        <v>0</v>
      </c>
      <c r="AK16" s="152">
        <f>'[6]WA-IndComSales-Annual'!TH18*2.33</f>
        <v>25325.977615695745</v>
      </c>
      <c r="AL16" s="152">
        <f>'[6]WA-IndComSales-Annual'!TI18*2.33</f>
        <v>0</v>
      </c>
      <c r="AM16" s="152">
        <f>'[6]WA-IndComSales-Annual'!TJ18*2.33</f>
        <v>0</v>
      </c>
      <c r="AN16" s="152">
        <f>'[6]WA-IndComSales-Annual'!TK18*2.33</f>
        <v>0</v>
      </c>
      <c r="AO16" s="152">
        <f>'[6]WA-IndComSales-Annual'!TL18*2.33</f>
        <v>0</v>
      </c>
      <c r="AP16" s="152">
        <f>'[6]WA-IndComSales-Annual'!TM18*2.33</f>
        <v>0</v>
      </c>
      <c r="AQ16" s="152">
        <f>'[6]WA-IndComSales-Annual'!TN18*2.33</f>
        <v>0</v>
      </c>
      <c r="AR16" s="152">
        <f>'[6]WA-IndComSales-Annual'!TO18*2.33</f>
        <v>0</v>
      </c>
      <c r="AT16">
        <v>0</v>
      </c>
      <c r="AU16" s="152">
        <f>'[6]WA-Transport-Annual'!TE18*1.79</f>
        <v>128166.81316401568</v>
      </c>
      <c r="AV16" s="152">
        <f>'[6]WA-Transport-Annual'!TF18*1.79</f>
        <v>256333.62632803136</v>
      </c>
      <c r="AW16" s="152">
        <f>'[6]WA-Transport-Annual'!TG18*1.79</f>
        <v>128166.81316401568</v>
      </c>
      <c r="AX16" s="152">
        <f>'[6]WA-Transport-Annual'!TH18*1.79</f>
        <v>128166.81316401568</v>
      </c>
      <c r="AY16" s="152">
        <f>'[6]WA-Transport-Annual'!TI18*1.79</f>
        <v>0</v>
      </c>
      <c r="AZ16" s="152">
        <f>'[6]WA-Transport-Annual'!TJ18*1.79</f>
        <v>0</v>
      </c>
      <c r="BA16" s="152">
        <f>'[6]WA-Transport-Annual'!TK18*1.79</f>
        <v>128166.81316401568</v>
      </c>
      <c r="BB16" s="152">
        <f>'[6]WA-Transport-Annual'!TL18*1.79</f>
        <v>128166.81316401568</v>
      </c>
      <c r="BC16" s="152">
        <f>'[6]WA-Transport-Annual'!TM18*1.79</f>
        <v>64083.406582007839</v>
      </c>
      <c r="BE16" s="133">
        <f t="shared" si="1"/>
        <v>1634054.5626361142</v>
      </c>
      <c r="BF16" s="133">
        <f t="shared" si="0"/>
        <v>9875817.0911016017</v>
      </c>
      <c r="BG16" s="133">
        <f t="shared" si="0"/>
        <v>17817796.932351589</v>
      </c>
      <c r="BH16" s="133">
        <f t="shared" si="0"/>
        <v>5863303.9143853709</v>
      </c>
      <c r="BI16" s="133">
        <f t="shared" si="0"/>
        <v>6405606.8663118305</v>
      </c>
      <c r="BJ16" s="133">
        <f t="shared" si="0"/>
        <v>0</v>
      </c>
      <c r="BK16" s="133">
        <f t="shared" si="0"/>
        <v>0</v>
      </c>
      <c r="BL16" s="133">
        <f t="shared" si="0"/>
        <v>9875817.0911016017</v>
      </c>
      <c r="BM16" s="133">
        <f t="shared" si="0"/>
        <v>9875817.0911016017</v>
      </c>
      <c r="BN16" s="133">
        <f t="shared" si="0"/>
        <v>2928462.7307936945</v>
      </c>
      <c r="BP16" s="154">
        <f>BE16/[4]Annual!HZ16</f>
        <v>0.14438206560983083</v>
      </c>
      <c r="BQ16" s="154">
        <f>BF16/[4]Annual!IA16</f>
        <v>1.0389148040957554</v>
      </c>
      <c r="BR16" s="154">
        <f>BG16/[4]Annual!IB16</f>
        <v>1.8692580237143714</v>
      </c>
      <c r="BS16" s="154">
        <f>BH16/[4]Annual!IC16</f>
        <v>0.69235669383357945</v>
      </c>
      <c r="BT16" s="154">
        <f>BI16/[4]Annual!ID16</f>
        <v>0.74975693369375473</v>
      </c>
      <c r="BU16" s="154">
        <f>BJ16/[4]Annual!IE16</f>
        <v>0</v>
      </c>
      <c r="BV16" s="154">
        <f>BK16/[4]Annual!IF16</f>
        <v>0</v>
      </c>
      <c r="BW16" s="154">
        <f>BL16/[4]Annual!IG16</f>
        <v>1.0258278401770591</v>
      </c>
      <c r="BX16" s="154">
        <f>BM16/[4]Annual!IH16</f>
        <v>1.0258278401770591</v>
      </c>
      <c r="BY16" s="154">
        <f>BN16/[4]Annual!II16</f>
        <v>0.29692987742289717</v>
      </c>
    </row>
    <row r="17" spans="1:77" x14ac:dyDescent="0.25">
      <c r="A17">
        <v>2037</v>
      </c>
      <c r="B17" s="133">
        <f>('[2]WA Res Incremental EE'!ST17+'[2]WA Com Incremental EE'!SI17)*'[5]Energy Efficiency'!$BR$9</f>
        <v>1676032.59828112</v>
      </c>
      <c r="C17" s="133">
        <f>('[2]WA Res Incremental EE'!SU17+'[2]WA Com Incremental EE'!SJ17)*'[5]Energy Efficiency'!$BR$9</f>
        <v>1676032.59828112</v>
      </c>
      <c r="D17" s="133">
        <f>('[2]WA Res Incremental EE'!SV17+'[2]WA Com Incremental EE'!SK17)*'[5]Energy Efficiency'!$BR$9</f>
        <v>5088781.7661596369</v>
      </c>
      <c r="E17" s="133">
        <f>('[2]WA Res Incremental EE'!SW17+'[2]WA Com Incremental EE'!SL17)*'[5]Energy Efficiency'!$BR$9</f>
        <v>1676032.59828112</v>
      </c>
      <c r="F17" s="133">
        <f>('[2]WA Res Incremental EE'!SX17+'[2]WA Com Incremental EE'!SM17)*'[5]Energy Efficiency'!$BR$9</f>
        <v>265533.50180840906</v>
      </c>
      <c r="G17" s="133">
        <v>0</v>
      </c>
      <c r="H17" s="133">
        <v>0</v>
      </c>
      <c r="I17" s="133">
        <f>('[2]WA Res Incremental EE'!TA17+'[2]WA Com Incremental EE'!SP17)*'[5]Energy Efficiency'!$BR$9</f>
        <v>1676032.59828112</v>
      </c>
      <c r="J17" s="133">
        <f>('[2]WA Res Incremental EE'!TB17+'[2]WA Com Incremental EE'!SQ17)*'[5]Energy Efficiency'!$BR$9</f>
        <v>1676032.59828112</v>
      </c>
      <c r="K17" s="133">
        <f>('[2]WA Res Incremental EE'!TC17+'[2]WA Com Incremental EE'!SR17)*'[5]Energy Efficiency'!$BR$9</f>
        <v>1676032.59828112</v>
      </c>
      <c r="L17" s="133"/>
      <c r="M17" s="133">
        <f>('[2]WA-Res-Existing Cust'!SO51*0.87*'[2]Key Inputs'!$C$74)+('[2]WA-Res-Existing Cust'!SO179*0.67*'[2]Key Inputs'!$C$75)+('[2]WA-Res-Cust Growth'!SQ49*0.87*'[2]Key Inputs'!$C$74)+('[2]WA-Res-Cust Growth'!SQ177*0.87*'[2]Key Inputs'!$C$75)+('[2]WA-Com-Existing Cust'!SO51*0.87*'[2]Key Inputs'!$C$78)+('[2]WA-Com-Cust Growth'!SQ49*0.87*'[2]Key Inputs'!$C$78)</f>
        <v>0</v>
      </c>
      <c r="N17" s="133">
        <f>('[2]WA-Res-Existing Cust'!SP51*0.87*'[2]Key Inputs'!$C$74)+('[2]WA-Res-Existing Cust'!SP179*0.67*'[2]Key Inputs'!$C$75)+('[2]WA-Res-Cust Growth'!SR49*0.87*'[2]Key Inputs'!$C$74)+('[2]WA-Res-Cust Growth'!SR177*0.87*'[2]Key Inputs'!$C$75)+('[2]WA-Com-Existing Cust'!SP51*0.87*'[2]Key Inputs'!$C$78)+('[2]WA-Com-Cust Growth'!SR49*0.87*'[2]Key Inputs'!$C$78)</f>
        <v>6988098.5952756926</v>
      </c>
      <c r="O17" s="133">
        <f>('[2]WA-Res-Existing Cust'!SQ51*0.87*'[2]Key Inputs'!$C$74)+('[2]WA-Res-Existing Cust'!SQ179*0.67*'[2]Key Inputs'!$C$75)+('[2]WA-Res-Cust Growth'!SS49*0.87*'[2]Key Inputs'!$C$74)+('[2]WA-Res-Cust Growth'!SS177*0.87*'[2]Key Inputs'!$C$75)+('[2]WA-Com-Existing Cust'!SQ51*0.87*'[2]Key Inputs'!$C$78)+('[2]WA-Com-Cust Growth'!SS49*0.87*'[2]Key Inputs'!$C$78)</f>
        <v>12874485.602780536</v>
      </c>
      <c r="P17" s="133">
        <f>('[2]WA-Res-Existing Cust'!SR51*0.87*'[2]Key Inputs'!$C$74)+('[2]WA-Res-Existing Cust'!SR179*0.67*'[2]Key Inputs'!$C$75)+('[2]WA-Res-Cust Growth'!ST49*0.87*'[2]Key Inputs'!$C$74)+('[2]WA-Res-Cust Growth'!ST177*0.87*'[2]Key Inputs'!$C$75)+('[2]WA-Com-Existing Cust'!SR51*0.87*'[2]Key Inputs'!$C$78)+('[2]WA-Com-Cust Growth'!ST49*0.87*'[2]Key Inputs'!$C$78)</f>
        <v>2505600</v>
      </c>
      <c r="Q17" s="133">
        <f>('[2]WA-Res-Existing Cust'!SS51*0.87*'[2]Key Inputs'!$C$74)+('[2]WA-Res-Existing Cust'!SS179*0.67*'[2]Key Inputs'!$C$75)+('[2]WA-Res-Cust Growth'!SU49*0.87*'[2]Key Inputs'!$C$74)+('[2]WA-Res-Cust Growth'!SU177*0.87*'[2]Key Inputs'!$C$75)+('[2]WA-Com-Existing Cust'!SS51*0.87*'[2]Key Inputs'!$C$78)+('[2]WA-Com-Cust Growth'!SU49*0.87*'[2]Key Inputs'!$C$78)</f>
        <v>5135401.4034637082</v>
      </c>
      <c r="R17" s="133">
        <f>('[2]WA-Res-Existing Cust'!ST51*0.87*'[2]Key Inputs'!$C$74)+('[2]WA-Res-Existing Cust'!ST179*0.67*'[2]Key Inputs'!$C$75)+('[2]WA-Res-Cust Growth'!SV49*0.87*'[2]Key Inputs'!$C$74)+('[2]WA-Res-Cust Growth'!SV177*0.87*'[2]Key Inputs'!$C$75)+('[2]WA-Com-Existing Cust'!ST51*0.87*'[2]Key Inputs'!$C$78)+('[2]WA-Com-Cust Growth'!SV49*0.87*'[2]Key Inputs'!$C$78)</f>
        <v>0</v>
      </c>
      <c r="S17" s="133">
        <f>('[2]WA-Res-Existing Cust'!SU51*0.87*'[2]Key Inputs'!$C$74)+('[2]WA-Res-Existing Cust'!SU179*0.67*'[2]Key Inputs'!$C$75)+('[2]WA-Res-Cust Growth'!SW49*0.87*'[2]Key Inputs'!$C$74)+('[2]WA-Res-Cust Growth'!SW177*0.87*'[2]Key Inputs'!$C$75)+('[2]WA-Com-Existing Cust'!SU51*0.87*'[2]Key Inputs'!$C$78)+('[2]WA-Com-Cust Growth'!SW49*0.87*'[2]Key Inputs'!$C$78)</f>
        <v>0</v>
      </c>
      <c r="T17" s="133">
        <f>('[2]WA-Res-Existing Cust'!SV51*0.87*'[2]Key Inputs'!$C$74)+('[2]WA-Res-Existing Cust'!SV179*0.67*'[2]Key Inputs'!$C$75)+('[2]WA-Res-Cust Growth'!SX49*0.87*'[2]Key Inputs'!$C$74)+('[2]WA-Res-Cust Growth'!SX177*0.87*'[2]Key Inputs'!$C$75)+('[2]WA-Com-Existing Cust'!SV51*0.87*'[2]Key Inputs'!$C$78)+('[2]WA-Com-Cust Growth'!SX49*0.87*'[2]Key Inputs'!$C$78)</f>
        <v>6988098.5952756926</v>
      </c>
      <c r="U17" s="133">
        <f>('[2]WA-Res-Existing Cust'!SW51*0.87*'[2]Key Inputs'!$C$74)+('[2]WA-Res-Existing Cust'!SW179*0.67*'[2]Key Inputs'!$C$75)+('[2]WA-Res-Cust Growth'!SY49*0.87*'[2]Key Inputs'!$C$74)+('[2]WA-Res-Cust Growth'!SY177*0.87*'[2]Key Inputs'!$C$75)+('[2]WA-Com-Existing Cust'!SW51*0.87*'[2]Key Inputs'!$C$78)+('[2]WA-Com-Cust Growth'!SY49*0.87*'[2]Key Inputs'!$C$78)</f>
        <v>6988098.5952756926</v>
      </c>
      <c r="V17" s="133">
        <f>('[2]WA-Res-Existing Cust'!SX51*0.87*'[2]Key Inputs'!$C$74)+('[2]WA-Res-Existing Cust'!SX179*0.67*'[2]Key Inputs'!$C$75)+('[2]WA-Res-Cust Growth'!SZ49*0.87*'[2]Key Inputs'!$C$74)+('[2]WA-Res-Cust Growth'!SZ177*0.87*'[2]Key Inputs'!$C$75)+('[2]WA-Com-Existing Cust'!SX51*0.87*'[2]Key Inputs'!$C$78)+('[2]WA-Com-Cust Growth'!SZ49*0.87*'[2]Key Inputs'!$C$78)</f>
        <v>751680</v>
      </c>
      <c r="X17" s="63">
        <f>(('[2]WA-Res-Existing Cust'!SO115+'[2]WA-Res-Cust Growth'!SQ113)*'[2]Key Inputs'!$C$73)+(('[2]WA-Com-Existing Cust'!SO115+'[2]WA-Com-Cust Growth'!SQ113)*'[2]Key Inputs'!$C$77)</f>
        <v>0</v>
      </c>
      <c r="Y17" s="63">
        <f>(('[2]WA-Res-Existing Cust'!SP115+'[2]WA-Res-Cust Growth'!SR113)*'[2]Key Inputs'!$C$73)+(('[2]WA-Com-Existing Cust'!SP115+'[2]WA-Com-Cust Growth'!SR113)*'[2]Key Inputs'!$C$77)</f>
        <v>748541.95183958602</v>
      </c>
      <c r="Z17" s="63">
        <f>(('[2]WA-Res-Existing Cust'!SQ115+'[2]WA-Res-Cust Growth'!SS113)*'[2]Key Inputs'!$C$73)+(('[2]WA-Com-Existing Cust'!SQ115+'[2]WA-Com-Cust Growth'!SS113)*'[2]Key Inputs'!$C$77)</f>
        <v>682010.43128999125</v>
      </c>
      <c r="AA17" s="63">
        <f>(('[2]WA-Res-Existing Cust'!SR115+'[2]WA-Res-Cust Growth'!ST113)*'[2]Key Inputs'!$C$73)+(('[2]WA-Com-Existing Cust'!SR115+'[2]WA-Com-Cust Growth'!ST113)*'[2]Key Inputs'!$C$77)</f>
        <v>1594105.5741664066</v>
      </c>
      <c r="AB17" s="63">
        <f>(('[2]WA-Res-Existing Cust'!SS115+'[2]WA-Res-Cust Growth'!SU113)*'[2]Key Inputs'!$C$73)+(('[2]WA-Com-Existing Cust'!SS115+'[2]WA-Com-Cust Growth'!SU113)*'[2]Key Inputs'!$C$77)</f>
        <v>478231.67224992195</v>
      </c>
      <c r="AC17" s="63">
        <f>(('[2]WA-Res-Existing Cust'!ST115+'[2]WA-Res-Cust Growth'!SV113)*'[2]Key Inputs'!$C$73)+(('[2]WA-Com-Existing Cust'!ST115+'[2]WA-Com-Cust Growth'!SV113)*'[2]Key Inputs'!$C$77)</f>
        <v>0</v>
      </c>
      <c r="AD17" s="63">
        <f>(('[2]WA-Res-Existing Cust'!SU115+'[2]WA-Res-Cust Growth'!SW113)*'[2]Key Inputs'!$C$73)+(('[2]WA-Com-Existing Cust'!SU115+'[2]WA-Com-Cust Growth'!SW113)*'[2]Key Inputs'!$C$77)</f>
        <v>0</v>
      </c>
      <c r="AE17" s="63">
        <f>(('[2]WA-Res-Existing Cust'!SV115+'[2]WA-Res-Cust Growth'!SX113)*'[2]Key Inputs'!$C$73)+(('[2]WA-Com-Existing Cust'!SV115+'[2]WA-Com-Cust Growth'!SX113)*'[2]Key Inputs'!$C$77)</f>
        <v>748541.95183958602</v>
      </c>
      <c r="AF17" s="63">
        <f>(('[2]WA-Res-Existing Cust'!SW115+'[2]WA-Res-Cust Growth'!SY113)*'[2]Key Inputs'!$C$73)+(('[2]WA-Com-Existing Cust'!SW115+'[2]WA-Com-Cust Growth'!SY113)*'[2]Key Inputs'!$C$77)</f>
        <v>748541.95183958602</v>
      </c>
      <c r="AG17" s="63">
        <f>(('[2]WA-Res-Existing Cust'!SX115+'[2]WA-Res-Cust Growth'!SZ113)*'[2]Key Inputs'!$C$73)+(('[2]WA-Com-Existing Cust'!SX115+'[2]WA-Com-Cust Growth'!SZ113)*'[2]Key Inputs'!$C$77)</f>
        <v>478231.67224992195</v>
      </c>
      <c r="AI17" s="152">
        <f>'[6]WA-IndComSales-Annual'!TF19*2.33</f>
        <v>0</v>
      </c>
      <c r="AJ17" s="152">
        <f>'[6]WA-IndComSales-Annual'!TG19*2.33</f>
        <v>0</v>
      </c>
      <c r="AK17" s="152">
        <f>'[6]WA-IndComSales-Annual'!TH19*2.33</f>
        <v>18878.207410199717</v>
      </c>
      <c r="AL17" s="152">
        <f>'[6]WA-IndComSales-Annual'!TI19*2.33</f>
        <v>0</v>
      </c>
      <c r="AM17" s="152">
        <f>'[6]WA-IndComSales-Annual'!TJ19*2.33</f>
        <v>0</v>
      </c>
      <c r="AN17" s="152">
        <f>'[6]WA-IndComSales-Annual'!TK19*2.33</f>
        <v>0</v>
      </c>
      <c r="AO17" s="152">
        <f>'[6]WA-IndComSales-Annual'!TL19*2.33</f>
        <v>0</v>
      </c>
      <c r="AP17" s="152">
        <f>'[6]WA-IndComSales-Annual'!TM19*2.33</f>
        <v>0</v>
      </c>
      <c r="AQ17" s="152">
        <f>'[6]WA-IndComSales-Annual'!TN19*2.33</f>
        <v>0</v>
      </c>
      <c r="AR17" s="152">
        <f>'[6]WA-IndComSales-Annual'!TO19*2.33</f>
        <v>0</v>
      </c>
      <c r="AT17">
        <v>0</v>
      </c>
      <c r="AU17" s="152">
        <f>'[6]WA-Transport-Annual'!TE19*1.79</f>
        <v>111940.27181300065</v>
      </c>
      <c r="AV17" s="152">
        <f>'[6]WA-Transport-Annual'!TF19*1.79</f>
        <v>223880.54362600131</v>
      </c>
      <c r="AW17" s="152">
        <f>'[6]WA-Transport-Annual'!TG19*1.79</f>
        <v>111940.27181300065</v>
      </c>
      <c r="AX17" s="152">
        <f>'[6]WA-Transport-Annual'!TH19*1.79</f>
        <v>111940.27181300065</v>
      </c>
      <c r="AY17" s="152">
        <f>'[6]WA-Transport-Annual'!TI19*1.79</f>
        <v>0</v>
      </c>
      <c r="AZ17" s="152">
        <f>'[6]WA-Transport-Annual'!TJ19*1.79</f>
        <v>0</v>
      </c>
      <c r="BA17" s="152">
        <f>'[6]WA-Transport-Annual'!TK19*1.79</f>
        <v>111940.27181300065</v>
      </c>
      <c r="BB17" s="152">
        <f>'[6]WA-Transport-Annual'!TL19*1.79</f>
        <v>111940.27181300065</v>
      </c>
      <c r="BC17" s="152">
        <f>'[6]WA-Transport-Annual'!TM19*1.79</f>
        <v>55970.135906501993</v>
      </c>
      <c r="BE17" s="133">
        <f t="shared" si="1"/>
        <v>1676032.59828112</v>
      </c>
      <c r="BF17" s="133">
        <f t="shared" si="0"/>
        <v>9524613.4172093999</v>
      </c>
      <c r="BG17" s="133">
        <f t="shared" si="0"/>
        <v>18888036.551266368</v>
      </c>
      <c r="BH17" s="133">
        <f t="shared" si="0"/>
        <v>5887678.4442605274</v>
      </c>
      <c r="BI17" s="133">
        <f t="shared" si="0"/>
        <v>5991106.849335039</v>
      </c>
      <c r="BJ17" s="133">
        <f t="shared" si="0"/>
        <v>0</v>
      </c>
      <c r="BK17" s="133">
        <f t="shared" si="0"/>
        <v>0</v>
      </c>
      <c r="BL17" s="133">
        <f t="shared" si="0"/>
        <v>9524613.4172093999</v>
      </c>
      <c r="BM17" s="133">
        <f t="shared" si="0"/>
        <v>9524613.4172093999</v>
      </c>
      <c r="BN17" s="133">
        <f t="shared" si="0"/>
        <v>2961914.4064375442</v>
      </c>
      <c r="BP17" s="154">
        <f>BE17/[4]Annual!HZ17</f>
        <v>0.14823445668315385</v>
      </c>
      <c r="BQ17" s="154">
        <f>BF17/[4]Annual!IA17</f>
        <v>1.0163760985651207</v>
      </c>
      <c r="BR17" s="154">
        <f>BG17/[4]Annual!IB17</f>
        <v>2.013813826461996</v>
      </c>
      <c r="BS17" s="154">
        <f>BH17/[4]Annual!IC17</f>
        <v>0.71313184247684669</v>
      </c>
      <c r="BT17" s="154">
        <f>BI17/[4]Annual!ID17</f>
        <v>0.71752480289757303</v>
      </c>
      <c r="BU17" s="154">
        <f>BJ17/[4]Annual!IE17</f>
        <v>0</v>
      </c>
      <c r="BV17" s="154">
        <f>BK17/[4]Annual!IF17</f>
        <v>0</v>
      </c>
      <c r="BW17" s="154">
        <f>BL17/[4]Annual!IG17</f>
        <v>1.0036084273157109</v>
      </c>
      <c r="BX17" s="154">
        <f>BM17/[4]Annual!IH17</f>
        <v>1.0036084273157109</v>
      </c>
      <c r="BY17" s="154">
        <f>BN17/[4]Annual!II17</f>
        <v>0.3038084693746087</v>
      </c>
    </row>
    <row r="18" spans="1:77" x14ac:dyDescent="0.25">
      <c r="A18">
        <v>2038</v>
      </c>
      <c r="B18" s="133">
        <f>('[2]WA Res Incremental EE'!ST18+'[2]WA Com Incremental EE'!SI18)*'[5]Energy Efficiency'!$BR$9</f>
        <v>1559691.954289519</v>
      </c>
      <c r="C18" s="133">
        <f>('[2]WA Res Incremental EE'!SU18+'[2]WA Com Incremental EE'!SJ18)*'[5]Energy Efficiency'!$BR$9</f>
        <v>1559691.954289519</v>
      </c>
      <c r="D18" s="133">
        <f>('[2]WA Res Incremental EE'!SV18+'[2]WA Com Incremental EE'!SK18)*'[5]Energy Efficiency'!$BR$9</f>
        <v>5080951.0615179287</v>
      </c>
      <c r="E18" s="133">
        <f>('[2]WA Res Incremental EE'!SW18+'[2]WA Com Incremental EE'!SL18)*'[5]Energy Efficiency'!$BR$9</f>
        <v>1559691.954289519</v>
      </c>
      <c r="F18" s="133">
        <f>('[2]WA Res Incremental EE'!SX18+'[2]WA Com Incremental EE'!SM18)*'[5]Energy Efficiency'!$BR$9</f>
        <v>209735.0692888526</v>
      </c>
      <c r="G18" s="133">
        <v>0</v>
      </c>
      <c r="H18" s="133">
        <v>0</v>
      </c>
      <c r="I18" s="133">
        <f>('[2]WA Res Incremental EE'!TA18+'[2]WA Com Incremental EE'!SP18)*'[5]Energy Efficiency'!$BR$9</f>
        <v>1559691.954289519</v>
      </c>
      <c r="J18" s="133">
        <f>('[2]WA Res Incremental EE'!TB18+'[2]WA Com Incremental EE'!SQ18)*'[5]Energy Efficiency'!$BR$9</f>
        <v>1559691.954289519</v>
      </c>
      <c r="K18" s="133">
        <f>('[2]WA Res Incremental EE'!TC18+'[2]WA Com Incremental EE'!SR18)*'[5]Energy Efficiency'!$BR$9</f>
        <v>1559691.954289519</v>
      </c>
      <c r="L18" s="133"/>
      <c r="M18" s="133">
        <f>('[2]WA-Res-Existing Cust'!SO52*0.87*'[2]Key Inputs'!$C$74)+('[2]WA-Res-Existing Cust'!SO180*0.67*'[2]Key Inputs'!$C$75)+('[2]WA-Res-Cust Growth'!SQ50*0.87*'[2]Key Inputs'!$C$74)+('[2]WA-Res-Cust Growth'!SQ178*0.87*'[2]Key Inputs'!$C$75)+('[2]WA-Com-Existing Cust'!SO52*0.87*'[2]Key Inputs'!$C$78)+('[2]WA-Com-Cust Growth'!SQ50*0.87*'[2]Key Inputs'!$C$78)</f>
        <v>0</v>
      </c>
      <c r="N18" s="133">
        <f>('[2]WA-Res-Existing Cust'!SP52*0.87*'[2]Key Inputs'!$C$74)+('[2]WA-Res-Existing Cust'!SP180*0.67*'[2]Key Inputs'!$C$75)+('[2]WA-Res-Cust Growth'!SR50*0.87*'[2]Key Inputs'!$C$74)+('[2]WA-Res-Cust Growth'!SR178*0.87*'[2]Key Inputs'!$C$75)+('[2]WA-Com-Existing Cust'!SP52*0.87*'[2]Key Inputs'!$C$78)+('[2]WA-Com-Cust Growth'!SR50*0.87*'[2]Key Inputs'!$C$78)</f>
        <v>6613381.7211776357</v>
      </c>
      <c r="O18" s="133">
        <f>('[2]WA-Res-Existing Cust'!SQ52*0.87*'[2]Key Inputs'!$C$74)+('[2]WA-Res-Existing Cust'!SQ180*0.67*'[2]Key Inputs'!$C$75)+('[2]WA-Res-Cust Growth'!SS50*0.87*'[2]Key Inputs'!$C$74)+('[2]WA-Res-Cust Growth'!SS178*0.87*'[2]Key Inputs'!$C$75)+('[2]WA-Com-Existing Cust'!SQ52*0.87*'[2]Key Inputs'!$C$78)+('[2]WA-Com-Cust Growth'!SS50*0.87*'[2]Key Inputs'!$C$78)</f>
        <v>13596338.038802829</v>
      </c>
      <c r="P18" s="133">
        <f>('[2]WA-Res-Existing Cust'!SR52*0.87*'[2]Key Inputs'!$C$74)+('[2]WA-Res-Existing Cust'!SR180*0.67*'[2]Key Inputs'!$C$75)+('[2]WA-Res-Cust Growth'!ST50*0.87*'[2]Key Inputs'!$C$74)+('[2]WA-Res-Cust Growth'!ST178*0.87*'[2]Key Inputs'!$C$75)+('[2]WA-Com-Existing Cust'!SR52*0.87*'[2]Key Inputs'!$C$78)+('[2]WA-Com-Cust Growth'!ST50*0.87*'[2]Key Inputs'!$C$78)</f>
        <v>2505600</v>
      </c>
      <c r="Q18" s="133">
        <f>('[2]WA-Res-Existing Cust'!SS52*0.87*'[2]Key Inputs'!$C$74)+('[2]WA-Res-Existing Cust'!SS180*0.67*'[2]Key Inputs'!$C$75)+('[2]WA-Res-Cust Growth'!SU50*0.87*'[2]Key Inputs'!$C$74)+('[2]WA-Res-Cust Growth'!SU178*0.87*'[2]Key Inputs'!$C$75)+('[2]WA-Com-Existing Cust'!SS52*0.87*'[2]Key Inputs'!$C$78)+('[2]WA-Com-Cust Growth'!SU50*0.87*'[2]Key Inputs'!$C$78)</f>
        <v>4761591.9861444589</v>
      </c>
      <c r="R18" s="133">
        <f>('[2]WA-Res-Existing Cust'!ST52*0.87*'[2]Key Inputs'!$C$74)+('[2]WA-Res-Existing Cust'!ST180*0.67*'[2]Key Inputs'!$C$75)+('[2]WA-Res-Cust Growth'!SV50*0.87*'[2]Key Inputs'!$C$74)+('[2]WA-Res-Cust Growth'!SV178*0.87*'[2]Key Inputs'!$C$75)+('[2]WA-Com-Existing Cust'!ST52*0.87*'[2]Key Inputs'!$C$78)+('[2]WA-Com-Cust Growth'!SV50*0.87*'[2]Key Inputs'!$C$78)</f>
        <v>0</v>
      </c>
      <c r="S18" s="133">
        <f>('[2]WA-Res-Existing Cust'!SU52*0.87*'[2]Key Inputs'!$C$74)+('[2]WA-Res-Existing Cust'!SU180*0.67*'[2]Key Inputs'!$C$75)+('[2]WA-Res-Cust Growth'!SW50*0.87*'[2]Key Inputs'!$C$74)+('[2]WA-Res-Cust Growth'!SW178*0.87*'[2]Key Inputs'!$C$75)+('[2]WA-Com-Existing Cust'!SU52*0.87*'[2]Key Inputs'!$C$78)+('[2]WA-Com-Cust Growth'!SW50*0.87*'[2]Key Inputs'!$C$78)</f>
        <v>0</v>
      </c>
      <c r="T18" s="133">
        <f>('[2]WA-Res-Existing Cust'!SV52*0.87*'[2]Key Inputs'!$C$74)+('[2]WA-Res-Existing Cust'!SV180*0.67*'[2]Key Inputs'!$C$75)+('[2]WA-Res-Cust Growth'!SX50*0.87*'[2]Key Inputs'!$C$74)+('[2]WA-Res-Cust Growth'!SX178*0.87*'[2]Key Inputs'!$C$75)+('[2]WA-Com-Existing Cust'!SV52*0.87*'[2]Key Inputs'!$C$78)+('[2]WA-Com-Cust Growth'!SX50*0.87*'[2]Key Inputs'!$C$78)</f>
        <v>6613381.7211776357</v>
      </c>
      <c r="U18" s="133">
        <f>('[2]WA-Res-Existing Cust'!SW52*0.87*'[2]Key Inputs'!$C$74)+('[2]WA-Res-Existing Cust'!SW180*0.67*'[2]Key Inputs'!$C$75)+('[2]WA-Res-Cust Growth'!SY50*0.87*'[2]Key Inputs'!$C$74)+('[2]WA-Res-Cust Growth'!SY178*0.87*'[2]Key Inputs'!$C$75)+('[2]WA-Com-Existing Cust'!SW52*0.87*'[2]Key Inputs'!$C$78)+('[2]WA-Com-Cust Growth'!SY50*0.87*'[2]Key Inputs'!$C$78)</f>
        <v>6613381.7211776357</v>
      </c>
      <c r="V18" s="133">
        <f>('[2]WA-Res-Existing Cust'!SX52*0.87*'[2]Key Inputs'!$C$74)+('[2]WA-Res-Existing Cust'!SX180*0.67*'[2]Key Inputs'!$C$75)+('[2]WA-Res-Cust Growth'!SZ50*0.87*'[2]Key Inputs'!$C$74)+('[2]WA-Res-Cust Growth'!SZ178*0.87*'[2]Key Inputs'!$C$75)+('[2]WA-Com-Existing Cust'!SX52*0.87*'[2]Key Inputs'!$C$78)+('[2]WA-Com-Cust Growth'!SZ50*0.87*'[2]Key Inputs'!$C$78)</f>
        <v>751680</v>
      </c>
      <c r="X18" s="63">
        <f>(('[2]WA-Res-Existing Cust'!SO116+'[2]WA-Res-Cust Growth'!SQ114)*'[2]Key Inputs'!$C$73)+(('[2]WA-Com-Existing Cust'!SO116+'[2]WA-Com-Cust Growth'!SQ114)*'[2]Key Inputs'!$C$77)</f>
        <v>0</v>
      </c>
      <c r="Y18" s="63">
        <f>(('[2]WA-Res-Existing Cust'!SP116+'[2]WA-Res-Cust Growth'!SR114)*'[2]Key Inputs'!$C$73)+(('[2]WA-Com-Existing Cust'!SP116+'[2]WA-Com-Cust Growth'!SR114)*'[2]Key Inputs'!$C$77)</f>
        <v>746571.38161350088</v>
      </c>
      <c r="Z18" s="63">
        <f>(('[2]WA-Res-Existing Cust'!SQ116+'[2]WA-Res-Cust Growth'!SS114)*'[2]Key Inputs'!$C$73)+(('[2]WA-Com-Existing Cust'!SQ116+'[2]WA-Com-Cust Growth'!SS114)*'[2]Key Inputs'!$C$77)</f>
        <v>714693.4247396678</v>
      </c>
      <c r="AA18" s="63">
        <f>(('[2]WA-Res-Existing Cust'!SR116+'[2]WA-Res-Cust Growth'!ST114)*'[2]Key Inputs'!$C$73)+(('[2]WA-Com-Existing Cust'!SR116+'[2]WA-Com-Cust Growth'!ST114)*'[2]Key Inputs'!$C$77)</f>
        <v>1592732.2383235269</v>
      </c>
      <c r="AB18" s="63">
        <f>(('[2]WA-Res-Existing Cust'!SS116+'[2]WA-Res-Cust Growth'!SU114)*'[2]Key Inputs'!$C$73)+(('[2]WA-Com-Existing Cust'!SS116+'[2]WA-Com-Cust Growth'!SU114)*'[2]Key Inputs'!$C$77)</f>
        <v>477819.67149705812</v>
      </c>
      <c r="AC18" s="63">
        <f>(('[2]WA-Res-Existing Cust'!ST116+'[2]WA-Res-Cust Growth'!SV114)*'[2]Key Inputs'!$C$73)+(('[2]WA-Com-Existing Cust'!ST116+'[2]WA-Com-Cust Growth'!SV114)*'[2]Key Inputs'!$C$77)</f>
        <v>0</v>
      </c>
      <c r="AD18" s="63">
        <f>(('[2]WA-Res-Existing Cust'!SU116+'[2]WA-Res-Cust Growth'!SW114)*'[2]Key Inputs'!$C$73)+(('[2]WA-Com-Existing Cust'!SU116+'[2]WA-Com-Cust Growth'!SW114)*'[2]Key Inputs'!$C$77)</f>
        <v>0</v>
      </c>
      <c r="AE18" s="63">
        <f>(('[2]WA-Res-Existing Cust'!SV116+'[2]WA-Res-Cust Growth'!SX114)*'[2]Key Inputs'!$C$73)+(('[2]WA-Com-Existing Cust'!SV116+'[2]WA-Com-Cust Growth'!SX114)*'[2]Key Inputs'!$C$77)</f>
        <v>746571.38161350088</v>
      </c>
      <c r="AF18" s="63">
        <f>(('[2]WA-Res-Existing Cust'!SW116+'[2]WA-Res-Cust Growth'!SY114)*'[2]Key Inputs'!$C$73)+(('[2]WA-Com-Existing Cust'!SW116+'[2]WA-Com-Cust Growth'!SY114)*'[2]Key Inputs'!$C$77)</f>
        <v>746571.38161350088</v>
      </c>
      <c r="AG18" s="63">
        <f>(('[2]WA-Res-Existing Cust'!SX116+'[2]WA-Res-Cust Growth'!SZ114)*'[2]Key Inputs'!$C$73)+(('[2]WA-Com-Existing Cust'!SX116+'[2]WA-Com-Cust Growth'!SZ114)*'[2]Key Inputs'!$C$77)</f>
        <v>477819.67149705812</v>
      </c>
      <c r="AI18" s="152">
        <f>'[6]WA-IndComSales-Annual'!TF20*2.33</f>
        <v>0</v>
      </c>
      <c r="AJ18" s="152">
        <f>'[6]WA-IndComSales-Annual'!TG20*2.33</f>
        <v>0</v>
      </c>
      <c r="AK18" s="152">
        <f>'[6]WA-IndComSales-Annual'!TH20*2.33</f>
        <v>18612.656634504943</v>
      </c>
      <c r="AL18" s="152">
        <f>'[6]WA-IndComSales-Annual'!TI20*2.33</f>
        <v>0</v>
      </c>
      <c r="AM18" s="152">
        <f>'[6]WA-IndComSales-Annual'!TJ20*2.33</f>
        <v>0</v>
      </c>
      <c r="AN18" s="152">
        <f>'[6]WA-IndComSales-Annual'!TK20*2.33</f>
        <v>0</v>
      </c>
      <c r="AO18" s="152">
        <f>'[6]WA-IndComSales-Annual'!TL20*2.33</f>
        <v>0</v>
      </c>
      <c r="AP18" s="152">
        <f>'[6]WA-IndComSales-Annual'!TM20*2.33</f>
        <v>0</v>
      </c>
      <c r="AQ18" s="152">
        <f>'[6]WA-IndComSales-Annual'!TN20*2.33</f>
        <v>0</v>
      </c>
      <c r="AR18" s="152">
        <f>'[6]WA-IndComSales-Annual'!TO20*2.33</f>
        <v>0</v>
      </c>
      <c r="AT18">
        <v>0</v>
      </c>
      <c r="AU18" s="152">
        <f>'[6]WA-Transport-Annual'!TE20*1.79</f>
        <v>111023.90869998546</v>
      </c>
      <c r="AV18" s="152">
        <f>'[6]WA-Transport-Annual'!TF20*1.79</f>
        <v>222047.81739997093</v>
      </c>
      <c r="AW18" s="152">
        <f>'[6]WA-Transport-Annual'!TG20*1.79</f>
        <v>111023.90869998546</v>
      </c>
      <c r="AX18" s="152">
        <f>'[6]WA-Transport-Annual'!TH20*1.79</f>
        <v>111023.90869998546</v>
      </c>
      <c r="AY18" s="152">
        <f>'[6]WA-Transport-Annual'!TI20*1.79</f>
        <v>0</v>
      </c>
      <c r="AZ18" s="152">
        <f>'[6]WA-Transport-Annual'!TJ20*1.79</f>
        <v>0</v>
      </c>
      <c r="BA18" s="152">
        <f>'[6]WA-Transport-Annual'!TK20*1.79</f>
        <v>111023.90869998546</v>
      </c>
      <c r="BB18" s="152">
        <f>'[6]WA-Transport-Annual'!TL20*1.79</f>
        <v>111023.90869998546</v>
      </c>
      <c r="BC18" s="152">
        <f>'[6]WA-Transport-Annual'!TM20*1.79</f>
        <v>55511.954349991065</v>
      </c>
      <c r="BE18" s="133">
        <f t="shared" si="1"/>
        <v>1559691.954289519</v>
      </c>
      <c r="BF18" s="133">
        <f t="shared" si="1"/>
        <v>9030668.9657806419</v>
      </c>
      <c r="BG18" s="133">
        <f t="shared" si="1"/>
        <v>19632642.9990949</v>
      </c>
      <c r="BH18" s="133">
        <f t="shared" si="1"/>
        <v>5769048.1013130322</v>
      </c>
      <c r="BI18" s="133">
        <f t="shared" si="1"/>
        <v>5560170.6356303552</v>
      </c>
      <c r="BJ18" s="133">
        <f t="shared" si="1"/>
        <v>0</v>
      </c>
      <c r="BK18" s="133">
        <f t="shared" si="1"/>
        <v>0</v>
      </c>
      <c r="BL18" s="133">
        <f t="shared" si="1"/>
        <v>9030668.9657806419</v>
      </c>
      <c r="BM18" s="133">
        <f t="shared" si="1"/>
        <v>9030668.9657806419</v>
      </c>
      <c r="BN18" s="133">
        <f t="shared" si="1"/>
        <v>2844703.5801365683</v>
      </c>
      <c r="BP18" s="154">
        <f>BE18/[4]Annual!HZ18</f>
        <v>0.13724787000843233</v>
      </c>
      <c r="BQ18" s="154">
        <f>BF18/[4]Annual!IA18</f>
        <v>0.97163869850654816</v>
      </c>
      <c r="BR18" s="154">
        <f>BG18/[4]Annual!IB18</f>
        <v>2.1152559980862842</v>
      </c>
      <c r="BS18" s="154">
        <f>BH18/[4]Annual!IC18</f>
        <v>0.71313953940269359</v>
      </c>
      <c r="BT18" s="154">
        <f>BI18/[4]Annual!ID18</f>
        <v>0.6771110465798319</v>
      </c>
      <c r="BU18" s="154">
        <f>BJ18/[4]Annual!IE18</f>
        <v>0</v>
      </c>
      <c r="BV18" s="154">
        <f>BK18/[4]Annual!IF18</f>
        <v>0</v>
      </c>
      <c r="BW18" s="154">
        <f>BL18/[4]Annual!IG18</f>
        <v>0.9594186180062132</v>
      </c>
      <c r="BX18" s="154">
        <f>BM18/[4]Annual!IH18</f>
        <v>0.9594186180062132</v>
      </c>
      <c r="BY18" s="154">
        <f>BN18/[4]Annual!II18</f>
        <v>0.29343844694905391</v>
      </c>
    </row>
    <row r="19" spans="1:77" x14ac:dyDescent="0.25">
      <c r="A19">
        <v>2039</v>
      </c>
      <c r="B19" s="133">
        <f>('[2]WA Res Incremental EE'!ST19+'[2]WA Com Incremental EE'!SI19)*'[5]Energy Efficiency'!$BR$9</f>
        <v>1639293.1148060244</v>
      </c>
      <c r="C19" s="133">
        <f>('[2]WA Res Incremental EE'!SU19+'[2]WA Com Incremental EE'!SJ19)*'[5]Energy Efficiency'!$BR$9</f>
        <v>1639293.1148060244</v>
      </c>
      <c r="D19" s="133">
        <f>('[2]WA Res Incremental EE'!SV19+'[2]WA Com Incremental EE'!SK19)*'[5]Energy Efficiency'!$BR$9</f>
        <v>5265901.4666050626</v>
      </c>
      <c r="E19" s="133">
        <f>('[2]WA Res Incremental EE'!SW19+'[2]WA Com Incremental EE'!SL19)*'[5]Energy Efficiency'!$BR$9</f>
        <v>1639293.1148060244</v>
      </c>
      <c r="F19" s="133">
        <f>('[2]WA Res Incremental EE'!SX19+'[2]WA Com Incremental EE'!SM19)*'[5]Energy Efficiency'!$BR$9</f>
        <v>204998.14096783192</v>
      </c>
      <c r="G19" s="133">
        <v>0</v>
      </c>
      <c r="H19" s="133">
        <v>0</v>
      </c>
      <c r="I19" s="133">
        <f>('[2]WA Res Incremental EE'!TA19+'[2]WA Com Incremental EE'!SP19)*'[5]Energy Efficiency'!$BR$9</f>
        <v>1639293.1148060244</v>
      </c>
      <c r="J19" s="133">
        <f>('[2]WA Res Incremental EE'!TB19+'[2]WA Com Incremental EE'!SQ19)*'[5]Energy Efficiency'!$BR$9</f>
        <v>1639293.1148060244</v>
      </c>
      <c r="K19" s="133">
        <f>('[2]WA Res Incremental EE'!TC19+'[2]WA Com Incremental EE'!SR19)*'[5]Energy Efficiency'!$BR$9</f>
        <v>1639293.1148060244</v>
      </c>
      <c r="L19" s="133"/>
      <c r="M19" s="133">
        <f>('[2]WA-Res-Existing Cust'!SO53*0.87*'[2]Key Inputs'!$C$74)+('[2]WA-Res-Existing Cust'!SO181*0.67*'[2]Key Inputs'!$C$75)+('[2]WA-Res-Cust Growth'!SQ51*0.87*'[2]Key Inputs'!$C$74)+('[2]WA-Res-Cust Growth'!SQ179*0.87*'[2]Key Inputs'!$C$75)+('[2]WA-Com-Existing Cust'!SO53*0.87*'[2]Key Inputs'!$C$78)+('[2]WA-Com-Cust Growth'!SQ51*0.87*'[2]Key Inputs'!$C$78)</f>
        <v>0</v>
      </c>
      <c r="N19" s="133">
        <f>('[2]WA-Res-Existing Cust'!SP53*0.87*'[2]Key Inputs'!$C$74)+('[2]WA-Res-Existing Cust'!SP181*0.67*'[2]Key Inputs'!$C$75)+('[2]WA-Res-Cust Growth'!SR51*0.87*'[2]Key Inputs'!$C$74)+('[2]WA-Res-Cust Growth'!SR179*0.87*'[2]Key Inputs'!$C$75)+('[2]WA-Com-Existing Cust'!SP53*0.87*'[2]Key Inputs'!$C$78)+('[2]WA-Com-Cust Growth'!SR51*0.87*'[2]Key Inputs'!$C$78)</f>
        <v>6239041.5962597821</v>
      </c>
      <c r="O19" s="133">
        <f>('[2]WA-Res-Existing Cust'!SQ53*0.87*'[2]Key Inputs'!$C$74)+('[2]WA-Res-Existing Cust'!SQ181*0.67*'[2]Key Inputs'!$C$75)+('[2]WA-Res-Cust Growth'!SS51*0.87*'[2]Key Inputs'!$C$74)+('[2]WA-Res-Cust Growth'!SS179*0.87*'[2]Key Inputs'!$C$75)+('[2]WA-Com-Existing Cust'!SQ53*0.87*'[2]Key Inputs'!$C$78)+('[2]WA-Com-Cust Growth'!SS51*0.87*'[2]Key Inputs'!$C$78)</f>
        <v>14023129.309239183</v>
      </c>
      <c r="P19" s="133">
        <f>('[2]WA-Res-Existing Cust'!SR53*0.87*'[2]Key Inputs'!$C$74)+('[2]WA-Res-Existing Cust'!SR181*0.67*'[2]Key Inputs'!$C$75)+('[2]WA-Res-Cust Growth'!ST51*0.87*'[2]Key Inputs'!$C$74)+('[2]WA-Res-Cust Growth'!ST179*0.87*'[2]Key Inputs'!$C$75)+('[2]WA-Com-Existing Cust'!SR53*0.87*'[2]Key Inputs'!$C$78)+('[2]WA-Com-Cust Growth'!ST51*0.87*'[2]Key Inputs'!$C$78)</f>
        <v>2505600</v>
      </c>
      <c r="Q19" s="133">
        <f>('[2]WA-Res-Existing Cust'!SS53*0.87*'[2]Key Inputs'!$C$74)+('[2]WA-Res-Existing Cust'!SS181*0.67*'[2]Key Inputs'!$C$75)+('[2]WA-Res-Cust Growth'!SU51*0.87*'[2]Key Inputs'!$C$74)+('[2]WA-Res-Cust Growth'!SU179*0.87*'[2]Key Inputs'!$C$75)+('[2]WA-Com-Existing Cust'!SS53*0.87*'[2]Key Inputs'!$C$78)+('[2]WA-Com-Cust Growth'!SU51*0.87*'[2]Key Inputs'!$C$78)</f>
        <v>4388165.4625031203</v>
      </c>
      <c r="R19" s="133">
        <f>('[2]WA-Res-Existing Cust'!ST53*0.87*'[2]Key Inputs'!$C$74)+('[2]WA-Res-Existing Cust'!ST181*0.67*'[2]Key Inputs'!$C$75)+('[2]WA-Res-Cust Growth'!SV51*0.87*'[2]Key Inputs'!$C$74)+('[2]WA-Res-Cust Growth'!SV179*0.87*'[2]Key Inputs'!$C$75)+('[2]WA-Com-Existing Cust'!ST53*0.87*'[2]Key Inputs'!$C$78)+('[2]WA-Com-Cust Growth'!SV51*0.87*'[2]Key Inputs'!$C$78)</f>
        <v>0</v>
      </c>
      <c r="S19" s="133">
        <f>('[2]WA-Res-Existing Cust'!SU53*0.87*'[2]Key Inputs'!$C$74)+('[2]WA-Res-Existing Cust'!SU181*0.67*'[2]Key Inputs'!$C$75)+('[2]WA-Res-Cust Growth'!SW51*0.87*'[2]Key Inputs'!$C$74)+('[2]WA-Res-Cust Growth'!SW179*0.87*'[2]Key Inputs'!$C$75)+('[2]WA-Com-Existing Cust'!SU53*0.87*'[2]Key Inputs'!$C$78)+('[2]WA-Com-Cust Growth'!SW51*0.87*'[2]Key Inputs'!$C$78)</f>
        <v>0</v>
      </c>
      <c r="T19" s="133">
        <f>('[2]WA-Res-Existing Cust'!SV53*0.87*'[2]Key Inputs'!$C$74)+('[2]WA-Res-Existing Cust'!SV181*0.67*'[2]Key Inputs'!$C$75)+('[2]WA-Res-Cust Growth'!SX51*0.87*'[2]Key Inputs'!$C$74)+('[2]WA-Res-Cust Growth'!SX179*0.87*'[2]Key Inputs'!$C$75)+('[2]WA-Com-Existing Cust'!SV53*0.87*'[2]Key Inputs'!$C$78)+('[2]WA-Com-Cust Growth'!SX51*0.87*'[2]Key Inputs'!$C$78)</f>
        <v>6239041.5962597821</v>
      </c>
      <c r="U19" s="133">
        <f>('[2]WA-Res-Existing Cust'!SW53*0.87*'[2]Key Inputs'!$C$74)+('[2]WA-Res-Existing Cust'!SW181*0.67*'[2]Key Inputs'!$C$75)+('[2]WA-Res-Cust Growth'!SY51*0.87*'[2]Key Inputs'!$C$74)+('[2]WA-Res-Cust Growth'!SY179*0.87*'[2]Key Inputs'!$C$75)+('[2]WA-Com-Existing Cust'!SW53*0.87*'[2]Key Inputs'!$C$78)+('[2]WA-Com-Cust Growth'!SY51*0.87*'[2]Key Inputs'!$C$78)</f>
        <v>6239041.5962597821</v>
      </c>
      <c r="V19" s="133">
        <f>('[2]WA-Res-Existing Cust'!SX53*0.87*'[2]Key Inputs'!$C$74)+('[2]WA-Res-Existing Cust'!SX181*0.67*'[2]Key Inputs'!$C$75)+('[2]WA-Res-Cust Growth'!SZ51*0.87*'[2]Key Inputs'!$C$74)+('[2]WA-Res-Cust Growth'!SZ179*0.87*'[2]Key Inputs'!$C$75)+('[2]WA-Com-Existing Cust'!SX53*0.87*'[2]Key Inputs'!$C$78)+('[2]WA-Com-Cust Growth'!SZ51*0.87*'[2]Key Inputs'!$C$78)</f>
        <v>751680</v>
      </c>
      <c r="X19" s="63">
        <f>(('[2]WA-Res-Existing Cust'!SO117+'[2]WA-Res-Cust Growth'!SQ115)*'[2]Key Inputs'!$C$73)+(('[2]WA-Com-Existing Cust'!SO117+'[2]WA-Com-Cust Growth'!SQ115)*'[2]Key Inputs'!$C$77)</f>
        <v>0</v>
      </c>
      <c r="Y19" s="63">
        <f>(('[2]WA-Res-Existing Cust'!SP117+'[2]WA-Res-Cust Growth'!SR115)*'[2]Key Inputs'!$C$73)+(('[2]WA-Com-Existing Cust'!SP117+'[2]WA-Com-Cust Growth'!SR115)*'[2]Key Inputs'!$C$77)</f>
        <v>745390.54106229835</v>
      </c>
      <c r="Z19" s="63">
        <f>(('[2]WA-Res-Existing Cust'!SQ117+'[2]WA-Res-Cust Growth'!SS115)*'[2]Key Inputs'!$C$73)+(('[2]WA-Com-Existing Cust'!SQ117+'[2]WA-Com-Cust Growth'!SS115)*'[2]Key Inputs'!$C$77)</f>
        <v>739769.34914897673</v>
      </c>
      <c r="AA19" s="63">
        <f>(('[2]WA-Res-Existing Cust'!SR117+'[2]WA-Res-Cust Growth'!ST115)*'[2]Key Inputs'!$C$73)+(('[2]WA-Com-Existing Cust'!SR117+'[2]WA-Com-Cust Growth'!ST115)*'[2]Key Inputs'!$C$77)</f>
        <v>1591351.7996715205</v>
      </c>
      <c r="AB19" s="63">
        <f>(('[2]WA-Res-Existing Cust'!SS117+'[2]WA-Res-Cust Growth'!SU115)*'[2]Key Inputs'!$C$73)+(('[2]WA-Com-Existing Cust'!SS117+'[2]WA-Com-Cust Growth'!SU115)*'[2]Key Inputs'!$C$77)</f>
        <v>477405.53990145616</v>
      </c>
      <c r="AC19" s="63">
        <f>(('[2]WA-Res-Existing Cust'!ST117+'[2]WA-Res-Cust Growth'!SV115)*'[2]Key Inputs'!$C$73)+(('[2]WA-Com-Existing Cust'!ST117+'[2]WA-Com-Cust Growth'!SV115)*'[2]Key Inputs'!$C$77)</f>
        <v>0</v>
      </c>
      <c r="AD19" s="63">
        <f>(('[2]WA-Res-Existing Cust'!SU117+'[2]WA-Res-Cust Growth'!SW115)*'[2]Key Inputs'!$C$73)+(('[2]WA-Com-Existing Cust'!SU117+'[2]WA-Com-Cust Growth'!SW115)*'[2]Key Inputs'!$C$77)</f>
        <v>0</v>
      </c>
      <c r="AE19" s="63">
        <f>(('[2]WA-Res-Existing Cust'!SV117+'[2]WA-Res-Cust Growth'!SX115)*'[2]Key Inputs'!$C$73)+(('[2]WA-Com-Existing Cust'!SV117+'[2]WA-Com-Cust Growth'!SX115)*'[2]Key Inputs'!$C$77)</f>
        <v>745390.54106229835</v>
      </c>
      <c r="AF19" s="63">
        <f>(('[2]WA-Res-Existing Cust'!SW117+'[2]WA-Res-Cust Growth'!SY115)*'[2]Key Inputs'!$C$73)+(('[2]WA-Com-Existing Cust'!SW117+'[2]WA-Com-Cust Growth'!SY115)*'[2]Key Inputs'!$C$77)</f>
        <v>745390.54106229835</v>
      </c>
      <c r="AG19" s="63">
        <f>(('[2]WA-Res-Existing Cust'!SX117+'[2]WA-Res-Cust Growth'!SZ115)*'[2]Key Inputs'!$C$73)+(('[2]WA-Com-Existing Cust'!SX117+'[2]WA-Com-Cust Growth'!SZ115)*'[2]Key Inputs'!$C$77)</f>
        <v>477405.53990145616</v>
      </c>
      <c r="AI19" s="152">
        <f>'[6]WA-IndComSales-Annual'!TF21*2.33</f>
        <v>0</v>
      </c>
      <c r="AJ19" s="152">
        <f>'[6]WA-IndComSales-Annual'!TG21*2.33</f>
        <v>0</v>
      </c>
      <c r="AK19" s="152">
        <f>'[6]WA-IndComSales-Annual'!TH21*2.33</f>
        <v>17113.731868994524</v>
      </c>
      <c r="AL19" s="152">
        <f>'[6]WA-IndComSales-Annual'!TI21*2.33</f>
        <v>0</v>
      </c>
      <c r="AM19" s="152">
        <f>'[6]WA-IndComSales-Annual'!TJ21*2.33</f>
        <v>0</v>
      </c>
      <c r="AN19" s="152">
        <f>'[6]WA-IndComSales-Annual'!TK21*2.33</f>
        <v>0</v>
      </c>
      <c r="AO19" s="152">
        <f>'[6]WA-IndComSales-Annual'!TL21*2.33</f>
        <v>0</v>
      </c>
      <c r="AP19" s="152">
        <f>'[6]WA-IndComSales-Annual'!TM21*2.33</f>
        <v>0</v>
      </c>
      <c r="AQ19" s="152">
        <f>'[6]WA-IndComSales-Annual'!TN21*2.33</f>
        <v>0</v>
      </c>
      <c r="AR19" s="152">
        <f>'[6]WA-IndComSales-Annual'!TO21*2.33</f>
        <v>0</v>
      </c>
      <c r="AT19">
        <v>0</v>
      </c>
      <c r="AU19" s="152">
        <f>'[6]WA-Transport-Annual'!TE21*1.79</f>
        <v>102711.08605000521</v>
      </c>
      <c r="AV19" s="152">
        <f>'[6]WA-Transport-Annual'!TF21*1.79</f>
        <v>205422.17210001042</v>
      </c>
      <c r="AW19" s="152">
        <f>'[6]WA-Transport-Annual'!TG21*1.79</f>
        <v>102711.08605000521</v>
      </c>
      <c r="AX19" s="152">
        <f>'[6]WA-Transport-Annual'!TH21*1.79</f>
        <v>102711.08605000521</v>
      </c>
      <c r="AY19" s="152">
        <f>'[6]WA-Transport-Annual'!TI21*1.79</f>
        <v>0</v>
      </c>
      <c r="AZ19" s="152">
        <f>'[6]WA-Transport-Annual'!TJ21*1.79</f>
        <v>0</v>
      </c>
      <c r="BA19" s="152">
        <f>'[6]WA-Transport-Annual'!TK21*1.79</f>
        <v>102711.08605000521</v>
      </c>
      <c r="BB19" s="152">
        <f>'[6]WA-Transport-Annual'!TL21*1.79</f>
        <v>102711.08605000521</v>
      </c>
      <c r="BC19" s="152">
        <f>'[6]WA-Transport-Annual'!TM21*1.79</f>
        <v>51355.54302500427</v>
      </c>
      <c r="BE19" s="133">
        <f t="shared" si="1"/>
        <v>1639293.1148060244</v>
      </c>
      <c r="BF19" s="133">
        <f t="shared" si="1"/>
        <v>8726436.3381781112</v>
      </c>
      <c r="BG19" s="133">
        <f t="shared" si="1"/>
        <v>20251336.028962228</v>
      </c>
      <c r="BH19" s="133">
        <f t="shared" si="1"/>
        <v>5838956.0005275505</v>
      </c>
      <c r="BI19" s="133">
        <f t="shared" si="1"/>
        <v>5173280.2294224137</v>
      </c>
      <c r="BJ19" s="133">
        <f t="shared" si="1"/>
        <v>0</v>
      </c>
      <c r="BK19" s="133">
        <f t="shared" si="1"/>
        <v>0</v>
      </c>
      <c r="BL19" s="133">
        <f t="shared" si="1"/>
        <v>8726436.3381781112</v>
      </c>
      <c r="BM19" s="133">
        <f t="shared" si="1"/>
        <v>8726436.3381781112</v>
      </c>
      <c r="BN19" s="133">
        <f t="shared" si="1"/>
        <v>2919734.1977324849</v>
      </c>
      <c r="BP19" s="154">
        <f>BE19/[4]Annual!HZ19</f>
        <v>0.14354144236237837</v>
      </c>
      <c r="BQ19" s="154">
        <f>BF19/[4]Annual!IA19</f>
        <v>0.94702997314688309</v>
      </c>
      <c r="BR19" s="154">
        <f>BG19/[4]Annual!IB19</f>
        <v>2.2053005850954053</v>
      </c>
      <c r="BS19" s="154">
        <f>BH19/[4]Annual!IC19</f>
        <v>0.73886490479488742</v>
      </c>
      <c r="BT19" s="154">
        <f>BI19/[4]Annual!ID19</f>
        <v>0.64086864105519292</v>
      </c>
      <c r="BU19" s="154">
        <f>BJ19/[4]Annual!IE19</f>
        <v>0</v>
      </c>
      <c r="BV19" s="154">
        <f>BK19/[4]Annual!IF19</f>
        <v>0</v>
      </c>
      <c r="BW19" s="154">
        <f>BL19/[4]Annual!IG19</f>
        <v>0.93498131294998554</v>
      </c>
      <c r="BX19" s="154">
        <f>BM19/[4]Annual!IH19</f>
        <v>0.93498131294998554</v>
      </c>
      <c r="BY19" s="154">
        <f>BN19/[4]Annual!II19</f>
        <v>0.3030290501771814</v>
      </c>
    </row>
    <row r="20" spans="1:77" x14ac:dyDescent="0.25">
      <c r="A20">
        <v>2040</v>
      </c>
      <c r="B20" s="133">
        <f>('[2]WA Res Incremental EE'!ST20+'[2]WA Com Incremental EE'!SI20)*'[5]Energy Efficiency'!$BR$9</f>
        <v>1804564.1394993081</v>
      </c>
      <c r="C20" s="133">
        <f>('[2]WA Res Incremental EE'!SU20+'[2]WA Com Incremental EE'!SJ20)*'[5]Energy Efficiency'!$BR$9</f>
        <v>1804564.1394993081</v>
      </c>
      <c r="D20" s="133">
        <f>('[2]WA Res Incremental EE'!SV20+'[2]WA Com Incremental EE'!SK20)*'[5]Energy Efficiency'!$BR$9</f>
        <v>5578146.6793241883</v>
      </c>
      <c r="E20" s="133">
        <f>('[2]WA Res Incremental EE'!SW20+'[2]WA Com Incremental EE'!SL20)*'[5]Energy Efficiency'!$BR$9</f>
        <v>1804564.1394993081</v>
      </c>
      <c r="F20" s="133">
        <f>('[2]WA Res Incremental EE'!SX20+'[2]WA Com Incremental EE'!SM20)*'[5]Energy Efficiency'!$BR$9</f>
        <v>218547.70774482074</v>
      </c>
      <c r="G20" s="133">
        <v>0</v>
      </c>
      <c r="H20" s="133">
        <v>0</v>
      </c>
      <c r="I20" s="133">
        <f>('[2]WA Res Incremental EE'!TA20+'[2]WA Com Incremental EE'!SP20)*'[5]Energy Efficiency'!$BR$9</f>
        <v>1804564.1394993081</v>
      </c>
      <c r="J20" s="133">
        <f>('[2]WA Res Incremental EE'!TB20+'[2]WA Com Incremental EE'!SQ20)*'[5]Energy Efficiency'!$BR$9</f>
        <v>1804564.1394993081</v>
      </c>
      <c r="K20" s="133">
        <f>('[2]WA Res Incremental EE'!TC20+'[2]WA Com Incremental EE'!SR20)*'[5]Energy Efficiency'!$BR$9</f>
        <v>1804564.1394993081</v>
      </c>
      <c r="L20" s="133"/>
      <c r="M20" s="133">
        <f>('[2]WA-Res-Existing Cust'!SO54*0.87*'[2]Key Inputs'!$C$74)+('[2]WA-Res-Existing Cust'!SO182*0.67*'[2]Key Inputs'!$C$75)+('[2]WA-Res-Cust Growth'!SQ52*0.87*'[2]Key Inputs'!$C$74)+('[2]WA-Res-Cust Growth'!SQ180*0.87*'[2]Key Inputs'!$C$75)+('[2]WA-Com-Existing Cust'!SO54*0.87*'[2]Key Inputs'!$C$78)+('[2]WA-Com-Cust Growth'!SQ52*0.87*'[2]Key Inputs'!$C$78)</f>
        <v>0</v>
      </c>
      <c r="N20" s="133">
        <f>('[2]WA-Res-Existing Cust'!SP54*0.87*'[2]Key Inputs'!$C$74)+('[2]WA-Res-Existing Cust'!SP182*0.67*'[2]Key Inputs'!$C$75)+('[2]WA-Res-Cust Growth'!SR52*0.87*'[2]Key Inputs'!$C$74)+('[2]WA-Res-Cust Growth'!SR180*0.87*'[2]Key Inputs'!$C$75)+('[2]WA-Com-Existing Cust'!SP54*0.87*'[2]Key Inputs'!$C$78)+('[2]WA-Com-Cust Growth'!SR52*0.87*'[2]Key Inputs'!$C$78)</f>
        <v>5865048.7664070344</v>
      </c>
      <c r="O20" s="133">
        <f>('[2]WA-Res-Existing Cust'!SQ54*0.87*'[2]Key Inputs'!$C$74)+('[2]WA-Res-Existing Cust'!SQ182*0.67*'[2]Key Inputs'!$C$75)+('[2]WA-Res-Cust Growth'!SS52*0.87*'[2]Key Inputs'!$C$74)+('[2]WA-Res-Cust Growth'!SS180*0.87*'[2]Key Inputs'!$C$75)+('[2]WA-Com-Existing Cust'!SQ54*0.87*'[2]Key Inputs'!$C$78)+('[2]WA-Com-Cust Growth'!SS52*0.87*'[2]Key Inputs'!$C$78)</f>
        <v>14229266.307728153</v>
      </c>
      <c r="P20" s="133">
        <f>('[2]WA-Res-Existing Cust'!SR54*0.87*'[2]Key Inputs'!$C$74)+('[2]WA-Res-Existing Cust'!SR182*0.67*'[2]Key Inputs'!$C$75)+('[2]WA-Res-Cust Growth'!ST52*0.87*'[2]Key Inputs'!$C$74)+('[2]WA-Res-Cust Growth'!ST180*0.87*'[2]Key Inputs'!$C$75)+('[2]WA-Com-Existing Cust'!SR54*0.87*'[2]Key Inputs'!$C$78)+('[2]WA-Com-Cust Growth'!ST52*0.87*'[2]Key Inputs'!$C$78)</f>
        <v>2505600</v>
      </c>
      <c r="Q20" s="133">
        <f>('[2]WA-Res-Existing Cust'!SS54*0.87*'[2]Key Inputs'!$C$74)+('[2]WA-Res-Existing Cust'!SS182*0.67*'[2]Key Inputs'!$C$75)+('[2]WA-Res-Cust Growth'!SU52*0.87*'[2]Key Inputs'!$C$74)+('[2]WA-Res-Cust Growth'!SU180*0.87*'[2]Key Inputs'!$C$75)+('[2]WA-Com-Existing Cust'!SS54*0.87*'[2]Key Inputs'!$C$78)+('[2]WA-Com-Cust Growth'!SU52*0.87*'[2]Key Inputs'!$C$78)</f>
        <v>4015097.4275104357</v>
      </c>
      <c r="R20" s="133">
        <f>('[2]WA-Res-Existing Cust'!ST54*0.87*'[2]Key Inputs'!$C$74)+('[2]WA-Res-Existing Cust'!ST182*0.67*'[2]Key Inputs'!$C$75)+('[2]WA-Res-Cust Growth'!SV52*0.87*'[2]Key Inputs'!$C$74)+('[2]WA-Res-Cust Growth'!SV180*0.87*'[2]Key Inputs'!$C$75)+('[2]WA-Com-Existing Cust'!ST54*0.87*'[2]Key Inputs'!$C$78)+('[2]WA-Com-Cust Growth'!SV52*0.87*'[2]Key Inputs'!$C$78)</f>
        <v>0</v>
      </c>
      <c r="S20" s="133">
        <f>('[2]WA-Res-Existing Cust'!SU54*0.87*'[2]Key Inputs'!$C$74)+('[2]WA-Res-Existing Cust'!SU182*0.67*'[2]Key Inputs'!$C$75)+('[2]WA-Res-Cust Growth'!SW52*0.87*'[2]Key Inputs'!$C$74)+('[2]WA-Res-Cust Growth'!SW180*0.87*'[2]Key Inputs'!$C$75)+('[2]WA-Com-Existing Cust'!SU54*0.87*'[2]Key Inputs'!$C$78)+('[2]WA-Com-Cust Growth'!SW52*0.87*'[2]Key Inputs'!$C$78)</f>
        <v>0</v>
      </c>
      <c r="T20" s="133">
        <f>('[2]WA-Res-Existing Cust'!SV54*0.87*'[2]Key Inputs'!$C$74)+('[2]WA-Res-Existing Cust'!SV182*0.67*'[2]Key Inputs'!$C$75)+('[2]WA-Res-Cust Growth'!SX52*0.87*'[2]Key Inputs'!$C$74)+('[2]WA-Res-Cust Growth'!SX180*0.87*'[2]Key Inputs'!$C$75)+('[2]WA-Com-Existing Cust'!SV54*0.87*'[2]Key Inputs'!$C$78)+('[2]WA-Com-Cust Growth'!SX52*0.87*'[2]Key Inputs'!$C$78)</f>
        <v>5865048.7664070344</v>
      </c>
      <c r="U20" s="133">
        <f>('[2]WA-Res-Existing Cust'!SW54*0.87*'[2]Key Inputs'!$C$74)+('[2]WA-Res-Existing Cust'!SW182*0.67*'[2]Key Inputs'!$C$75)+('[2]WA-Res-Cust Growth'!SY52*0.87*'[2]Key Inputs'!$C$74)+('[2]WA-Res-Cust Growth'!SY180*0.87*'[2]Key Inputs'!$C$75)+('[2]WA-Com-Existing Cust'!SW54*0.87*'[2]Key Inputs'!$C$78)+('[2]WA-Com-Cust Growth'!SY52*0.87*'[2]Key Inputs'!$C$78)</f>
        <v>5865048.7664070344</v>
      </c>
      <c r="V20" s="133">
        <f>('[2]WA-Res-Existing Cust'!SX54*0.87*'[2]Key Inputs'!$C$74)+('[2]WA-Res-Existing Cust'!SX182*0.67*'[2]Key Inputs'!$C$75)+('[2]WA-Res-Cust Growth'!SZ52*0.87*'[2]Key Inputs'!$C$74)+('[2]WA-Res-Cust Growth'!SZ180*0.87*'[2]Key Inputs'!$C$75)+('[2]WA-Com-Existing Cust'!SX54*0.87*'[2]Key Inputs'!$C$78)+('[2]WA-Com-Cust Growth'!SZ52*0.87*'[2]Key Inputs'!$C$78)</f>
        <v>751680</v>
      </c>
      <c r="X20" s="63">
        <f>(('[2]WA-Res-Existing Cust'!SO118+'[2]WA-Res-Cust Growth'!SQ116)*'[2]Key Inputs'!$C$73)+(('[2]WA-Com-Existing Cust'!SO118+'[2]WA-Com-Cust Growth'!SQ116)*'[2]Key Inputs'!$C$77)</f>
        <v>0</v>
      </c>
      <c r="Y20" s="63">
        <f>(('[2]WA-Res-Existing Cust'!SP118+'[2]WA-Res-Cust Growth'!SR116)*'[2]Key Inputs'!$C$73)+(('[2]WA-Com-Existing Cust'!SP118+'[2]WA-Com-Cust Growth'!SR116)*'[2]Key Inputs'!$C$77)</f>
        <v>745106.82542401692</v>
      </c>
      <c r="Z20" s="63">
        <f>(('[2]WA-Res-Existing Cust'!SQ118+'[2]WA-Res-Cust Growth'!SS116)*'[2]Key Inputs'!$C$73)+(('[2]WA-Com-Existing Cust'!SQ118+'[2]WA-Com-Cust Growth'!SS116)*'[2]Key Inputs'!$C$77)</f>
        <v>757797.31940889324</v>
      </c>
      <c r="AA20" s="63">
        <f>(('[2]WA-Res-Existing Cust'!SR118+'[2]WA-Res-Cust Growth'!ST116)*'[2]Key Inputs'!$C$73)+(('[2]WA-Com-Existing Cust'!SR118+'[2]WA-Com-Cust Growth'!ST116)*'[2]Key Inputs'!$C$77)</f>
        <v>1589955.4222890255</v>
      </c>
      <c r="AB20" s="63">
        <f>(('[2]WA-Res-Existing Cust'!SS118+'[2]WA-Res-Cust Growth'!SU116)*'[2]Key Inputs'!$C$73)+(('[2]WA-Com-Existing Cust'!SS118+'[2]WA-Com-Cust Growth'!SU116)*'[2]Key Inputs'!$C$77)</f>
        <v>476986.6266867076</v>
      </c>
      <c r="AC20" s="63">
        <f>(('[2]WA-Res-Existing Cust'!ST118+'[2]WA-Res-Cust Growth'!SV116)*'[2]Key Inputs'!$C$73)+(('[2]WA-Com-Existing Cust'!ST118+'[2]WA-Com-Cust Growth'!SV116)*'[2]Key Inputs'!$C$77)</f>
        <v>0</v>
      </c>
      <c r="AD20" s="63">
        <f>(('[2]WA-Res-Existing Cust'!SU118+'[2]WA-Res-Cust Growth'!SW116)*'[2]Key Inputs'!$C$73)+(('[2]WA-Com-Existing Cust'!SU118+'[2]WA-Com-Cust Growth'!SW116)*'[2]Key Inputs'!$C$77)</f>
        <v>0</v>
      </c>
      <c r="AE20" s="63">
        <f>(('[2]WA-Res-Existing Cust'!SV118+'[2]WA-Res-Cust Growth'!SX116)*'[2]Key Inputs'!$C$73)+(('[2]WA-Com-Existing Cust'!SV118+'[2]WA-Com-Cust Growth'!SX116)*'[2]Key Inputs'!$C$77)</f>
        <v>745106.82542401692</v>
      </c>
      <c r="AF20" s="63">
        <f>(('[2]WA-Res-Existing Cust'!SW118+'[2]WA-Res-Cust Growth'!SY116)*'[2]Key Inputs'!$C$73)+(('[2]WA-Com-Existing Cust'!SW118+'[2]WA-Com-Cust Growth'!SY116)*'[2]Key Inputs'!$C$77)</f>
        <v>745106.82542401692</v>
      </c>
      <c r="AG20" s="63">
        <f>(('[2]WA-Res-Existing Cust'!SX118+'[2]WA-Res-Cust Growth'!SZ116)*'[2]Key Inputs'!$C$73)+(('[2]WA-Com-Existing Cust'!SX118+'[2]WA-Com-Cust Growth'!SZ116)*'[2]Key Inputs'!$C$77)</f>
        <v>476986.6266867076</v>
      </c>
      <c r="AI20" s="152">
        <f>'[6]WA-IndComSales-Annual'!TF22*2.33</f>
        <v>0</v>
      </c>
      <c r="AJ20" s="152">
        <f>'[6]WA-IndComSales-Annual'!TG22*2.33</f>
        <v>0</v>
      </c>
      <c r="AK20" s="152">
        <f>'[6]WA-IndComSales-Annual'!TH22*2.33</f>
        <v>17816.722576503085</v>
      </c>
      <c r="AL20" s="152">
        <f>'[6]WA-IndComSales-Annual'!TI22*2.33</f>
        <v>0</v>
      </c>
      <c r="AM20" s="152">
        <f>'[6]WA-IndComSales-Annual'!TJ22*2.33</f>
        <v>0</v>
      </c>
      <c r="AN20" s="152">
        <f>'[6]WA-IndComSales-Annual'!TK22*2.33</f>
        <v>0</v>
      </c>
      <c r="AO20" s="152">
        <f>'[6]WA-IndComSales-Annual'!TL22*2.33</f>
        <v>0</v>
      </c>
      <c r="AP20" s="152">
        <f>'[6]WA-IndComSales-Annual'!TM22*2.33</f>
        <v>0</v>
      </c>
      <c r="AQ20" s="152">
        <f>'[6]WA-IndComSales-Annual'!TN22*2.33</f>
        <v>0</v>
      </c>
      <c r="AR20" s="152">
        <f>'[6]WA-IndComSales-Annual'!TO22*2.33</f>
        <v>0</v>
      </c>
      <c r="AT20">
        <v>0</v>
      </c>
      <c r="AU20" s="152">
        <f>'[6]WA-Transport-Annual'!TE22*1.79</f>
        <v>102458.44187000355</v>
      </c>
      <c r="AV20" s="152">
        <f>'[6]WA-Transport-Annual'!TF22*1.79</f>
        <v>204916.88374000709</v>
      </c>
      <c r="AW20" s="152">
        <f>'[6]WA-Transport-Annual'!TG22*1.79</f>
        <v>102458.44187000355</v>
      </c>
      <c r="AX20" s="152">
        <f>'[6]WA-Transport-Annual'!TH22*1.79</f>
        <v>102458.44187000355</v>
      </c>
      <c r="AY20" s="152">
        <f>'[6]WA-Transport-Annual'!TI22*1.79</f>
        <v>0</v>
      </c>
      <c r="AZ20" s="152">
        <f>'[6]WA-Transport-Annual'!TJ22*1.79</f>
        <v>0</v>
      </c>
      <c r="BA20" s="152">
        <f>'[6]WA-Transport-Annual'!TK22*1.79</f>
        <v>102458.44187000355</v>
      </c>
      <c r="BB20" s="152">
        <f>'[6]WA-Transport-Annual'!TL22*1.79</f>
        <v>102458.44187000355</v>
      </c>
      <c r="BC20" s="152">
        <f>'[6]WA-Transport-Annual'!TM22*1.79</f>
        <v>51229.220935000107</v>
      </c>
      <c r="BE20" s="133">
        <f t="shared" si="1"/>
        <v>1804564.1394993081</v>
      </c>
      <c r="BF20" s="133">
        <f t="shared" si="1"/>
        <v>8517178.1732003633</v>
      </c>
      <c r="BG20" s="133">
        <f t="shared" si="1"/>
        <v>20787943.912777744</v>
      </c>
      <c r="BH20" s="133">
        <f t="shared" si="1"/>
        <v>6002578.0036583375</v>
      </c>
      <c r="BI20" s="133">
        <f t="shared" si="1"/>
        <v>4813090.2038119677</v>
      </c>
      <c r="BJ20" s="133">
        <f t="shared" si="1"/>
        <v>0</v>
      </c>
      <c r="BK20" s="133">
        <f t="shared" si="1"/>
        <v>0</v>
      </c>
      <c r="BL20" s="133">
        <f t="shared" si="1"/>
        <v>8517178.1732003633</v>
      </c>
      <c r="BM20" s="133">
        <f t="shared" si="1"/>
        <v>8517178.1732003633</v>
      </c>
      <c r="BN20" s="133">
        <f t="shared" si="1"/>
        <v>3084459.9871210158</v>
      </c>
      <c r="BP20" s="154">
        <f>BE20/[4]Annual!HZ20</f>
        <v>0.15630943141729026</v>
      </c>
      <c r="BQ20" s="154">
        <f>BF20/[4]Annual!IA20</f>
        <v>0.92531114680067483</v>
      </c>
      <c r="BR20" s="154">
        <f>BG20/[4]Annual!IB20</f>
        <v>2.2732062793817822</v>
      </c>
      <c r="BS20" s="154">
        <f>BH20/[4]Annual!IC20</f>
        <v>0.76933212322363442</v>
      </c>
      <c r="BT20" s="154">
        <f>BI20/[4]Annual!ID20</f>
        <v>0.60216604964113574</v>
      </c>
      <c r="BU20" s="154">
        <f>BJ20/[4]Annual!IE20</f>
        <v>0</v>
      </c>
      <c r="BV20" s="154">
        <f>BK20/[4]Annual!IF20</f>
        <v>0</v>
      </c>
      <c r="BW20" s="154">
        <f>BL20/[4]Annual!IG20</f>
        <v>0.91360756215489047</v>
      </c>
      <c r="BX20" s="154">
        <f>BM20/[4]Annual!IH20</f>
        <v>0.91360756215489047</v>
      </c>
      <c r="BY20" s="154">
        <f>BN20/[4]Annual!II20</f>
        <v>0.31978032690797298</v>
      </c>
    </row>
    <row r="21" spans="1:77" x14ac:dyDescent="0.25">
      <c r="A21">
        <v>2041</v>
      </c>
      <c r="B21" s="133">
        <f>('[2]WA Res Incremental EE'!ST21+'[2]WA Com Incremental EE'!SI21)*'[5]Energy Efficiency'!$BR$9</f>
        <v>1501162.345930665</v>
      </c>
      <c r="C21" s="133">
        <f>('[2]WA Res Incremental EE'!SU21+'[2]WA Com Incremental EE'!SJ21)*'[5]Energy Efficiency'!$BR$9</f>
        <v>1501162.345930665</v>
      </c>
      <c r="D21" s="133">
        <f>('[2]WA Res Incremental EE'!SV21+'[2]WA Com Incremental EE'!SK21)*'[5]Energy Efficiency'!$BR$9</f>
        <v>5230074.4289229</v>
      </c>
      <c r="E21" s="133">
        <f>('[2]WA Res Incremental EE'!SW21+'[2]WA Com Incremental EE'!SL21)*'[5]Energy Efficiency'!$BR$9</f>
        <v>1501162.345930665</v>
      </c>
      <c r="F21" s="133">
        <f>('[2]WA Res Incremental EE'!SX21+'[2]WA Com Incremental EE'!SM21)*'[5]Energy Efficiency'!$BR$9</f>
        <v>138547.25984774408</v>
      </c>
      <c r="G21" s="133">
        <v>0</v>
      </c>
      <c r="H21" s="133">
        <v>0</v>
      </c>
      <c r="I21" s="133">
        <f>('[2]WA Res Incremental EE'!TA21+'[2]WA Com Incremental EE'!SP21)*'[5]Energy Efficiency'!$BR$9</f>
        <v>1501162.345930665</v>
      </c>
      <c r="J21" s="133">
        <f>('[2]WA Res Incremental EE'!TB21+'[2]WA Com Incremental EE'!SQ21)*'[5]Energy Efficiency'!$BR$9</f>
        <v>1501162.345930665</v>
      </c>
      <c r="K21" s="133">
        <f>('[2]WA Res Incremental EE'!TC21+'[2]WA Com Incremental EE'!SR21)*'[5]Energy Efficiency'!$BR$9</f>
        <v>1501162.345930665</v>
      </c>
      <c r="L21" s="133"/>
      <c r="M21" s="133">
        <f>('[2]WA-Res-Existing Cust'!SO55*0.87*'[2]Key Inputs'!$C$74)+('[2]WA-Res-Existing Cust'!SO183*0.67*'[2]Key Inputs'!$C$75)+('[2]WA-Res-Cust Growth'!SQ53*0.87*'[2]Key Inputs'!$C$74)+('[2]WA-Res-Cust Growth'!SQ181*0.87*'[2]Key Inputs'!$C$75)+('[2]WA-Com-Existing Cust'!SO55*0.87*'[2]Key Inputs'!$C$78)+('[2]WA-Com-Cust Growth'!SQ53*0.87*'[2]Key Inputs'!$C$78)</f>
        <v>0</v>
      </c>
      <c r="N21" s="133">
        <f>('[2]WA-Res-Existing Cust'!SP55*0.87*'[2]Key Inputs'!$C$74)+('[2]WA-Res-Existing Cust'!SP183*0.67*'[2]Key Inputs'!$C$75)+('[2]WA-Res-Cust Growth'!SR53*0.87*'[2]Key Inputs'!$C$74)+('[2]WA-Res-Cust Growth'!SR181*0.87*'[2]Key Inputs'!$C$75)+('[2]WA-Com-Existing Cust'!SP55*0.87*'[2]Key Inputs'!$C$78)+('[2]WA-Com-Cust Growth'!SR53*0.87*'[2]Key Inputs'!$C$78)</f>
        <v>5491397.5944831679</v>
      </c>
      <c r="O21" s="133">
        <f>('[2]WA-Res-Existing Cust'!SQ55*0.87*'[2]Key Inputs'!$C$74)+('[2]WA-Res-Existing Cust'!SQ183*0.67*'[2]Key Inputs'!$C$75)+('[2]WA-Res-Cust Growth'!SS53*0.87*'[2]Key Inputs'!$C$74)+('[2]WA-Res-Cust Growth'!SS181*0.87*'[2]Key Inputs'!$C$75)+('[2]WA-Com-Existing Cust'!SQ55*0.87*'[2]Key Inputs'!$C$78)+('[2]WA-Com-Cust Growth'!SS53*0.87*'[2]Key Inputs'!$C$78)</f>
        <v>14141490.205460358</v>
      </c>
      <c r="P21" s="133">
        <f>('[2]WA-Res-Existing Cust'!SR55*0.87*'[2]Key Inputs'!$C$74)+('[2]WA-Res-Existing Cust'!SR183*0.67*'[2]Key Inputs'!$C$75)+('[2]WA-Res-Cust Growth'!ST53*0.87*'[2]Key Inputs'!$C$74)+('[2]WA-Res-Cust Growth'!ST181*0.87*'[2]Key Inputs'!$C$75)+('[2]WA-Com-Existing Cust'!SR55*0.87*'[2]Key Inputs'!$C$78)+('[2]WA-Com-Cust Growth'!ST53*0.87*'[2]Key Inputs'!$C$78)</f>
        <v>2505600</v>
      </c>
      <c r="Q21" s="133">
        <f>('[2]WA-Res-Existing Cust'!SS55*0.87*'[2]Key Inputs'!$C$74)+('[2]WA-Res-Existing Cust'!SS183*0.67*'[2]Key Inputs'!$C$75)+('[2]WA-Res-Cust Growth'!SU53*0.87*'[2]Key Inputs'!$C$74)+('[2]WA-Res-Cust Growth'!SU181*0.87*'[2]Key Inputs'!$C$75)+('[2]WA-Com-Existing Cust'!SS55*0.87*'[2]Key Inputs'!$C$78)+('[2]WA-Com-Cust Growth'!SU53*0.87*'[2]Key Inputs'!$C$78)</f>
        <v>3642384.7475544782</v>
      </c>
      <c r="R21" s="133">
        <f>('[2]WA-Res-Existing Cust'!ST55*0.87*'[2]Key Inputs'!$C$74)+('[2]WA-Res-Existing Cust'!ST183*0.67*'[2]Key Inputs'!$C$75)+('[2]WA-Res-Cust Growth'!SV53*0.87*'[2]Key Inputs'!$C$74)+('[2]WA-Res-Cust Growth'!SV181*0.87*'[2]Key Inputs'!$C$75)+('[2]WA-Com-Existing Cust'!ST55*0.87*'[2]Key Inputs'!$C$78)+('[2]WA-Com-Cust Growth'!SV53*0.87*'[2]Key Inputs'!$C$78)</f>
        <v>0</v>
      </c>
      <c r="S21" s="133">
        <f>('[2]WA-Res-Existing Cust'!SU55*0.87*'[2]Key Inputs'!$C$74)+('[2]WA-Res-Existing Cust'!SU183*0.67*'[2]Key Inputs'!$C$75)+('[2]WA-Res-Cust Growth'!SW53*0.87*'[2]Key Inputs'!$C$74)+('[2]WA-Res-Cust Growth'!SW181*0.87*'[2]Key Inputs'!$C$75)+('[2]WA-Com-Existing Cust'!SU55*0.87*'[2]Key Inputs'!$C$78)+('[2]WA-Com-Cust Growth'!SW53*0.87*'[2]Key Inputs'!$C$78)</f>
        <v>0</v>
      </c>
      <c r="T21" s="133">
        <f>('[2]WA-Res-Existing Cust'!SV55*0.87*'[2]Key Inputs'!$C$74)+('[2]WA-Res-Existing Cust'!SV183*0.67*'[2]Key Inputs'!$C$75)+('[2]WA-Res-Cust Growth'!SX53*0.87*'[2]Key Inputs'!$C$74)+('[2]WA-Res-Cust Growth'!SX181*0.87*'[2]Key Inputs'!$C$75)+('[2]WA-Com-Existing Cust'!SV55*0.87*'[2]Key Inputs'!$C$78)+('[2]WA-Com-Cust Growth'!SX53*0.87*'[2]Key Inputs'!$C$78)</f>
        <v>5491397.5944831679</v>
      </c>
      <c r="U21" s="133">
        <f>('[2]WA-Res-Existing Cust'!SW55*0.87*'[2]Key Inputs'!$C$74)+('[2]WA-Res-Existing Cust'!SW183*0.67*'[2]Key Inputs'!$C$75)+('[2]WA-Res-Cust Growth'!SY53*0.87*'[2]Key Inputs'!$C$74)+('[2]WA-Res-Cust Growth'!SY181*0.87*'[2]Key Inputs'!$C$75)+('[2]WA-Com-Existing Cust'!SW55*0.87*'[2]Key Inputs'!$C$78)+('[2]WA-Com-Cust Growth'!SY53*0.87*'[2]Key Inputs'!$C$78)</f>
        <v>5491397.5944831679</v>
      </c>
      <c r="V21" s="133">
        <f>('[2]WA-Res-Existing Cust'!SX55*0.87*'[2]Key Inputs'!$C$74)+('[2]WA-Res-Existing Cust'!SX183*0.67*'[2]Key Inputs'!$C$75)+('[2]WA-Res-Cust Growth'!SZ53*0.87*'[2]Key Inputs'!$C$74)+('[2]WA-Res-Cust Growth'!SZ181*0.87*'[2]Key Inputs'!$C$75)+('[2]WA-Com-Existing Cust'!SX55*0.87*'[2]Key Inputs'!$C$78)+('[2]WA-Com-Cust Growth'!SZ53*0.87*'[2]Key Inputs'!$C$78)</f>
        <v>751680</v>
      </c>
      <c r="X21" s="63">
        <f>(('[2]WA-Res-Existing Cust'!SO119+'[2]WA-Res-Cust Growth'!SQ117)*'[2]Key Inputs'!$C$73)+(('[2]WA-Com-Existing Cust'!SO119+'[2]WA-Com-Cust Growth'!SQ117)*'[2]Key Inputs'!$C$77)</f>
        <v>0</v>
      </c>
      <c r="Y21" s="63">
        <f>(('[2]WA-Res-Existing Cust'!SP119+'[2]WA-Res-Cust Growth'!SR117)*'[2]Key Inputs'!$C$73)+(('[2]WA-Com-Existing Cust'!SP119+'[2]WA-Com-Cust Growth'!SR117)*'[2]Key Inputs'!$C$77)</f>
        <v>745090.03025623364</v>
      </c>
      <c r="Z21" s="63">
        <f>(('[2]WA-Res-Existing Cust'!SQ119+'[2]WA-Res-Cust Growth'!SS117)*'[2]Key Inputs'!$C$73)+(('[2]WA-Com-Existing Cust'!SQ119+'[2]WA-Com-Cust Growth'!SS117)*'[2]Key Inputs'!$C$77)</f>
        <v>767518.07597757445</v>
      </c>
      <c r="AA21" s="63">
        <f>(('[2]WA-Res-Existing Cust'!SR119+'[2]WA-Res-Cust Growth'!ST117)*'[2]Key Inputs'!$C$73)+(('[2]WA-Com-Existing Cust'!SR119+'[2]WA-Com-Cust Growth'!ST117)*'[2]Key Inputs'!$C$77)</f>
        <v>1588539.0677067046</v>
      </c>
      <c r="AB21" s="63">
        <f>(('[2]WA-Res-Existing Cust'!SS119+'[2]WA-Res-Cust Growth'!SU117)*'[2]Key Inputs'!$C$73)+(('[2]WA-Com-Existing Cust'!SS119+'[2]WA-Com-Cust Growth'!SU117)*'[2]Key Inputs'!$C$77)</f>
        <v>476561.72031201137</v>
      </c>
      <c r="AC21" s="63">
        <f>(('[2]WA-Res-Existing Cust'!ST119+'[2]WA-Res-Cust Growth'!SV117)*'[2]Key Inputs'!$C$73)+(('[2]WA-Com-Existing Cust'!ST119+'[2]WA-Com-Cust Growth'!SV117)*'[2]Key Inputs'!$C$77)</f>
        <v>0</v>
      </c>
      <c r="AD21" s="63">
        <f>(('[2]WA-Res-Existing Cust'!SU119+'[2]WA-Res-Cust Growth'!SW117)*'[2]Key Inputs'!$C$73)+(('[2]WA-Com-Existing Cust'!SU119+'[2]WA-Com-Cust Growth'!SW117)*'[2]Key Inputs'!$C$77)</f>
        <v>0</v>
      </c>
      <c r="AE21" s="63">
        <f>(('[2]WA-Res-Existing Cust'!SV119+'[2]WA-Res-Cust Growth'!SX117)*'[2]Key Inputs'!$C$73)+(('[2]WA-Com-Existing Cust'!SV119+'[2]WA-Com-Cust Growth'!SX117)*'[2]Key Inputs'!$C$77)</f>
        <v>745090.03025623364</v>
      </c>
      <c r="AF21" s="63">
        <f>(('[2]WA-Res-Existing Cust'!SW119+'[2]WA-Res-Cust Growth'!SY117)*'[2]Key Inputs'!$C$73)+(('[2]WA-Com-Existing Cust'!SW119+'[2]WA-Com-Cust Growth'!SY117)*'[2]Key Inputs'!$C$77)</f>
        <v>745090.03025623364</v>
      </c>
      <c r="AG21" s="63">
        <f>(('[2]WA-Res-Existing Cust'!SX119+'[2]WA-Res-Cust Growth'!SZ117)*'[2]Key Inputs'!$C$73)+(('[2]WA-Com-Existing Cust'!SX119+'[2]WA-Com-Cust Growth'!SZ117)*'[2]Key Inputs'!$C$77)</f>
        <v>476561.72031201137</v>
      </c>
      <c r="AI21" s="152">
        <f>'[6]WA-IndComSales-Annual'!TF23*2.33</f>
        <v>0</v>
      </c>
      <c r="AJ21" s="152">
        <f>'[6]WA-IndComSales-Annual'!TG23*2.33</f>
        <v>0</v>
      </c>
      <c r="AK21" s="152">
        <f>'[6]WA-IndComSales-Annual'!TH23*2.33</f>
        <v>12091.113130197078</v>
      </c>
      <c r="AL21" s="152">
        <f>'[6]WA-IndComSales-Annual'!TI23*2.33</f>
        <v>0</v>
      </c>
      <c r="AM21" s="152">
        <f>'[6]WA-IndComSales-Annual'!TJ23*2.33</f>
        <v>0</v>
      </c>
      <c r="AN21" s="152">
        <f>'[6]WA-IndComSales-Annual'!TK23*2.33</f>
        <v>0</v>
      </c>
      <c r="AO21" s="152">
        <f>'[6]WA-IndComSales-Annual'!TL23*2.33</f>
        <v>0</v>
      </c>
      <c r="AP21" s="152">
        <f>'[6]WA-IndComSales-Annual'!TM23*2.33</f>
        <v>0</v>
      </c>
      <c r="AQ21" s="152">
        <f>'[6]WA-IndComSales-Annual'!TN23*2.33</f>
        <v>0</v>
      </c>
      <c r="AR21" s="152">
        <f>'[6]WA-IndComSales-Annual'!TO23*2.33</f>
        <v>0</v>
      </c>
      <c r="AT21">
        <v>0</v>
      </c>
      <c r="AU21" s="152">
        <f>'[6]WA-Transport-Annual'!TE23*1.79</f>
        <v>82266.269899980936</v>
      </c>
      <c r="AV21" s="152">
        <f>'[6]WA-Transport-Annual'!TF23*1.79</f>
        <v>164532.53979996187</v>
      </c>
      <c r="AW21" s="152">
        <f>'[6]WA-Transport-Annual'!TG23*1.79</f>
        <v>82266.269899980936</v>
      </c>
      <c r="AX21" s="152">
        <f>'[6]WA-Transport-Annual'!TH23*1.79</f>
        <v>82266.269899980936</v>
      </c>
      <c r="AY21" s="152">
        <f>'[6]WA-Transport-Annual'!TI23*1.79</f>
        <v>0</v>
      </c>
      <c r="AZ21" s="152">
        <f>'[6]WA-Transport-Annual'!TJ23*1.79</f>
        <v>0</v>
      </c>
      <c r="BA21" s="152">
        <f>'[6]WA-Transport-Annual'!TK23*1.79</f>
        <v>82266.269899980936</v>
      </c>
      <c r="BB21" s="152">
        <f>'[6]WA-Transport-Annual'!TL23*1.79</f>
        <v>82266.269899980936</v>
      </c>
      <c r="BC21" s="152">
        <f>'[6]WA-Transport-Annual'!TM23*1.79</f>
        <v>41133.134949988795</v>
      </c>
      <c r="BE21" s="133">
        <f t="shared" si="1"/>
        <v>1501162.345930665</v>
      </c>
      <c r="BF21" s="133">
        <f t="shared" si="1"/>
        <v>7819916.2405700479</v>
      </c>
      <c r="BG21" s="133">
        <f t="shared" si="1"/>
        <v>20315706.363290992</v>
      </c>
      <c r="BH21" s="133">
        <f t="shared" si="1"/>
        <v>5677567.683537351</v>
      </c>
      <c r="BI21" s="133">
        <f t="shared" si="1"/>
        <v>4339759.9976142142</v>
      </c>
      <c r="BJ21" s="133">
        <f t="shared" si="1"/>
        <v>0</v>
      </c>
      <c r="BK21" s="133">
        <f t="shared" si="1"/>
        <v>0</v>
      </c>
      <c r="BL21" s="133">
        <f t="shared" si="1"/>
        <v>7819916.2405700479</v>
      </c>
      <c r="BM21" s="133">
        <f t="shared" si="1"/>
        <v>7819916.2405700479</v>
      </c>
      <c r="BN21" s="133">
        <f t="shared" si="1"/>
        <v>2770537.2011926649</v>
      </c>
      <c r="BP21" s="154">
        <f>BE21/[4]Annual!HZ21</f>
        <v>0.13020760734085196</v>
      </c>
      <c r="BQ21" s="154">
        <f>BF21/[4]Annual!IA21</f>
        <v>0.86079643968701969</v>
      </c>
      <c r="BR21" s="154">
        <f>BG21/[4]Annual!IB21</f>
        <v>2.2577911590976742</v>
      </c>
      <c r="BS21" s="154">
        <f>BH21/[4]Annual!IC21</f>
        <v>0.7467594994768082</v>
      </c>
      <c r="BT21" s="154">
        <f>BI21/[4]Annual!ID21</f>
        <v>0.55513549758765923</v>
      </c>
      <c r="BU21" s="154">
        <f>BJ21/[4]Annual!IE21</f>
        <v>0</v>
      </c>
      <c r="BV21" s="154">
        <f>BK21/[4]Annual!IF21</f>
        <v>0</v>
      </c>
      <c r="BW21" s="154">
        <f>BL21/[4]Annual!IG21</f>
        <v>0.84993966840825252</v>
      </c>
      <c r="BX21" s="154">
        <f>BM21/[4]Annual!IH21</f>
        <v>0.84993966840825252</v>
      </c>
      <c r="BY21" s="154">
        <f>BN21/[4]Annual!II21</f>
        <v>0.29046262485353774</v>
      </c>
    </row>
    <row r="22" spans="1:77" x14ac:dyDescent="0.25">
      <c r="A22">
        <v>2042</v>
      </c>
      <c r="B22" s="133">
        <f>('[2]WA Res Incremental EE'!ST22+'[2]WA Com Incremental EE'!SI22)*'[5]Energy Efficiency'!$BR$9</f>
        <v>818157.62766606954</v>
      </c>
      <c r="C22" s="133">
        <f>('[2]WA Res Incremental EE'!SU22+'[2]WA Com Incremental EE'!SJ22)*'[5]Energy Efficiency'!$BR$9</f>
        <v>818157.62766606954</v>
      </c>
      <c r="D22" s="133">
        <f>('[2]WA Res Incremental EE'!SV22+'[2]WA Com Incremental EE'!SK22)*'[5]Energy Efficiency'!$BR$9</f>
        <v>4468160.1861510165</v>
      </c>
      <c r="E22" s="133">
        <f>('[2]WA Res Incremental EE'!SW22+'[2]WA Com Incremental EE'!SL22)*'[5]Energy Efficiency'!$BR$9</f>
        <v>818157.62766606954</v>
      </c>
      <c r="F22" s="133">
        <f>('[2]WA Res Incremental EE'!SX22+'[2]WA Com Incremental EE'!SM22)*'[5]Energy Efficiency'!$BR$9</f>
        <v>-1468.4306490834322</v>
      </c>
      <c r="G22" s="133">
        <v>0</v>
      </c>
      <c r="H22" s="133">
        <v>0</v>
      </c>
      <c r="I22" s="133">
        <f>('[2]WA Res Incremental EE'!TA22+'[2]WA Com Incremental EE'!SP22)*'[5]Energy Efficiency'!$BR$9</f>
        <v>818157.62766606954</v>
      </c>
      <c r="J22" s="133">
        <f>('[2]WA Res Incremental EE'!TB22+'[2]WA Com Incremental EE'!SQ22)*'[5]Energy Efficiency'!$BR$9</f>
        <v>818157.62766606954</v>
      </c>
      <c r="K22" s="133">
        <f>('[2]WA Res Incremental EE'!TC22+'[2]WA Com Incremental EE'!SR22)*'[5]Energy Efficiency'!$BR$9</f>
        <v>818157.62766606954</v>
      </c>
      <c r="L22" s="133"/>
      <c r="M22" s="133">
        <f>('[2]WA-Res-Existing Cust'!SO56*0.87*'[2]Key Inputs'!$C$74)+('[2]WA-Res-Existing Cust'!SO184*0.67*'[2]Key Inputs'!$C$75)+('[2]WA-Res-Cust Growth'!SQ54*0.87*'[2]Key Inputs'!$C$74)+('[2]WA-Res-Cust Growth'!SQ182*0.87*'[2]Key Inputs'!$C$75)+('[2]WA-Com-Existing Cust'!SO56*0.87*'[2]Key Inputs'!$C$78)+('[2]WA-Com-Cust Growth'!SQ54*0.87*'[2]Key Inputs'!$C$78)</f>
        <v>0</v>
      </c>
      <c r="N22" s="133">
        <f>('[2]WA-Res-Existing Cust'!SP56*0.87*'[2]Key Inputs'!$C$74)+('[2]WA-Res-Existing Cust'!SP184*0.67*'[2]Key Inputs'!$C$75)+('[2]WA-Res-Cust Growth'!SR54*0.87*'[2]Key Inputs'!$C$74)+('[2]WA-Res-Cust Growth'!SR182*0.87*'[2]Key Inputs'!$C$75)+('[2]WA-Com-Existing Cust'!SP56*0.87*'[2]Key Inputs'!$C$78)+('[2]WA-Com-Cust Growth'!SR54*0.87*'[2]Key Inputs'!$C$78)</f>
        <v>5118104.4389709234</v>
      </c>
      <c r="O22" s="133">
        <f>('[2]WA-Res-Existing Cust'!SQ56*0.87*'[2]Key Inputs'!$C$74)+('[2]WA-Res-Existing Cust'!SQ184*0.67*'[2]Key Inputs'!$C$75)+('[2]WA-Res-Cust Growth'!SS54*0.87*'[2]Key Inputs'!$C$74)+('[2]WA-Res-Cust Growth'!SS182*0.87*'[2]Key Inputs'!$C$75)+('[2]WA-Com-Existing Cust'!SQ56*0.87*'[2]Key Inputs'!$C$78)+('[2]WA-Com-Cust Growth'!SS54*0.87*'[2]Key Inputs'!$C$78)</f>
        <v>13834239.554310471</v>
      </c>
      <c r="P22" s="133">
        <f>('[2]WA-Res-Existing Cust'!SR56*0.87*'[2]Key Inputs'!$C$74)+('[2]WA-Res-Existing Cust'!SR184*0.67*'[2]Key Inputs'!$C$75)+('[2]WA-Res-Cust Growth'!ST54*0.87*'[2]Key Inputs'!$C$74)+('[2]WA-Res-Cust Growth'!ST182*0.87*'[2]Key Inputs'!$C$75)+('[2]WA-Com-Existing Cust'!SR56*0.87*'[2]Key Inputs'!$C$78)+('[2]WA-Com-Cust Growth'!ST54*0.87*'[2]Key Inputs'!$C$78)</f>
        <v>2505600</v>
      </c>
      <c r="Q22" s="133">
        <f>('[2]WA-Res-Existing Cust'!SS56*0.87*'[2]Key Inputs'!$C$74)+('[2]WA-Res-Existing Cust'!SS184*0.67*'[2]Key Inputs'!$C$75)+('[2]WA-Res-Cust Growth'!SU54*0.87*'[2]Key Inputs'!$C$74)+('[2]WA-Res-Cust Growth'!SU182*0.87*'[2]Key Inputs'!$C$75)+('[2]WA-Com-Existing Cust'!SS56*0.87*'[2]Key Inputs'!$C$78)+('[2]WA-Com-Cust Growth'!SU54*0.87*'[2]Key Inputs'!$C$78)</f>
        <v>3638687.03247577</v>
      </c>
      <c r="R22" s="133">
        <f>('[2]WA-Res-Existing Cust'!ST56*0.87*'[2]Key Inputs'!$C$74)+('[2]WA-Res-Existing Cust'!ST184*0.67*'[2]Key Inputs'!$C$75)+('[2]WA-Res-Cust Growth'!SV54*0.87*'[2]Key Inputs'!$C$74)+('[2]WA-Res-Cust Growth'!SV182*0.87*'[2]Key Inputs'!$C$75)+('[2]WA-Com-Existing Cust'!ST56*0.87*'[2]Key Inputs'!$C$78)+('[2]WA-Com-Cust Growth'!SV54*0.87*'[2]Key Inputs'!$C$78)</f>
        <v>0</v>
      </c>
      <c r="S22" s="133">
        <f>('[2]WA-Res-Existing Cust'!SU56*0.87*'[2]Key Inputs'!$C$74)+('[2]WA-Res-Existing Cust'!SU184*0.67*'[2]Key Inputs'!$C$75)+('[2]WA-Res-Cust Growth'!SW54*0.87*'[2]Key Inputs'!$C$74)+('[2]WA-Res-Cust Growth'!SW182*0.87*'[2]Key Inputs'!$C$75)+('[2]WA-Com-Existing Cust'!SU56*0.87*'[2]Key Inputs'!$C$78)+('[2]WA-Com-Cust Growth'!SW54*0.87*'[2]Key Inputs'!$C$78)</f>
        <v>0</v>
      </c>
      <c r="T22" s="133">
        <f>('[2]WA-Res-Existing Cust'!SV56*0.87*'[2]Key Inputs'!$C$74)+('[2]WA-Res-Existing Cust'!SV184*0.67*'[2]Key Inputs'!$C$75)+('[2]WA-Res-Cust Growth'!SX54*0.87*'[2]Key Inputs'!$C$74)+('[2]WA-Res-Cust Growth'!SX182*0.87*'[2]Key Inputs'!$C$75)+('[2]WA-Com-Existing Cust'!SV56*0.87*'[2]Key Inputs'!$C$78)+('[2]WA-Com-Cust Growth'!SX54*0.87*'[2]Key Inputs'!$C$78)</f>
        <v>5118104.4389709234</v>
      </c>
      <c r="U22" s="133">
        <f>('[2]WA-Res-Existing Cust'!SW56*0.87*'[2]Key Inputs'!$C$74)+('[2]WA-Res-Existing Cust'!SW184*0.67*'[2]Key Inputs'!$C$75)+('[2]WA-Res-Cust Growth'!SY54*0.87*'[2]Key Inputs'!$C$74)+('[2]WA-Res-Cust Growth'!SY182*0.87*'[2]Key Inputs'!$C$75)+('[2]WA-Com-Existing Cust'!SW56*0.87*'[2]Key Inputs'!$C$78)+('[2]WA-Com-Cust Growth'!SY54*0.87*'[2]Key Inputs'!$C$78)</f>
        <v>5118104.4389709234</v>
      </c>
      <c r="V22" s="133">
        <f>('[2]WA-Res-Existing Cust'!SX56*0.87*'[2]Key Inputs'!$C$74)+('[2]WA-Res-Existing Cust'!SX184*0.67*'[2]Key Inputs'!$C$75)+('[2]WA-Res-Cust Growth'!SZ54*0.87*'[2]Key Inputs'!$C$74)+('[2]WA-Res-Cust Growth'!SZ182*0.87*'[2]Key Inputs'!$C$75)+('[2]WA-Com-Existing Cust'!SX56*0.87*'[2]Key Inputs'!$C$78)+('[2]WA-Com-Cust Growth'!SZ54*0.87*'[2]Key Inputs'!$C$78)</f>
        <v>751680</v>
      </c>
      <c r="X22" s="63">
        <f>(('[2]WA-Res-Existing Cust'!SO120+'[2]WA-Res-Cust Growth'!SQ118)*'[2]Key Inputs'!$C$73)+(('[2]WA-Com-Existing Cust'!SO120+'[2]WA-Com-Cust Growth'!SQ118)*'[2]Key Inputs'!$C$77)</f>
        <v>0</v>
      </c>
      <c r="Y22" s="63">
        <f>(('[2]WA-Res-Existing Cust'!SP120+'[2]WA-Res-Cust Growth'!SR118)*'[2]Key Inputs'!$C$73)+(('[2]WA-Com-Existing Cust'!SP120+'[2]WA-Com-Cust Growth'!SR118)*'[2]Key Inputs'!$C$77)</f>
        <v>745143.96205945103</v>
      </c>
      <c r="Z22" s="63">
        <f>(('[2]WA-Res-Existing Cust'!SQ120+'[2]WA-Res-Cust Growth'!SS118)*'[2]Key Inputs'!$C$73)+(('[2]WA-Com-Existing Cust'!SQ120+'[2]WA-Com-Cust Growth'!SS118)*'[2]Key Inputs'!$C$77)</f>
        <v>768471.99366348505</v>
      </c>
      <c r="AA22" s="63">
        <f>(('[2]WA-Res-Existing Cust'!SR120+'[2]WA-Res-Cust Growth'!ST118)*'[2]Key Inputs'!$C$73)+(('[2]WA-Com-Existing Cust'!SR120+'[2]WA-Com-Cust Growth'!ST118)*'[2]Key Inputs'!$C$77)</f>
        <v>1587105.1500079378</v>
      </c>
      <c r="AB22" s="63">
        <f>(('[2]WA-Res-Existing Cust'!SS120+'[2]WA-Res-Cust Growth'!SU118)*'[2]Key Inputs'!$C$73)+(('[2]WA-Com-Existing Cust'!SS120+'[2]WA-Com-Cust Growth'!SU118)*'[2]Key Inputs'!$C$77)</f>
        <v>476131.54500238132</v>
      </c>
      <c r="AC22" s="63">
        <f>(('[2]WA-Res-Existing Cust'!ST120+'[2]WA-Res-Cust Growth'!SV118)*'[2]Key Inputs'!$C$73)+(('[2]WA-Com-Existing Cust'!ST120+'[2]WA-Com-Cust Growth'!SV118)*'[2]Key Inputs'!$C$77)</f>
        <v>0</v>
      </c>
      <c r="AD22" s="63">
        <f>(('[2]WA-Res-Existing Cust'!SU120+'[2]WA-Res-Cust Growth'!SW118)*'[2]Key Inputs'!$C$73)+(('[2]WA-Com-Existing Cust'!SU120+'[2]WA-Com-Cust Growth'!SW118)*'[2]Key Inputs'!$C$77)</f>
        <v>0</v>
      </c>
      <c r="AE22" s="63">
        <f>(('[2]WA-Res-Existing Cust'!SV120+'[2]WA-Res-Cust Growth'!SX118)*'[2]Key Inputs'!$C$73)+(('[2]WA-Com-Existing Cust'!SV120+'[2]WA-Com-Cust Growth'!SX118)*'[2]Key Inputs'!$C$77)</f>
        <v>745143.96205945103</v>
      </c>
      <c r="AF22" s="63">
        <f>(('[2]WA-Res-Existing Cust'!SW120+'[2]WA-Res-Cust Growth'!SY118)*'[2]Key Inputs'!$C$73)+(('[2]WA-Com-Existing Cust'!SW120+'[2]WA-Com-Cust Growth'!SY118)*'[2]Key Inputs'!$C$77)</f>
        <v>745143.96205945103</v>
      </c>
      <c r="AG22" s="63">
        <f>(('[2]WA-Res-Existing Cust'!SX120+'[2]WA-Res-Cust Growth'!SZ118)*'[2]Key Inputs'!$C$73)+(('[2]WA-Com-Existing Cust'!SX120+'[2]WA-Com-Cust Growth'!SZ118)*'[2]Key Inputs'!$C$77)</f>
        <v>476131.54500238132</v>
      </c>
      <c r="AI22" s="152">
        <f>'[6]WA-IndComSales-Annual'!TF24*2.33</f>
        <v>0</v>
      </c>
      <c r="AJ22" s="152">
        <f>'[6]WA-IndComSales-Annual'!TG24*2.33</f>
        <v>0</v>
      </c>
      <c r="AK22" s="152">
        <f>'[6]WA-IndComSales-Annual'!TH24*2.33</f>
        <v>-989.90648809807374</v>
      </c>
      <c r="AL22" s="152">
        <f>'[6]WA-IndComSales-Annual'!TI24*2.33</f>
        <v>0</v>
      </c>
      <c r="AM22" s="152">
        <f>'[6]WA-IndComSales-Annual'!TJ24*2.33</f>
        <v>0</v>
      </c>
      <c r="AN22" s="152">
        <f>'[6]WA-IndComSales-Annual'!TK24*2.33</f>
        <v>0</v>
      </c>
      <c r="AO22" s="152">
        <f>'[6]WA-IndComSales-Annual'!TL24*2.33</f>
        <v>0</v>
      </c>
      <c r="AP22" s="152">
        <f>'[6]WA-IndComSales-Annual'!TM24*2.33</f>
        <v>0</v>
      </c>
      <c r="AQ22" s="152">
        <f>'[6]WA-IndComSales-Annual'!TN24*2.33</f>
        <v>0</v>
      </c>
      <c r="AR22" s="152">
        <f>'[6]WA-IndComSales-Annual'!TO24*2.33</f>
        <v>0</v>
      </c>
      <c r="AT22">
        <v>0</v>
      </c>
      <c r="AU22" s="152">
        <f>'[6]WA-Transport-Annual'!TE24*1.79</f>
        <v>83741.915470009946</v>
      </c>
      <c r="AV22" s="152">
        <f>'[6]WA-Transport-Annual'!TF24*1.79</f>
        <v>167483.83094001989</v>
      </c>
      <c r="AW22" s="152">
        <f>'[6]WA-Transport-Annual'!TG24*1.79</f>
        <v>83741.915470009946</v>
      </c>
      <c r="AX22" s="152">
        <f>'[6]WA-Transport-Annual'!TH24*1.79</f>
        <v>83741.915470009946</v>
      </c>
      <c r="AY22" s="152">
        <f>'[6]WA-Transport-Annual'!TI24*1.79</f>
        <v>0</v>
      </c>
      <c r="AZ22" s="152">
        <f>'[6]WA-Transport-Annual'!TJ24*1.79</f>
        <v>0</v>
      </c>
      <c r="BA22" s="152">
        <f>'[6]WA-Transport-Annual'!TK24*1.79</f>
        <v>83741.915470009946</v>
      </c>
      <c r="BB22" s="152">
        <f>'[6]WA-Transport-Annual'!TL24*1.79</f>
        <v>83741.915470009946</v>
      </c>
      <c r="BC22" s="152">
        <f>'[6]WA-Transport-Annual'!TM24*1.79</f>
        <v>41870.957735006639</v>
      </c>
      <c r="BE22" s="133">
        <f t="shared" si="1"/>
        <v>818157.62766606954</v>
      </c>
      <c r="BF22" s="133">
        <f t="shared" si="1"/>
        <v>6765147.9441664536</v>
      </c>
      <c r="BG22" s="133">
        <f t="shared" si="1"/>
        <v>19237365.658576895</v>
      </c>
      <c r="BH22" s="133">
        <f t="shared" si="1"/>
        <v>4994604.6931440169</v>
      </c>
      <c r="BI22" s="133">
        <f t="shared" si="1"/>
        <v>4197092.0622990774</v>
      </c>
      <c r="BJ22" s="133">
        <f t="shared" si="1"/>
        <v>0</v>
      </c>
      <c r="BK22" s="133">
        <f t="shared" si="1"/>
        <v>0</v>
      </c>
      <c r="BL22" s="133">
        <f t="shared" si="1"/>
        <v>6765147.9441664536</v>
      </c>
      <c r="BM22" s="133">
        <f t="shared" si="1"/>
        <v>6765147.9441664536</v>
      </c>
      <c r="BN22" s="133">
        <f t="shared" si="1"/>
        <v>2087840.1304034577</v>
      </c>
      <c r="BP22" s="154">
        <f>BE22/[4]Annual!HZ22</f>
        <v>7.0626075662796259E-2</v>
      </c>
      <c r="BQ22" s="154">
        <f>BF22/[4]Annual!IA22</f>
        <v>0.74871442362099505</v>
      </c>
      <c r="BR22" s="154">
        <f>BG22/[4]Annual!IB22</f>
        <v>2.1565758840821507</v>
      </c>
      <c r="BS22" s="154">
        <f>BH22/[4]Annual!IC22</f>
        <v>0.6680868116570865</v>
      </c>
      <c r="BT22" s="154">
        <f>BI22/[4]Annual!ID22</f>
        <v>0.54497431029955379</v>
      </c>
      <c r="BU22" s="154">
        <f>BJ22/[4]Annual!IE22</f>
        <v>0</v>
      </c>
      <c r="BV22" s="154">
        <f>BK22/[4]Annual!IF22</f>
        <v>0</v>
      </c>
      <c r="BW22" s="154">
        <f>BL22/[4]Annual!IG22</f>
        <v>0.739359876410279</v>
      </c>
      <c r="BX22" s="154">
        <f>BM22/[4]Annual!IH22</f>
        <v>0.739359876410279</v>
      </c>
      <c r="BY22" s="154">
        <f>BN22/[4]Annual!II22</f>
        <v>0.21969545772754068</v>
      </c>
    </row>
    <row r="23" spans="1:77" x14ac:dyDescent="0.25">
      <c r="A23">
        <v>2043</v>
      </c>
      <c r="B23" s="133">
        <f>('[2]WA Res Incremental EE'!ST23+'[2]WA Com Incremental EE'!SI23)*'[5]Energy Efficiency'!$BR$9</f>
        <v>1167049.7394221658</v>
      </c>
      <c r="C23" s="133">
        <f>('[2]WA Res Incremental EE'!SU23+'[2]WA Com Incremental EE'!SJ23)*'[5]Energy Efficiency'!$BR$9</f>
        <v>1167049.7394221658</v>
      </c>
      <c r="D23" s="133">
        <f>('[2]WA Res Incremental EE'!SV23+'[2]WA Com Incremental EE'!SK23)*'[5]Energy Efficiency'!$BR$9</f>
        <v>4917601.40830715</v>
      </c>
      <c r="E23" s="133">
        <f>('[2]WA Res Incremental EE'!SW23+'[2]WA Com Incremental EE'!SL23)*'[5]Energy Efficiency'!$BR$9</f>
        <v>1167049.7394221658</v>
      </c>
      <c r="F23" s="133">
        <f>('[2]WA Res Incremental EE'!SX23+'[2]WA Com Incremental EE'!SM23)*'[5]Energy Efficiency'!$BR$9</f>
        <v>60969.987672218369</v>
      </c>
      <c r="G23" s="133">
        <v>0</v>
      </c>
      <c r="H23" s="133">
        <v>0</v>
      </c>
      <c r="I23" s="133">
        <f>('[2]WA Res Incremental EE'!TA23+'[2]WA Com Incremental EE'!SP23)*'[5]Energy Efficiency'!$BR$9</f>
        <v>1167049.7394221658</v>
      </c>
      <c r="J23" s="133">
        <f>('[2]WA Res Incremental EE'!TB23+'[2]WA Com Incremental EE'!SQ23)*'[5]Energy Efficiency'!$BR$9</f>
        <v>1167049.7394221658</v>
      </c>
      <c r="K23" s="133">
        <f>('[2]WA Res Incremental EE'!TC23+'[2]WA Com Incremental EE'!SR23)*'[5]Energy Efficiency'!$BR$9</f>
        <v>1167049.7394221658</v>
      </c>
      <c r="L23" s="133"/>
      <c r="M23" s="133">
        <f>('[2]WA-Res-Existing Cust'!SO57*0.87*'[2]Key Inputs'!$C$74)+('[2]WA-Res-Existing Cust'!SO185*0.67*'[2]Key Inputs'!$C$75)+('[2]WA-Res-Cust Growth'!SQ55*0.87*'[2]Key Inputs'!$C$74)+('[2]WA-Res-Cust Growth'!SQ183*0.87*'[2]Key Inputs'!$C$75)+('[2]WA-Com-Existing Cust'!SO57*0.87*'[2]Key Inputs'!$C$78)+('[2]WA-Com-Cust Growth'!SQ55*0.87*'[2]Key Inputs'!$C$78)</f>
        <v>0</v>
      </c>
      <c r="N23" s="133">
        <f>('[2]WA-Res-Existing Cust'!SP57*0.87*'[2]Key Inputs'!$C$74)+('[2]WA-Res-Existing Cust'!SP185*0.67*'[2]Key Inputs'!$C$75)+('[2]WA-Res-Cust Growth'!SR55*0.87*'[2]Key Inputs'!$C$74)+('[2]WA-Res-Cust Growth'!SR183*0.87*'[2]Key Inputs'!$C$75)+('[2]WA-Com-Existing Cust'!SP57*0.87*'[2]Key Inputs'!$C$78)+('[2]WA-Com-Cust Growth'!SR55*0.87*'[2]Key Inputs'!$C$78)</f>
        <v>5113593.5342453253</v>
      </c>
      <c r="O23" s="133">
        <f>('[2]WA-Res-Existing Cust'!SQ57*0.87*'[2]Key Inputs'!$C$74)+('[2]WA-Res-Existing Cust'!SQ185*0.67*'[2]Key Inputs'!$C$75)+('[2]WA-Res-Cust Growth'!SS55*0.87*'[2]Key Inputs'!$C$74)+('[2]WA-Res-Cust Growth'!SS183*0.87*'[2]Key Inputs'!$C$75)+('[2]WA-Com-Existing Cust'!SQ57*0.87*'[2]Key Inputs'!$C$78)+('[2]WA-Com-Cust Growth'!SS55*0.87*'[2]Key Inputs'!$C$78)</f>
        <v>13453462.721673366</v>
      </c>
      <c r="P23" s="133">
        <f>('[2]WA-Res-Existing Cust'!SR57*0.87*'[2]Key Inputs'!$C$74)+('[2]WA-Res-Existing Cust'!SR185*0.67*'[2]Key Inputs'!$C$75)+('[2]WA-Res-Cust Growth'!ST55*0.87*'[2]Key Inputs'!$C$74)+('[2]WA-Res-Cust Growth'!ST183*0.87*'[2]Key Inputs'!$C$75)+('[2]WA-Com-Existing Cust'!SR57*0.87*'[2]Key Inputs'!$C$78)+('[2]WA-Com-Cust Growth'!ST55*0.87*'[2]Key Inputs'!$C$78)</f>
        <v>2505600</v>
      </c>
      <c r="Q23" s="133">
        <f>('[2]WA-Res-Existing Cust'!SS57*0.87*'[2]Key Inputs'!$C$74)+('[2]WA-Res-Existing Cust'!SS185*0.67*'[2]Key Inputs'!$C$75)+('[2]WA-Res-Cust Growth'!SU55*0.87*'[2]Key Inputs'!$C$74)+('[2]WA-Res-Cust Growth'!SU183*0.87*'[2]Key Inputs'!$C$75)+('[2]WA-Com-Existing Cust'!SS57*0.87*'[2]Key Inputs'!$C$78)+('[2]WA-Com-Cust Growth'!SU55*0.87*'[2]Key Inputs'!$C$78)</f>
        <v>3634927.9452044382</v>
      </c>
      <c r="R23" s="133">
        <f>('[2]WA-Res-Existing Cust'!ST57*0.87*'[2]Key Inputs'!$C$74)+('[2]WA-Res-Existing Cust'!ST185*0.67*'[2]Key Inputs'!$C$75)+('[2]WA-Res-Cust Growth'!SV55*0.87*'[2]Key Inputs'!$C$74)+('[2]WA-Res-Cust Growth'!SV183*0.87*'[2]Key Inputs'!$C$75)+('[2]WA-Com-Existing Cust'!ST57*0.87*'[2]Key Inputs'!$C$78)+('[2]WA-Com-Cust Growth'!SV55*0.87*'[2]Key Inputs'!$C$78)</f>
        <v>0</v>
      </c>
      <c r="S23" s="133">
        <f>('[2]WA-Res-Existing Cust'!SU57*0.87*'[2]Key Inputs'!$C$74)+('[2]WA-Res-Existing Cust'!SU185*0.67*'[2]Key Inputs'!$C$75)+('[2]WA-Res-Cust Growth'!SW55*0.87*'[2]Key Inputs'!$C$74)+('[2]WA-Res-Cust Growth'!SW183*0.87*'[2]Key Inputs'!$C$75)+('[2]WA-Com-Existing Cust'!SU57*0.87*'[2]Key Inputs'!$C$78)+('[2]WA-Com-Cust Growth'!SW55*0.87*'[2]Key Inputs'!$C$78)</f>
        <v>0</v>
      </c>
      <c r="T23" s="133">
        <f>('[2]WA-Res-Existing Cust'!SV57*0.87*'[2]Key Inputs'!$C$74)+('[2]WA-Res-Existing Cust'!SV185*0.67*'[2]Key Inputs'!$C$75)+('[2]WA-Res-Cust Growth'!SX55*0.87*'[2]Key Inputs'!$C$74)+('[2]WA-Res-Cust Growth'!SX183*0.87*'[2]Key Inputs'!$C$75)+('[2]WA-Com-Existing Cust'!SV57*0.87*'[2]Key Inputs'!$C$78)+('[2]WA-Com-Cust Growth'!SX55*0.87*'[2]Key Inputs'!$C$78)</f>
        <v>5113593.5342453253</v>
      </c>
      <c r="U23" s="133">
        <f>('[2]WA-Res-Existing Cust'!SW57*0.87*'[2]Key Inputs'!$C$74)+('[2]WA-Res-Existing Cust'!SW185*0.67*'[2]Key Inputs'!$C$75)+('[2]WA-Res-Cust Growth'!SY55*0.87*'[2]Key Inputs'!$C$74)+('[2]WA-Res-Cust Growth'!SY183*0.87*'[2]Key Inputs'!$C$75)+('[2]WA-Com-Existing Cust'!SW57*0.87*'[2]Key Inputs'!$C$78)+('[2]WA-Com-Cust Growth'!SY55*0.87*'[2]Key Inputs'!$C$78)</f>
        <v>5113593.5342453253</v>
      </c>
      <c r="V23" s="133">
        <f>('[2]WA-Res-Existing Cust'!SX57*0.87*'[2]Key Inputs'!$C$74)+('[2]WA-Res-Existing Cust'!SX185*0.67*'[2]Key Inputs'!$C$75)+('[2]WA-Res-Cust Growth'!SZ55*0.87*'[2]Key Inputs'!$C$74)+('[2]WA-Res-Cust Growth'!SZ183*0.87*'[2]Key Inputs'!$C$75)+('[2]WA-Com-Existing Cust'!SX57*0.87*'[2]Key Inputs'!$C$78)+('[2]WA-Com-Cust Growth'!SZ55*0.87*'[2]Key Inputs'!$C$78)</f>
        <v>751680</v>
      </c>
      <c r="X23" s="63">
        <f>(('[2]WA-Res-Existing Cust'!SO121+'[2]WA-Res-Cust Growth'!SQ119)*'[2]Key Inputs'!$C$73)+(('[2]WA-Com-Existing Cust'!SO121+'[2]WA-Com-Cust Growth'!SQ119)*'[2]Key Inputs'!$C$77)</f>
        <v>0</v>
      </c>
      <c r="Y23" s="63">
        <f>(('[2]WA-Res-Existing Cust'!SP121+'[2]WA-Res-Cust Growth'!SR119)*'[2]Key Inputs'!$C$73)+(('[2]WA-Com-Existing Cust'!SP121+'[2]WA-Com-Cust Growth'!SR119)*'[2]Key Inputs'!$C$77)</f>
        <v>745237.28430461278</v>
      </c>
      <c r="Z23" s="63">
        <f>(('[2]WA-Res-Existing Cust'!SQ121+'[2]WA-Res-Cust Growth'!SS119)*'[2]Key Inputs'!$C$73)+(('[2]WA-Com-Existing Cust'!SQ121+'[2]WA-Com-Cust Growth'!SS119)*'[2]Key Inputs'!$C$77)</f>
        <v>769526.64120262547</v>
      </c>
      <c r="AA23" s="63">
        <f>(('[2]WA-Res-Existing Cust'!SR121+'[2]WA-Res-Cust Growth'!ST119)*'[2]Key Inputs'!$C$73)+(('[2]WA-Com-Existing Cust'!SR121+'[2]WA-Com-Cust Growth'!ST119)*'[2]Key Inputs'!$C$77)</f>
        <v>1585651.4998066043</v>
      </c>
      <c r="AB23" s="63">
        <f>(('[2]WA-Res-Existing Cust'!SS121+'[2]WA-Res-Cust Growth'!SU119)*'[2]Key Inputs'!$C$73)+(('[2]WA-Com-Existing Cust'!SS121+'[2]WA-Com-Cust Growth'!SU119)*'[2]Key Inputs'!$C$77)</f>
        <v>475695.44994198118</v>
      </c>
      <c r="AC23" s="63">
        <f>(('[2]WA-Res-Existing Cust'!ST121+'[2]WA-Res-Cust Growth'!SV119)*'[2]Key Inputs'!$C$73)+(('[2]WA-Com-Existing Cust'!ST121+'[2]WA-Com-Cust Growth'!SV119)*'[2]Key Inputs'!$C$77)</f>
        <v>0</v>
      </c>
      <c r="AD23" s="63">
        <f>(('[2]WA-Res-Existing Cust'!SU121+'[2]WA-Res-Cust Growth'!SW119)*'[2]Key Inputs'!$C$73)+(('[2]WA-Com-Existing Cust'!SU121+'[2]WA-Com-Cust Growth'!SW119)*'[2]Key Inputs'!$C$77)</f>
        <v>0</v>
      </c>
      <c r="AE23" s="63">
        <f>(('[2]WA-Res-Existing Cust'!SV121+'[2]WA-Res-Cust Growth'!SX119)*'[2]Key Inputs'!$C$73)+(('[2]WA-Com-Existing Cust'!SV121+'[2]WA-Com-Cust Growth'!SX119)*'[2]Key Inputs'!$C$77)</f>
        <v>745237.28430461278</v>
      </c>
      <c r="AF23" s="63">
        <f>(('[2]WA-Res-Existing Cust'!SW121+'[2]WA-Res-Cust Growth'!SY119)*'[2]Key Inputs'!$C$73)+(('[2]WA-Com-Existing Cust'!SW121+'[2]WA-Com-Cust Growth'!SY119)*'[2]Key Inputs'!$C$77)</f>
        <v>745237.28430461278</v>
      </c>
      <c r="AG23" s="63">
        <f>(('[2]WA-Res-Existing Cust'!SX121+'[2]WA-Res-Cust Growth'!SZ119)*'[2]Key Inputs'!$C$73)+(('[2]WA-Com-Existing Cust'!SX121+'[2]WA-Com-Cust Growth'!SZ119)*'[2]Key Inputs'!$C$77)</f>
        <v>475695.44994198118</v>
      </c>
      <c r="AI23" s="152">
        <f>'[6]WA-IndComSales-Annual'!TF25*2.33</f>
        <v>0</v>
      </c>
      <c r="AJ23" s="152">
        <f>'[6]WA-IndComSales-Annual'!TG25*2.33</f>
        <v>0</v>
      </c>
      <c r="AK23" s="152">
        <f>'[6]WA-IndComSales-Annual'!TH25*2.33</f>
        <v>-862.89171069701206</v>
      </c>
      <c r="AL23" s="152">
        <f>'[6]WA-IndComSales-Annual'!TI25*2.33</f>
        <v>0</v>
      </c>
      <c r="AM23" s="152">
        <f>'[6]WA-IndComSales-Annual'!TJ25*2.33</f>
        <v>0</v>
      </c>
      <c r="AN23" s="152">
        <f>'[6]WA-IndComSales-Annual'!TK25*2.33</f>
        <v>0</v>
      </c>
      <c r="AO23" s="152">
        <f>'[6]WA-IndComSales-Annual'!TL25*2.33</f>
        <v>0</v>
      </c>
      <c r="AP23" s="152">
        <f>'[6]WA-IndComSales-Annual'!TM25*2.33</f>
        <v>0</v>
      </c>
      <c r="AQ23" s="152">
        <f>'[6]WA-IndComSales-Annual'!TN25*2.33</f>
        <v>0</v>
      </c>
      <c r="AR23" s="152">
        <f>'[6]WA-IndComSales-Annual'!TO25*2.33</f>
        <v>0</v>
      </c>
      <c r="AT23">
        <v>0</v>
      </c>
      <c r="AU23" s="152">
        <f>'[6]WA-Transport-Annual'!TE25*1.79</f>
        <v>78333.865440007896</v>
      </c>
      <c r="AV23" s="152">
        <f>'[6]WA-Transport-Annual'!TF25*1.79</f>
        <v>156667.73088001579</v>
      </c>
      <c r="AW23" s="152">
        <f>'[6]WA-Transport-Annual'!TG25*1.79</f>
        <v>78333.865440007896</v>
      </c>
      <c r="AX23" s="152">
        <f>'[6]WA-Transport-Annual'!TH25*1.79</f>
        <v>78333.865440007896</v>
      </c>
      <c r="AY23" s="152">
        <f>'[6]WA-Transport-Annual'!TI25*1.79</f>
        <v>0</v>
      </c>
      <c r="AZ23" s="152">
        <f>'[6]WA-Transport-Annual'!TJ25*1.79</f>
        <v>0</v>
      </c>
      <c r="BA23" s="152">
        <f>'[6]WA-Transport-Annual'!TK25*1.79</f>
        <v>78333.865440007896</v>
      </c>
      <c r="BB23" s="152">
        <f>'[6]WA-Transport-Annual'!TL25*1.79</f>
        <v>78333.865440007896</v>
      </c>
      <c r="BC23" s="152">
        <f>'[6]WA-Transport-Annual'!TM25*1.79</f>
        <v>39166.932720003948</v>
      </c>
      <c r="BE23" s="133">
        <f t="shared" si="1"/>
        <v>1167049.7394221658</v>
      </c>
      <c r="BF23" s="133">
        <f t="shared" si="1"/>
        <v>7104214.4234121116</v>
      </c>
      <c r="BG23" s="133">
        <f t="shared" si="1"/>
        <v>19296395.610352457</v>
      </c>
      <c r="BH23" s="133">
        <f t="shared" si="1"/>
        <v>5336635.1046687784</v>
      </c>
      <c r="BI23" s="133">
        <f t="shared" si="1"/>
        <v>4249927.2482586456</v>
      </c>
      <c r="BJ23" s="133">
        <f t="shared" si="1"/>
        <v>0</v>
      </c>
      <c r="BK23" s="133">
        <f t="shared" si="1"/>
        <v>0</v>
      </c>
      <c r="BL23" s="133">
        <f t="shared" si="1"/>
        <v>7104214.4234121116</v>
      </c>
      <c r="BM23" s="133">
        <f t="shared" si="1"/>
        <v>7104214.4234121116</v>
      </c>
      <c r="BN23" s="133">
        <f t="shared" si="1"/>
        <v>2433592.122084151</v>
      </c>
      <c r="BP23" s="154">
        <f>BE23/[4]Annual!HZ23</f>
        <v>0.10026768608250036</v>
      </c>
      <c r="BQ23" s="154">
        <f>BF23/[4]Annual!IA23</f>
        <v>0.78992559334519763</v>
      </c>
      <c r="BR23" s="154">
        <f>BG23/[4]Annual!IB23</f>
        <v>2.1800787593557547</v>
      </c>
      <c r="BS23" s="154">
        <f>BH23/[4]Annual!IC23</f>
        <v>0.72552537560507135</v>
      </c>
      <c r="BT23" s="154">
        <f>BI23/[4]Annual!ID23</f>
        <v>0.55997288370649656</v>
      </c>
      <c r="BU23" s="154">
        <f>BJ23/[4]Annual!IE23</f>
        <v>0</v>
      </c>
      <c r="BV23" s="154">
        <f>BK23/[4]Annual!IF23</f>
        <v>0</v>
      </c>
      <c r="BW23" s="154">
        <f>BL23/[4]Annual!IG23</f>
        <v>0.78014655392049326</v>
      </c>
      <c r="BX23" s="154">
        <f>BM23/[4]Annual!IH23</f>
        <v>0.78014655392049326</v>
      </c>
      <c r="BY23" s="154">
        <f>BN23/[4]Annual!II23</f>
        <v>0.25686718746481269</v>
      </c>
    </row>
    <row r="24" spans="1:77" x14ac:dyDescent="0.25">
      <c r="A24">
        <v>2044</v>
      </c>
      <c r="B24" s="133">
        <f>('[2]WA Res Incremental EE'!ST24+'[2]WA Com Incremental EE'!SI24)*'[5]Energy Efficiency'!$BR$9</f>
        <v>1347215.5908813579</v>
      </c>
      <c r="C24" s="133">
        <f>('[2]WA Res Incremental EE'!SU24+'[2]WA Com Incremental EE'!SJ24)*'[5]Energy Efficiency'!$BR$9</f>
        <v>1347215.5908813579</v>
      </c>
      <c r="D24" s="133">
        <f>('[2]WA Res Incremental EE'!SV24+'[2]WA Com Incremental EE'!SK24)*'[5]Energy Efficiency'!$BR$9</f>
        <v>5214619.3142232699</v>
      </c>
      <c r="E24" s="133">
        <f>('[2]WA Res Incremental EE'!SW24+'[2]WA Com Incremental EE'!SL24)*'[5]Energy Efficiency'!$BR$9</f>
        <v>1347215.5908813579</v>
      </c>
      <c r="F24" s="133">
        <f>('[2]WA Res Incremental EE'!SX24+'[2]WA Com Incremental EE'!SM24)*'[5]Energy Efficiency'!$BR$9</f>
        <v>86760.616101733787</v>
      </c>
      <c r="G24" s="133">
        <v>0</v>
      </c>
      <c r="H24" s="133">
        <v>0</v>
      </c>
      <c r="I24" s="133">
        <f>('[2]WA Res Incremental EE'!TA24+'[2]WA Com Incremental EE'!SP24)*'[5]Energy Efficiency'!$BR$9</f>
        <v>1347215.5908813579</v>
      </c>
      <c r="J24" s="133">
        <f>('[2]WA Res Incremental EE'!TB24+'[2]WA Com Incremental EE'!SQ24)*'[5]Energy Efficiency'!$BR$9</f>
        <v>1347215.5908813579</v>
      </c>
      <c r="K24" s="133">
        <f>('[2]WA Res Incremental EE'!TC24+'[2]WA Com Incremental EE'!SR24)*'[5]Energy Efficiency'!$BR$9</f>
        <v>1347215.5908813579</v>
      </c>
      <c r="L24" s="133"/>
      <c r="M24" s="133">
        <f>('[2]WA-Res-Existing Cust'!SO58*0.87*'[2]Key Inputs'!$C$74)+('[2]WA-Res-Existing Cust'!SO186*0.67*'[2]Key Inputs'!$C$75)+('[2]WA-Res-Cust Growth'!SQ56*0.87*'[2]Key Inputs'!$C$74)+('[2]WA-Res-Cust Growth'!SQ184*0.87*'[2]Key Inputs'!$C$75)+('[2]WA-Com-Existing Cust'!SO58*0.87*'[2]Key Inputs'!$C$78)+('[2]WA-Com-Cust Growth'!SQ56*0.87*'[2]Key Inputs'!$C$78)</f>
        <v>0</v>
      </c>
      <c r="N24" s="133">
        <f>('[2]WA-Res-Existing Cust'!SP58*0.87*'[2]Key Inputs'!$C$74)+('[2]WA-Res-Existing Cust'!SP186*0.67*'[2]Key Inputs'!$C$75)+('[2]WA-Res-Cust Growth'!SR56*0.87*'[2]Key Inputs'!$C$74)+('[2]WA-Res-Cust Growth'!SR184*0.87*'[2]Key Inputs'!$C$75)+('[2]WA-Com-Existing Cust'!SP58*0.87*'[2]Key Inputs'!$C$78)+('[2]WA-Com-Cust Growth'!SR56*0.87*'[2]Key Inputs'!$C$78)</f>
        <v>5109009.7910258416</v>
      </c>
      <c r="O24" s="133">
        <f>('[2]WA-Res-Existing Cust'!SQ58*0.87*'[2]Key Inputs'!$C$74)+('[2]WA-Res-Existing Cust'!SQ186*0.67*'[2]Key Inputs'!$C$75)+('[2]WA-Res-Cust Growth'!SS56*0.87*'[2]Key Inputs'!$C$74)+('[2]WA-Res-Cust Growth'!SS184*0.87*'[2]Key Inputs'!$C$75)+('[2]WA-Com-Existing Cust'!SQ58*0.87*'[2]Key Inputs'!$C$78)+('[2]WA-Com-Cust Growth'!SS56*0.87*'[2]Key Inputs'!$C$78)</f>
        <v>13072942.006845206</v>
      </c>
      <c r="P24" s="133">
        <f>('[2]WA-Res-Existing Cust'!SR58*0.87*'[2]Key Inputs'!$C$74)+('[2]WA-Res-Existing Cust'!SR186*0.67*'[2]Key Inputs'!$C$75)+('[2]WA-Res-Cust Growth'!ST56*0.87*'[2]Key Inputs'!$C$74)+('[2]WA-Res-Cust Growth'!ST184*0.87*'[2]Key Inputs'!$C$75)+('[2]WA-Com-Existing Cust'!SR58*0.87*'[2]Key Inputs'!$C$78)+('[2]WA-Com-Cust Growth'!ST56*0.87*'[2]Key Inputs'!$C$78)</f>
        <v>2505600</v>
      </c>
      <c r="Q24" s="133">
        <f>('[2]WA-Res-Existing Cust'!SS58*0.87*'[2]Key Inputs'!$C$74)+('[2]WA-Res-Existing Cust'!SS186*0.67*'[2]Key Inputs'!$C$75)+('[2]WA-Res-Cust Growth'!SU56*0.87*'[2]Key Inputs'!$C$74)+('[2]WA-Res-Cust Growth'!SU184*0.87*'[2]Key Inputs'!$C$75)+('[2]WA-Com-Existing Cust'!SS58*0.87*'[2]Key Inputs'!$C$78)+('[2]WA-Com-Cust Growth'!SU56*0.87*'[2]Key Inputs'!$C$78)</f>
        <v>3631108.1591882017</v>
      </c>
      <c r="R24" s="133">
        <f>('[2]WA-Res-Existing Cust'!ST58*0.87*'[2]Key Inputs'!$C$74)+('[2]WA-Res-Existing Cust'!ST186*0.67*'[2]Key Inputs'!$C$75)+('[2]WA-Res-Cust Growth'!SV56*0.87*'[2]Key Inputs'!$C$74)+('[2]WA-Res-Cust Growth'!SV184*0.87*'[2]Key Inputs'!$C$75)+('[2]WA-Com-Existing Cust'!ST58*0.87*'[2]Key Inputs'!$C$78)+('[2]WA-Com-Cust Growth'!SV56*0.87*'[2]Key Inputs'!$C$78)</f>
        <v>0</v>
      </c>
      <c r="S24" s="133">
        <f>('[2]WA-Res-Existing Cust'!SU58*0.87*'[2]Key Inputs'!$C$74)+('[2]WA-Res-Existing Cust'!SU186*0.67*'[2]Key Inputs'!$C$75)+('[2]WA-Res-Cust Growth'!SW56*0.87*'[2]Key Inputs'!$C$74)+('[2]WA-Res-Cust Growth'!SW184*0.87*'[2]Key Inputs'!$C$75)+('[2]WA-Com-Existing Cust'!SU58*0.87*'[2]Key Inputs'!$C$78)+('[2]WA-Com-Cust Growth'!SW56*0.87*'[2]Key Inputs'!$C$78)</f>
        <v>0</v>
      </c>
      <c r="T24" s="133">
        <f>('[2]WA-Res-Existing Cust'!SV58*0.87*'[2]Key Inputs'!$C$74)+('[2]WA-Res-Existing Cust'!SV186*0.67*'[2]Key Inputs'!$C$75)+('[2]WA-Res-Cust Growth'!SX56*0.87*'[2]Key Inputs'!$C$74)+('[2]WA-Res-Cust Growth'!SX184*0.87*'[2]Key Inputs'!$C$75)+('[2]WA-Com-Existing Cust'!SV58*0.87*'[2]Key Inputs'!$C$78)+('[2]WA-Com-Cust Growth'!SX56*0.87*'[2]Key Inputs'!$C$78)</f>
        <v>5109009.7910258416</v>
      </c>
      <c r="U24" s="133">
        <f>('[2]WA-Res-Existing Cust'!SW58*0.87*'[2]Key Inputs'!$C$74)+('[2]WA-Res-Existing Cust'!SW186*0.67*'[2]Key Inputs'!$C$75)+('[2]WA-Res-Cust Growth'!SY56*0.87*'[2]Key Inputs'!$C$74)+('[2]WA-Res-Cust Growth'!SY184*0.87*'[2]Key Inputs'!$C$75)+('[2]WA-Com-Existing Cust'!SW58*0.87*'[2]Key Inputs'!$C$78)+('[2]WA-Com-Cust Growth'!SY56*0.87*'[2]Key Inputs'!$C$78)</f>
        <v>5109009.7910258416</v>
      </c>
      <c r="V24" s="133">
        <f>('[2]WA-Res-Existing Cust'!SX58*0.87*'[2]Key Inputs'!$C$74)+('[2]WA-Res-Existing Cust'!SX186*0.67*'[2]Key Inputs'!$C$75)+('[2]WA-Res-Cust Growth'!SZ56*0.87*'[2]Key Inputs'!$C$74)+('[2]WA-Res-Cust Growth'!SZ184*0.87*'[2]Key Inputs'!$C$75)+('[2]WA-Com-Existing Cust'!SX58*0.87*'[2]Key Inputs'!$C$78)+('[2]WA-Com-Cust Growth'!SZ56*0.87*'[2]Key Inputs'!$C$78)</f>
        <v>751680</v>
      </c>
      <c r="X24" s="63">
        <f>(('[2]WA-Res-Existing Cust'!SO122+'[2]WA-Res-Cust Growth'!SQ120)*'[2]Key Inputs'!$C$73)+(('[2]WA-Com-Existing Cust'!SO122+'[2]WA-Com-Cust Growth'!SQ120)*'[2]Key Inputs'!$C$77)</f>
        <v>0</v>
      </c>
      <c r="Y24" s="63">
        <f>(('[2]WA-Res-Existing Cust'!SP122+'[2]WA-Res-Cust Growth'!SR120)*'[2]Key Inputs'!$C$73)+(('[2]WA-Com-Existing Cust'!SP122+'[2]WA-Com-Cust Growth'!SR120)*'[2]Key Inputs'!$C$77)</f>
        <v>745136.63584047777</v>
      </c>
      <c r="Z24" s="63">
        <f>(('[2]WA-Res-Existing Cust'!SQ122+'[2]WA-Res-Cust Growth'!SS120)*'[2]Key Inputs'!$C$73)+(('[2]WA-Com-Existing Cust'!SQ122+'[2]WA-Com-Cust Growth'!SS120)*'[2]Key Inputs'!$C$77)</f>
        <v>770152.12877301127</v>
      </c>
      <c r="AA24" s="63">
        <f>(('[2]WA-Res-Existing Cust'!SR122+'[2]WA-Res-Cust Growth'!ST120)*'[2]Key Inputs'!$C$73)+(('[2]WA-Com-Existing Cust'!SR122+'[2]WA-Com-Cust Growth'!ST120)*'[2]Key Inputs'!$C$77)</f>
        <v>1584179.7341357556</v>
      </c>
      <c r="AB24" s="63">
        <f>(('[2]WA-Res-Existing Cust'!SS122+'[2]WA-Res-Cust Growth'!SU120)*'[2]Key Inputs'!$C$73)+(('[2]WA-Com-Existing Cust'!SS122+'[2]WA-Com-Cust Growth'!SU120)*'[2]Key Inputs'!$C$77)</f>
        <v>475253.92024072667</v>
      </c>
      <c r="AC24" s="63">
        <f>(('[2]WA-Res-Existing Cust'!ST122+'[2]WA-Res-Cust Growth'!SV120)*'[2]Key Inputs'!$C$73)+(('[2]WA-Com-Existing Cust'!ST122+'[2]WA-Com-Cust Growth'!SV120)*'[2]Key Inputs'!$C$77)</f>
        <v>0</v>
      </c>
      <c r="AD24" s="63">
        <f>(('[2]WA-Res-Existing Cust'!SU122+'[2]WA-Res-Cust Growth'!SW120)*'[2]Key Inputs'!$C$73)+(('[2]WA-Com-Existing Cust'!SU122+'[2]WA-Com-Cust Growth'!SW120)*'[2]Key Inputs'!$C$77)</f>
        <v>0</v>
      </c>
      <c r="AE24" s="63">
        <f>(('[2]WA-Res-Existing Cust'!SV122+'[2]WA-Res-Cust Growth'!SX120)*'[2]Key Inputs'!$C$73)+(('[2]WA-Com-Existing Cust'!SV122+'[2]WA-Com-Cust Growth'!SX120)*'[2]Key Inputs'!$C$77)</f>
        <v>745136.63584047777</v>
      </c>
      <c r="AF24" s="63">
        <f>(('[2]WA-Res-Existing Cust'!SW122+'[2]WA-Res-Cust Growth'!SY120)*'[2]Key Inputs'!$C$73)+(('[2]WA-Com-Existing Cust'!SW122+'[2]WA-Com-Cust Growth'!SY120)*'[2]Key Inputs'!$C$77)</f>
        <v>745136.63584047777</v>
      </c>
      <c r="AG24" s="63">
        <f>(('[2]WA-Res-Existing Cust'!SX122+'[2]WA-Res-Cust Growth'!SZ120)*'[2]Key Inputs'!$C$73)+(('[2]WA-Com-Existing Cust'!SX122+'[2]WA-Com-Cust Growth'!SZ120)*'[2]Key Inputs'!$C$77)</f>
        <v>475253.92024072667</v>
      </c>
      <c r="AI24" s="152">
        <f>'[6]WA-IndComSales-Annual'!TF26*2.33</f>
        <v>0</v>
      </c>
      <c r="AJ24" s="152">
        <f>'[6]WA-IndComSales-Annual'!TG26*2.33</f>
        <v>0</v>
      </c>
      <c r="AK24" s="152">
        <f>'[6]WA-IndComSales-Annual'!TH26*2.33</f>
        <v>1351.2648599973786</v>
      </c>
      <c r="AL24" s="152">
        <f>'[6]WA-IndComSales-Annual'!TI26*2.33</f>
        <v>0</v>
      </c>
      <c r="AM24" s="152">
        <f>'[6]WA-IndComSales-Annual'!TJ26*2.33</f>
        <v>0</v>
      </c>
      <c r="AN24" s="152">
        <f>'[6]WA-IndComSales-Annual'!TK26*2.33</f>
        <v>0</v>
      </c>
      <c r="AO24" s="152">
        <f>'[6]WA-IndComSales-Annual'!TL26*2.33</f>
        <v>0</v>
      </c>
      <c r="AP24" s="152">
        <f>'[6]WA-IndComSales-Annual'!TM26*2.33</f>
        <v>0</v>
      </c>
      <c r="AQ24" s="152">
        <f>'[6]WA-IndComSales-Annual'!TN26*2.33</f>
        <v>0</v>
      </c>
      <c r="AR24" s="152">
        <f>'[6]WA-IndComSales-Annual'!TO26*2.33</f>
        <v>0</v>
      </c>
      <c r="AT24">
        <v>0</v>
      </c>
      <c r="AU24" s="152">
        <f>'[6]WA-Transport-Annual'!TE26*1.79</f>
        <v>82346.286480003517</v>
      </c>
      <c r="AV24" s="152">
        <f>'[6]WA-Transport-Annual'!TF26*1.79</f>
        <v>164692.57296000703</v>
      </c>
      <c r="AW24" s="152">
        <f>'[6]WA-Transport-Annual'!TG26*1.79</f>
        <v>82346.286480003517</v>
      </c>
      <c r="AX24" s="152">
        <f>'[6]WA-Transport-Annual'!TH26*1.79</f>
        <v>82346.286480003517</v>
      </c>
      <c r="AY24" s="152">
        <f>'[6]WA-Transport-Annual'!TI26*1.79</f>
        <v>0</v>
      </c>
      <c r="AZ24" s="152">
        <f>'[6]WA-Transport-Annual'!TJ26*1.79</f>
        <v>0</v>
      </c>
      <c r="BA24" s="152">
        <f>'[6]WA-Transport-Annual'!TK26*1.79</f>
        <v>82346.286480003517</v>
      </c>
      <c r="BB24" s="152">
        <f>'[6]WA-Transport-Annual'!TL26*1.79</f>
        <v>82346.286480003517</v>
      </c>
      <c r="BC24" s="152">
        <f>'[6]WA-Transport-Annual'!TM26*1.79</f>
        <v>41173.143240001758</v>
      </c>
      <c r="BE24" s="133">
        <f t="shared" si="1"/>
        <v>1347215.5908813579</v>
      </c>
      <c r="BF24" s="133">
        <f t="shared" si="1"/>
        <v>7283708.3042276809</v>
      </c>
      <c r="BG24" s="133">
        <f t="shared" si="1"/>
        <v>19223757.287661493</v>
      </c>
      <c r="BH24" s="133">
        <f t="shared" si="1"/>
        <v>5519341.6114971172</v>
      </c>
      <c r="BI24" s="133">
        <f t="shared" si="1"/>
        <v>4275468.9820106663</v>
      </c>
      <c r="BJ24" s="133">
        <f t="shared" si="1"/>
        <v>0</v>
      </c>
      <c r="BK24" s="133">
        <f t="shared" si="1"/>
        <v>0</v>
      </c>
      <c r="BL24" s="133">
        <f t="shared" si="1"/>
        <v>7283708.3042276809</v>
      </c>
      <c r="BM24" s="133">
        <f t="shared" si="1"/>
        <v>7283708.3042276809</v>
      </c>
      <c r="BN24" s="133">
        <f t="shared" si="1"/>
        <v>2615322.6543620867</v>
      </c>
      <c r="BP24" s="154">
        <f>BE24/[4]Annual!HZ24</f>
        <v>0.11449891377910273</v>
      </c>
      <c r="BQ24" s="154">
        <f>BF24/[4]Annual!IA24</f>
        <v>0.80824075585334398</v>
      </c>
      <c r="BR24" s="154">
        <f>BG24/[4]Annual!IB24</f>
        <v>2.1749667698718893</v>
      </c>
      <c r="BS24" s="154">
        <f>BH24/[4]Annual!IC24</f>
        <v>0.75601611766045029</v>
      </c>
      <c r="BT24" s="154">
        <f>BI24/[4]Annual!ID24</f>
        <v>0.56778450830735805</v>
      </c>
      <c r="BU24" s="154">
        <f>BJ24/[4]Annual!IE24</f>
        <v>0</v>
      </c>
      <c r="BV24" s="154">
        <f>BK24/[4]Annual!IF24</f>
        <v>0</v>
      </c>
      <c r="BW24" s="154">
        <f>BL24/[4]Annual!IG24</f>
        <v>0.79839585236771327</v>
      </c>
      <c r="BX24" s="154">
        <f>BM24/[4]Annual!IH24</f>
        <v>0.79839585236771327</v>
      </c>
      <c r="BY24" s="154">
        <f>BN24/[4]Annual!II24</f>
        <v>0.27507464464550618</v>
      </c>
    </row>
    <row r="25" spans="1:77" x14ac:dyDescent="0.25">
      <c r="A25">
        <v>2045</v>
      </c>
      <c r="B25" s="133">
        <f>('[2]WA Res Incremental EE'!ST25+'[2]WA Com Incremental EE'!SI25)*'[5]Energy Efficiency'!$BR$9</f>
        <v>1338104.4135364804</v>
      </c>
      <c r="C25" s="133">
        <f>('[2]WA Res Incremental EE'!SU25+'[2]WA Com Incremental EE'!SJ25)*'[5]Energy Efficiency'!$BR$9</f>
        <v>1338104.4135364804</v>
      </c>
      <c r="D25" s="133">
        <f>('[2]WA Res Incremental EE'!SV25+'[2]WA Com Incremental EE'!SK25)*'[5]Energy Efficiency'!$BR$9</f>
        <v>5186601.6037361203</v>
      </c>
      <c r="E25" s="133">
        <f>('[2]WA Res Incremental EE'!SW25+'[2]WA Com Incremental EE'!SL25)*'[5]Energy Efficiency'!$BR$9</f>
        <v>1338104.4135364804</v>
      </c>
      <c r="F25" s="133">
        <f>('[2]WA Res Incremental EE'!SX25+'[2]WA Com Incremental EE'!SM25)*'[5]Energy Efficiency'!$BR$9</f>
        <v>78358.258986494169</v>
      </c>
      <c r="G25" s="133">
        <v>0</v>
      </c>
      <c r="H25" s="133">
        <v>0</v>
      </c>
      <c r="I25" s="133">
        <f>('[2]WA Res Incremental EE'!TA25+'[2]WA Com Incremental EE'!SP25)*'[5]Energy Efficiency'!$BR$9</f>
        <v>1338104.4135364804</v>
      </c>
      <c r="J25" s="133">
        <f>('[2]WA Res Incremental EE'!TB25+'[2]WA Com Incremental EE'!SQ25)*'[5]Energy Efficiency'!$BR$9</f>
        <v>1338104.4135364804</v>
      </c>
      <c r="K25" s="133">
        <f>('[2]WA Res Incremental EE'!TC25+'[2]WA Com Incremental EE'!SR25)*'[5]Energy Efficiency'!$BR$9</f>
        <v>1338104.4135364804</v>
      </c>
      <c r="L25" s="133"/>
      <c r="M25" s="133">
        <f>('[2]WA-Res-Existing Cust'!SO59*0.87*'[2]Key Inputs'!$C$74)+('[2]WA-Res-Existing Cust'!SO187*0.67*'[2]Key Inputs'!$C$75)+('[2]WA-Res-Cust Growth'!SQ57*0.87*'[2]Key Inputs'!$C$74)+('[2]WA-Res-Cust Growth'!SQ185*0.87*'[2]Key Inputs'!$C$75)+('[2]WA-Com-Existing Cust'!SO59*0.87*'[2]Key Inputs'!$C$78)+('[2]WA-Com-Cust Growth'!SQ57*0.87*'[2]Key Inputs'!$C$78)</f>
        <v>0</v>
      </c>
      <c r="N25" s="133">
        <f>('[2]WA-Res-Existing Cust'!SP59*0.87*'[2]Key Inputs'!$C$74)+('[2]WA-Res-Existing Cust'!SP187*0.67*'[2]Key Inputs'!$C$75)+('[2]WA-Res-Cust Growth'!SR57*0.87*'[2]Key Inputs'!$C$74)+('[2]WA-Res-Cust Growth'!SR185*0.87*'[2]Key Inputs'!$C$75)+('[2]WA-Com-Existing Cust'!SP59*0.87*'[2]Key Inputs'!$C$78)+('[2]WA-Com-Cust Growth'!SR57*0.87*'[2]Key Inputs'!$C$78)</f>
        <v>5104356.0975456629</v>
      </c>
      <c r="O25" s="133">
        <f>('[2]WA-Res-Existing Cust'!SQ59*0.87*'[2]Key Inputs'!$C$74)+('[2]WA-Res-Existing Cust'!SQ187*0.67*'[2]Key Inputs'!$C$75)+('[2]WA-Res-Cust Growth'!SS57*0.87*'[2]Key Inputs'!$C$74)+('[2]WA-Res-Cust Growth'!SS185*0.87*'[2]Key Inputs'!$C$75)+('[2]WA-Com-Existing Cust'!SQ59*0.87*'[2]Key Inputs'!$C$78)+('[2]WA-Com-Cust Growth'!SS57*0.87*'[2]Key Inputs'!$C$78)</f>
        <v>12619071.790722728</v>
      </c>
      <c r="P25" s="133">
        <f>('[2]WA-Res-Existing Cust'!SR59*0.87*'[2]Key Inputs'!$C$74)+('[2]WA-Res-Existing Cust'!SR187*0.67*'[2]Key Inputs'!$C$75)+('[2]WA-Res-Cust Growth'!ST57*0.87*'[2]Key Inputs'!$C$74)+('[2]WA-Res-Cust Growth'!ST185*0.87*'[2]Key Inputs'!$C$75)+('[2]WA-Com-Existing Cust'!SR59*0.87*'[2]Key Inputs'!$C$78)+('[2]WA-Com-Cust Growth'!ST57*0.87*'[2]Key Inputs'!$C$78)</f>
        <v>2505600</v>
      </c>
      <c r="Q25" s="133">
        <f>('[2]WA-Res-Existing Cust'!SS59*0.87*'[2]Key Inputs'!$C$74)+('[2]WA-Res-Existing Cust'!SS187*0.67*'[2]Key Inputs'!$C$75)+('[2]WA-Res-Cust Growth'!SU57*0.87*'[2]Key Inputs'!$C$74)+('[2]WA-Res-Cust Growth'!SU185*0.87*'[2]Key Inputs'!$C$75)+('[2]WA-Com-Existing Cust'!SS59*0.87*'[2]Key Inputs'!$C$78)+('[2]WA-Com-Cust Growth'!SU57*0.87*'[2]Key Inputs'!$C$78)</f>
        <v>3627230.0812880518</v>
      </c>
      <c r="R25" s="133">
        <f>('[2]WA-Res-Existing Cust'!ST59*0.87*'[2]Key Inputs'!$C$74)+('[2]WA-Res-Existing Cust'!ST187*0.67*'[2]Key Inputs'!$C$75)+('[2]WA-Res-Cust Growth'!SV57*0.87*'[2]Key Inputs'!$C$74)+('[2]WA-Res-Cust Growth'!SV185*0.87*'[2]Key Inputs'!$C$75)+('[2]WA-Com-Existing Cust'!ST59*0.87*'[2]Key Inputs'!$C$78)+('[2]WA-Com-Cust Growth'!SV57*0.87*'[2]Key Inputs'!$C$78)</f>
        <v>0</v>
      </c>
      <c r="S25" s="133">
        <f>('[2]WA-Res-Existing Cust'!SU59*0.87*'[2]Key Inputs'!$C$74)+('[2]WA-Res-Existing Cust'!SU187*0.67*'[2]Key Inputs'!$C$75)+('[2]WA-Res-Cust Growth'!SW57*0.87*'[2]Key Inputs'!$C$74)+('[2]WA-Res-Cust Growth'!SW185*0.87*'[2]Key Inputs'!$C$75)+('[2]WA-Com-Existing Cust'!SU59*0.87*'[2]Key Inputs'!$C$78)+('[2]WA-Com-Cust Growth'!SW57*0.87*'[2]Key Inputs'!$C$78)</f>
        <v>0</v>
      </c>
      <c r="T25" s="133">
        <f>('[2]WA-Res-Existing Cust'!SV59*0.87*'[2]Key Inputs'!$C$74)+('[2]WA-Res-Existing Cust'!SV187*0.67*'[2]Key Inputs'!$C$75)+('[2]WA-Res-Cust Growth'!SX57*0.87*'[2]Key Inputs'!$C$74)+('[2]WA-Res-Cust Growth'!SX185*0.87*'[2]Key Inputs'!$C$75)+('[2]WA-Com-Existing Cust'!SV59*0.87*'[2]Key Inputs'!$C$78)+('[2]WA-Com-Cust Growth'!SX57*0.87*'[2]Key Inputs'!$C$78)</f>
        <v>5104356.0975456629</v>
      </c>
      <c r="U25" s="133">
        <f>('[2]WA-Res-Existing Cust'!SW59*0.87*'[2]Key Inputs'!$C$74)+('[2]WA-Res-Existing Cust'!SW187*0.67*'[2]Key Inputs'!$C$75)+('[2]WA-Res-Cust Growth'!SY57*0.87*'[2]Key Inputs'!$C$74)+('[2]WA-Res-Cust Growth'!SY185*0.87*'[2]Key Inputs'!$C$75)+('[2]WA-Com-Existing Cust'!SW59*0.87*'[2]Key Inputs'!$C$78)+('[2]WA-Com-Cust Growth'!SY57*0.87*'[2]Key Inputs'!$C$78)</f>
        <v>5104356.0975456629</v>
      </c>
      <c r="V25" s="133">
        <f>('[2]WA-Res-Existing Cust'!SX59*0.87*'[2]Key Inputs'!$C$74)+('[2]WA-Res-Existing Cust'!SX187*0.67*'[2]Key Inputs'!$C$75)+('[2]WA-Res-Cust Growth'!SZ57*0.87*'[2]Key Inputs'!$C$74)+('[2]WA-Res-Cust Growth'!SZ185*0.87*'[2]Key Inputs'!$C$75)+('[2]WA-Com-Existing Cust'!SX59*0.87*'[2]Key Inputs'!$C$78)+('[2]WA-Com-Cust Growth'!SZ57*0.87*'[2]Key Inputs'!$C$78)</f>
        <v>751680</v>
      </c>
      <c r="X25" s="63">
        <f>(('[2]WA-Res-Existing Cust'!SO123+'[2]WA-Res-Cust Growth'!SQ121)*'[2]Key Inputs'!$C$73)+(('[2]WA-Com-Existing Cust'!SO123+'[2]WA-Com-Cust Growth'!SQ121)*'[2]Key Inputs'!$C$77)</f>
        <v>0</v>
      </c>
      <c r="Y25" s="63">
        <f>(('[2]WA-Res-Existing Cust'!SP123+'[2]WA-Res-Cust Growth'!SR121)*'[2]Key Inputs'!$C$73)+(('[2]WA-Com-Existing Cust'!SP123+'[2]WA-Com-Cust Growth'!SR121)*'[2]Key Inputs'!$C$77)</f>
        <v>744965.63468461507</v>
      </c>
      <c r="Z25" s="63">
        <f>(('[2]WA-Res-Existing Cust'!SQ123+'[2]WA-Res-Cust Growth'!SS121)*'[2]Key Inputs'!$C$73)+(('[2]WA-Com-Existing Cust'!SQ123+'[2]WA-Com-Cust Growth'!SS121)*'[2]Key Inputs'!$C$77)</f>
        <v>770629.55860399036</v>
      </c>
      <c r="AA25" s="63">
        <f>(('[2]WA-Res-Existing Cust'!SR123+'[2]WA-Res-Cust Growth'!ST121)*'[2]Key Inputs'!$C$73)+(('[2]WA-Com-Existing Cust'!SR123+'[2]WA-Com-Cust Growth'!ST121)*'[2]Key Inputs'!$C$77)</f>
        <v>1582688.298875524</v>
      </c>
      <c r="AB25" s="63">
        <f>(('[2]WA-Res-Existing Cust'!SS123+'[2]WA-Res-Cust Growth'!SU121)*'[2]Key Inputs'!$C$73)+(('[2]WA-Com-Existing Cust'!SS123+'[2]WA-Com-Cust Growth'!SU121)*'[2]Key Inputs'!$C$77)</f>
        <v>474806.4896626572</v>
      </c>
      <c r="AC25" s="63">
        <f>(('[2]WA-Res-Existing Cust'!ST123+'[2]WA-Res-Cust Growth'!SV121)*'[2]Key Inputs'!$C$73)+(('[2]WA-Com-Existing Cust'!ST123+'[2]WA-Com-Cust Growth'!SV121)*'[2]Key Inputs'!$C$77)</f>
        <v>0</v>
      </c>
      <c r="AD25" s="63">
        <f>(('[2]WA-Res-Existing Cust'!SU123+'[2]WA-Res-Cust Growth'!SW121)*'[2]Key Inputs'!$C$73)+(('[2]WA-Com-Existing Cust'!SU123+'[2]WA-Com-Cust Growth'!SW121)*'[2]Key Inputs'!$C$77)</f>
        <v>0</v>
      </c>
      <c r="AE25" s="63">
        <f>(('[2]WA-Res-Existing Cust'!SV123+'[2]WA-Res-Cust Growth'!SX121)*'[2]Key Inputs'!$C$73)+(('[2]WA-Com-Existing Cust'!SV123+'[2]WA-Com-Cust Growth'!SX121)*'[2]Key Inputs'!$C$77)</f>
        <v>744965.63468461507</v>
      </c>
      <c r="AF25" s="63">
        <f>(('[2]WA-Res-Existing Cust'!SW123+'[2]WA-Res-Cust Growth'!SY121)*'[2]Key Inputs'!$C$73)+(('[2]WA-Com-Existing Cust'!SW123+'[2]WA-Com-Cust Growth'!SY121)*'[2]Key Inputs'!$C$77)</f>
        <v>744965.63468461507</v>
      </c>
      <c r="AG25" s="63">
        <f>(('[2]WA-Res-Existing Cust'!SX123+'[2]WA-Res-Cust Growth'!SZ121)*'[2]Key Inputs'!$C$73)+(('[2]WA-Com-Existing Cust'!SX123+'[2]WA-Com-Cust Growth'!SZ121)*'[2]Key Inputs'!$C$77)</f>
        <v>474806.4896626572</v>
      </c>
      <c r="AI25" s="152">
        <f>'[6]WA-IndComSales-Annual'!TF27*2.33</f>
        <v>0</v>
      </c>
      <c r="AJ25" s="152">
        <f>'[6]WA-IndComSales-Annual'!TG27*2.33</f>
        <v>0</v>
      </c>
      <c r="AK25" s="152">
        <f>'[6]WA-IndComSales-Annual'!TH27*2.33</f>
        <v>-3763.3837528000959</v>
      </c>
      <c r="AL25" s="152">
        <f>'[6]WA-IndComSales-Annual'!TI27*2.33</f>
        <v>0</v>
      </c>
      <c r="AM25" s="152">
        <f>'[6]WA-IndComSales-Annual'!TJ27*2.33</f>
        <v>0</v>
      </c>
      <c r="AN25" s="152">
        <f>'[6]WA-IndComSales-Annual'!TK27*2.33</f>
        <v>0</v>
      </c>
      <c r="AO25" s="152">
        <f>'[6]WA-IndComSales-Annual'!TL27*2.33</f>
        <v>0</v>
      </c>
      <c r="AP25" s="152">
        <f>'[6]WA-IndComSales-Annual'!TM27*2.33</f>
        <v>0</v>
      </c>
      <c r="AQ25" s="152">
        <f>'[6]WA-IndComSales-Annual'!TN27*2.33</f>
        <v>0</v>
      </c>
      <c r="AR25" s="152">
        <f>'[6]WA-IndComSales-Annual'!TO27*2.33</f>
        <v>0</v>
      </c>
      <c r="AT25">
        <v>0</v>
      </c>
      <c r="AU25" s="152">
        <f>'[6]WA-Transport-Annual'!TE27*1.79</f>
        <v>0</v>
      </c>
      <c r="AV25" s="152">
        <f>'[6]WA-Transport-Annual'!TF27*1.79</f>
        <v>0</v>
      </c>
      <c r="AW25" s="152">
        <f>'[6]WA-Transport-Annual'!TG27*1.79</f>
        <v>0</v>
      </c>
      <c r="AX25" s="152">
        <f>'[6]WA-Transport-Annual'!TH27*1.79</f>
        <v>0</v>
      </c>
      <c r="AY25" s="152">
        <f>'[6]WA-Transport-Annual'!TI27*1.79</f>
        <v>0</v>
      </c>
      <c r="AZ25" s="152">
        <f>'[6]WA-Transport-Annual'!TJ27*1.79</f>
        <v>0</v>
      </c>
      <c r="BA25" s="152">
        <f>'[6]WA-Transport-Annual'!TK27*1.79</f>
        <v>0</v>
      </c>
      <c r="BB25" s="152">
        <f>'[6]WA-Transport-Annual'!TL27*1.79</f>
        <v>0</v>
      </c>
      <c r="BC25" s="152">
        <f>'[6]WA-Transport-Annual'!TM27*1.79</f>
        <v>0</v>
      </c>
      <c r="BE25" s="133">
        <f t="shared" si="1"/>
        <v>1338104.4135364804</v>
      </c>
      <c r="BF25" s="133">
        <f t="shared" si="1"/>
        <v>7187426.1457667584</v>
      </c>
      <c r="BG25" s="133">
        <f t="shared" si="1"/>
        <v>18572539.569310039</v>
      </c>
      <c r="BH25" s="133">
        <f t="shared" si="1"/>
        <v>5426392.7124120044</v>
      </c>
      <c r="BI25" s="133">
        <f t="shared" si="1"/>
        <v>4180394.8299372029</v>
      </c>
      <c r="BJ25" s="133">
        <f t="shared" si="1"/>
        <v>0</v>
      </c>
      <c r="BK25" s="133">
        <f t="shared" si="1"/>
        <v>0</v>
      </c>
      <c r="BL25" s="133">
        <f t="shared" si="1"/>
        <v>7187426.1457667584</v>
      </c>
      <c r="BM25" s="133">
        <f t="shared" si="1"/>
        <v>7187426.1457667584</v>
      </c>
      <c r="BN25" s="133">
        <f t="shared" si="1"/>
        <v>2564590.9031991377</v>
      </c>
      <c r="BP25" s="154">
        <f>BE25/[4]Annual!HZ25</f>
        <v>0.11390323358767368</v>
      </c>
      <c r="BQ25" s="154">
        <f>BF25/[4]Annual!IA25</f>
        <v>0.80659101247007703</v>
      </c>
      <c r="BR25" s="154">
        <f>BG25/[4]Annual!IB25</f>
        <v>2.1297036718829312</v>
      </c>
      <c r="BS25" s="154">
        <f>BH25/[4]Annual!IC25</f>
        <v>0.76172893030773825</v>
      </c>
      <c r="BT25" s="154">
        <f>BI25/[4]Annual!ID25</f>
        <v>0.5669562503590766</v>
      </c>
      <c r="BU25" s="154">
        <f>BJ25/[4]Annual!IE25</f>
        <v>0</v>
      </c>
      <c r="BV25" s="154">
        <f>BK25/[4]Annual!IF25</f>
        <v>0</v>
      </c>
      <c r="BW25" s="154">
        <f>BL25/[4]Annual!IG25</f>
        <v>0.79679956779545524</v>
      </c>
      <c r="BX25" s="154">
        <f>BM25/[4]Annual!IH25</f>
        <v>0.79679956779545524</v>
      </c>
      <c r="BY25" s="154">
        <f>BN25/[4]Annual!II25</f>
        <v>0.27242266439854079</v>
      </c>
    </row>
    <row r="26" spans="1:77" x14ac:dyDescent="0.25">
      <c r="A26">
        <v>2046</v>
      </c>
      <c r="B26" s="133">
        <f>('[2]WA Res Incremental EE'!ST26+'[2]WA Com Incremental EE'!SI26)*'[5]Energy Efficiency'!$BR$9</f>
        <v>1521606.6229551814</v>
      </c>
      <c r="C26" s="133">
        <f>('[2]WA Res Incremental EE'!SU26+'[2]WA Com Incremental EE'!SJ26)*'[5]Energy Efficiency'!$BR$9</f>
        <v>1521606.6229551814</v>
      </c>
      <c r="D26" s="133">
        <f>('[2]WA Res Incremental EE'!SV26+'[2]WA Com Incremental EE'!SK26)*'[5]Energy Efficiency'!$BR$9</f>
        <v>5466496.9258390311</v>
      </c>
      <c r="E26" s="133">
        <f>('[2]WA Res Incremental EE'!SW26+'[2]WA Com Incremental EE'!SL26)*'[5]Energy Efficiency'!$BR$9</f>
        <v>1521606.6229551814</v>
      </c>
      <c r="F26" s="133">
        <f>('[2]WA Res Incremental EE'!SX26+'[2]WA Com Incremental EE'!SM26)*'[5]Energy Efficiency'!$BR$9</f>
        <v>101371.56637302019</v>
      </c>
      <c r="G26" s="133">
        <v>0</v>
      </c>
      <c r="H26" s="133">
        <v>0</v>
      </c>
      <c r="I26" s="133">
        <f>('[2]WA Res Incremental EE'!TA26+'[2]WA Com Incremental EE'!SP26)*'[5]Energy Efficiency'!$BR$9</f>
        <v>1521606.6229551814</v>
      </c>
      <c r="J26" s="133">
        <f>('[2]WA Res Incremental EE'!TB26+'[2]WA Com Incremental EE'!SQ26)*'[5]Energy Efficiency'!$BR$9</f>
        <v>1521606.6229551814</v>
      </c>
      <c r="K26" s="133">
        <f>('[2]WA Res Incremental EE'!TC26+'[2]WA Com Incremental EE'!SR26)*'[5]Energy Efficiency'!$BR$9</f>
        <v>1521606.6229551814</v>
      </c>
      <c r="L26" s="133"/>
      <c r="M26" s="133">
        <f>('[2]WA-Res-Existing Cust'!SO60*0.87*'[2]Key Inputs'!$C$74)+('[2]WA-Res-Existing Cust'!SO188*0.67*'[2]Key Inputs'!$C$75)+('[2]WA-Res-Cust Growth'!SQ58*0.87*'[2]Key Inputs'!$C$74)+('[2]WA-Res-Cust Growth'!SQ186*0.87*'[2]Key Inputs'!$C$75)+('[2]WA-Com-Existing Cust'!SO60*0.87*'[2]Key Inputs'!$C$78)+('[2]WA-Com-Cust Growth'!SQ58*0.87*'[2]Key Inputs'!$C$78)</f>
        <v>0</v>
      </c>
      <c r="N26" s="133">
        <f>('[2]WA-Res-Existing Cust'!SP60*0.87*'[2]Key Inputs'!$C$74)+('[2]WA-Res-Existing Cust'!SP188*0.67*'[2]Key Inputs'!$C$75)+('[2]WA-Res-Cust Growth'!SR58*0.87*'[2]Key Inputs'!$C$74)+('[2]WA-Res-Cust Growth'!SR186*0.87*'[2]Key Inputs'!$C$75)+('[2]WA-Com-Existing Cust'!SP60*0.87*'[2]Key Inputs'!$C$78)+('[2]WA-Com-Cust Growth'!SR58*0.87*'[2]Key Inputs'!$C$78)</f>
        <v>5099653.2509202855</v>
      </c>
      <c r="O26" s="133">
        <f>('[2]WA-Res-Existing Cust'!SQ60*0.87*'[2]Key Inputs'!$C$74)+('[2]WA-Res-Existing Cust'!SQ188*0.67*'[2]Key Inputs'!$C$75)+('[2]WA-Res-Cust Growth'!SS58*0.87*'[2]Key Inputs'!$C$74)+('[2]WA-Res-Cust Growth'!SS186*0.87*'[2]Key Inputs'!$C$75)+('[2]WA-Com-Existing Cust'!SQ60*0.87*'[2]Key Inputs'!$C$78)+('[2]WA-Com-Cust Growth'!SS58*0.87*'[2]Key Inputs'!$C$78)</f>
        <v>12165588.742968123</v>
      </c>
      <c r="P26" s="133">
        <f>('[2]WA-Res-Existing Cust'!SR60*0.87*'[2]Key Inputs'!$C$74)+('[2]WA-Res-Existing Cust'!SR188*0.67*'[2]Key Inputs'!$C$75)+('[2]WA-Res-Cust Growth'!ST58*0.87*'[2]Key Inputs'!$C$74)+('[2]WA-Res-Cust Growth'!ST186*0.87*'[2]Key Inputs'!$C$75)+('[2]WA-Com-Existing Cust'!SR60*0.87*'[2]Key Inputs'!$C$78)+('[2]WA-Com-Cust Growth'!ST58*0.87*'[2]Key Inputs'!$C$78)</f>
        <v>2505600</v>
      </c>
      <c r="Q26" s="133">
        <f>('[2]WA-Res-Existing Cust'!SS60*0.87*'[2]Key Inputs'!$C$74)+('[2]WA-Res-Existing Cust'!SS188*0.67*'[2]Key Inputs'!$C$75)+('[2]WA-Res-Cust Growth'!SU58*0.87*'[2]Key Inputs'!$C$74)+('[2]WA-Res-Cust Growth'!SU186*0.87*'[2]Key Inputs'!$C$75)+('[2]WA-Com-Existing Cust'!SS60*0.87*'[2]Key Inputs'!$C$78)+('[2]WA-Com-Cust Growth'!SU58*0.87*'[2]Key Inputs'!$C$78)</f>
        <v>3623311.0424335715</v>
      </c>
      <c r="R26" s="133">
        <f>('[2]WA-Res-Existing Cust'!ST60*0.87*'[2]Key Inputs'!$C$74)+('[2]WA-Res-Existing Cust'!ST188*0.67*'[2]Key Inputs'!$C$75)+('[2]WA-Res-Cust Growth'!SV58*0.87*'[2]Key Inputs'!$C$74)+('[2]WA-Res-Cust Growth'!SV186*0.87*'[2]Key Inputs'!$C$75)+('[2]WA-Com-Existing Cust'!ST60*0.87*'[2]Key Inputs'!$C$78)+('[2]WA-Com-Cust Growth'!SV58*0.87*'[2]Key Inputs'!$C$78)</f>
        <v>0</v>
      </c>
      <c r="S26" s="133">
        <f>('[2]WA-Res-Existing Cust'!SU60*0.87*'[2]Key Inputs'!$C$74)+('[2]WA-Res-Existing Cust'!SU188*0.67*'[2]Key Inputs'!$C$75)+('[2]WA-Res-Cust Growth'!SW58*0.87*'[2]Key Inputs'!$C$74)+('[2]WA-Res-Cust Growth'!SW186*0.87*'[2]Key Inputs'!$C$75)+('[2]WA-Com-Existing Cust'!SU60*0.87*'[2]Key Inputs'!$C$78)+('[2]WA-Com-Cust Growth'!SW58*0.87*'[2]Key Inputs'!$C$78)</f>
        <v>0</v>
      </c>
      <c r="T26" s="133">
        <f>('[2]WA-Res-Existing Cust'!SV60*0.87*'[2]Key Inputs'!$C$74)+('[2]WA-Res-Existing Cust'!SV188*0.67*'[2]Key Inputs'!$C$75)+('[2]WA-Res-Cust Growth'!SX58*0.87*'[2]Key Inputs'!$C$74)+('[2]WA-Res-Cust Growth'!SX186*0.87*'[2]Key Inputs'!$C$75)+('[2]WA-Com-Existing Cust'!SV60*0.87*'[2]Key Inputs'!$C$78)+('[2]WA-Com-Cust Growth'!SX58*0.87*'[2]Key Inputs'!$C$78)</f>
        <v>5099653.2509202855</v>
      </c>
      <c r="U26" s="133">
        <f>('[2]WA-Res-Existing Cust'!SW60*0.87*'[2]Key Inputs'!$C$74)+('[2]WA-Res-Existing Cust'!SW188*0.67*'[2]Key Inputs'!$C$75)+('[2]WA-Res-Cust Growth'!SY58*0.87*'[2]Key Inputs'!$C$74)+('[2]WA-Res-Cust Growth'!SY186*0.87*'[2]Key Inputs'!$C$75)+('[2]WA-Com-Existing Cust'!SW60*0.87*'[2]Key Inputs'!$C$78)+('[2]WA-Com-Cust Growth'!SY58*0.87*'[2]Key Inputs'!$C$78)</f>
        <v>5099653.2509202855</v>
      </c>
      <c r="V26" s="133">
        <f>('[2]WA-Res-Existing Cust'!SX60*0.87*'[2]Key Inputs'!$C$74)+('[2]WA-Res-Existing Cust'!SX188*0.67*'[2]Key Inputs'!$C$75)+('[2]WA-Res-Cust Growth'!SZ58*0.87*'[2]Key Inputs'!$C$74)+('[2]WA-Res-Cust Growth'!SZ186*0.87*'[2]Key Inputs'!$C$75)+('[2]WA-Com-Existing Cust'!SX60*0.87*'[2]Key Inputs'!$C$78)+('[2]WA-Com-Cust Growth'!SZ58*0.87*'[2]Key Inputs'!$C$78)</f>
        <v>751680</v>
      </c>
      <c r="X26" s="63">
        <f>(('[2]WA-Res-Existing Cust'!SO124+'[2]WA-Res-Cust Growth'!SQ122)*'[2]Key Inputs'!$C$73)+(('[2]WA-Com-Existing Cust'!SO124+'[2]WA-Com-Cust Growth'!SQ122)*'[2]Key Inputs'!$C$77)</f>
        <v>0</v>
      </c>
      <c r="Y26" s="63">
        <f>(('[2]WA-Res-Existing Cust'!SP124+'[2]WA-Res-Cust Growth'!SR122)*'[2]Key Inputs'!$C$73)+(('[2]WA-Com-Existing Cust'!SP124+'[2]WA-Com-Cust Growth'!SR122)*'[2]Key Inputs'!$C$77)</f>
        <v>744670.05257363722</v>
      </c>
      <c r="Z26" s="63">
        <f>(('[2]WA-Res-Existing Cust'!SQ124+'[2]WA-Res-Cust Growth'!SS122)*'[2]Key Inputs'!$C$73)+(('[2]WA-Com-Existing Cust'!SQ124+'[2]WA-Com-Cust Growth'!SS122)*'[2]Key Inputs'!$C$77)</f>
        <v>770833.68940572953</v>
      </c>
      <c r="AA26" s="63">
        <f>(('[2]WA-Res-Existing Cust'!SR124+'[2]WA-Res-Cust Growth'!ST122)*'[2]Key Inputs'!$C$73)+(('[2]WA-Com-Existing Cust'!SR124+'[2]WA-Com-Cust Growth'!ST122)*'[2]Key Inputs'!$C$77)</f>
        <v>1581181.2007376689</v>
      </c>
      <c r="AB26" s="63">
        <f>(('[2]WA-Res-Existing Cust'!SS124+'[2]WA-Res-Cust Growth'!SU122)*'[2]Key Inputs'!$C$73)+(('[2]WA-Com-Existing Cust'!SS124+'[2]WA-Com-Cust Growth'!SU122)*'[2]Key Inputs'!$C$77)</f>
        <v>474354.36022130068</v>
      </c>
      <c r="AC26" s="63">
        <f>(('[2]WA-Res-Existing Cust'!ST124+'[2]WA-Res-Cust Growth'!SV122)*'[2]Key Inputs'!$C$73)+(('[2]WA-Com-Existing Cust'!ST124+'[2]WA-Com-Cust Growth'!SV122)*'[2]Key Inputs'!$C$77)</f>
        <v>0</v>
      </c>
      <c r="AD26" s="63">
        <f>(('[2]WA-Res-Existing Cust'!SU124+'[2]WA-Res-Cust Growth'!SW122)*'[2]Key Inputs'!$C$73)+(('[2]WA-Com-Existing Cust'!SU124+'[2]WA-Com-Cust Growth'!SW122)*'[2]Key Inputs'!$C$77)</f>
        <v>0</v>
      </c>
      <c r="AE26" s="63">
        <f>(('[2]WA-Res-Existing Cust'!SV124+'[2]WA-Res-Cust Growth'!SX122)*'[2]Key Inputs'!$C$73)+(('[2]WA-Com-Existing Cust'!SV124+'[2]WA-Com-Cust Growth'!SX122)*'[2]Key Inputs'!$C$77)</f>
        <v>744670.05257363722</v>
      </c>
      <c r="AF26" s="63">
        <f>(('[2]WA-Res-Existing Cust'!SW124+'[2]WA-Res-Cust Growth'!SY122)*'[2]Key Inputs'!$C$73)+(('[2]WA-Com-Existing Cust'!SW124+'[2]WA-Com-Cust Growth'!SY122)*'[2]Key Inputs'!$C$77)</f>
        <v>744670.05257363722</v>
      </c>
      <c r="AG26" s="63">
        <f>(('[2]WA-Res-Existing Cust'!SX124+'[2]WA-Res-Cust Growth'!SZ122)*'[2]Key Inputs'!$C$73)+(('[2]WA-Com-Existing Cust'!SX124+'[2]WA-Com-Cust Growth'!SZ122)*'[2]Key Inputs'!$C$77)</f>
        <v>474354.36022130068</v>
      </c>
      <c r="AI26" s="152">
        <f>'[6]WA-IndComSales-Annual'!TF28*2.33</f>
        <v>0</v>
      </c>
      <c r="AJ26" s="152">
        <f>'[6]WA-IndComSales-Annual'!TG28*2.33</f>
        <v>0</v>
      </c>
      <c r="AK26" s="152">
        <f>'[6]WA-IndComSales-Annual'!TH28*2.33</f>
        <v>-1296.0047858999576</v>
      </c>
      <c r="AL26" s="152">
        <f>'[6]WA-IndComSales-Annual'!TI28*2.33</f>
        <v>0</v>
      </c>
      <c r="AM26" s="152">
        <f>'[6]WA-IndComSales-Annual'!TJ28*2.33</f>
        <v>0</v>
      </c>
      <c r="AN26" s="152">
        <f>'[6]WA-IndComSales-Annual'!TK28*2.33</f>
        <v>0</v>
      </c>
      <c r="AO26" s="152">
        <f>'[6]WA-IndComSales-Annual'!TL28*2.33</f>
        <v>0</v>
      </c>
      <c r="AP26" s="152">
        <f>'[6]WA-IndComSales-Annual'!TM28*2.33</f>
        <v>0</v>
      </c>
      <c r="AQ26" s="152">
        <f>'[6]WA-IndComSales-Annual'!TN28*2.33</f>
        <v>0</v>
      </c>
      <c r="AR26" s="152">
        <f>'[6]WA-IndComSales-Annual'!TO28*2.33</f>
        <v>0</v>
      </c>
      <c r="AT26">
        <v>0</v>
      </c>
      <c r="AU26" s="152">
        <f>'[6]WA-Transport-Annual'!TE28*1.79</f>
        <v>0</v>
      </c>
      <c r="AV26" s="152">
        <f>'[6]WA-Transport-Annual'!TF28*1.79</f>
        <v>0</v>
      </c>
      <c r="AW26" s="152">
        <f>'[6]WA-Transport-Annual'!TG28*1.79</f>
        <v>0</v>
      </c>
      <c r="AX26" s="152">
        <f>'[6]WA-Transport-Annual'!TH28*1.79</f>
        <v>0</v>
      </c>
      <c r="AY26" s="152">
        <f>'[6]WA-Transport-Annual'!TI28*1.79</f>
        <v>0</v>
      </c>
      <c r="AZ26" s="152">
        <f>'[6]WA-Transport-Annual'!TJ28*1.79</f>
        <v>0</v>
      </c>
      <c r="BA26" s="152">
        <f>'[6]WA-Transport-Annual'!TK28*1.79</f>
        <v>0</v>
      </c>
      <c r="BB26" s="152">
        <f>'[6]WA-Transport-Annual'!TL28*1.79</f>
        <v>0</v>
      </c>
      <c r="BC26" s="152">
        <f>'[6]WA-Transport-Annual'!TM28*1.79</f>
        <v>0</v>
      </c>
      <c r="BE26" s="133">
        <f t="shared" si="1"/>
        <v>1521606.6229551814</v>
      </c>
      <c r="BF26" s="133">
        <f t="shared" si="1"/>
        <v>7365929.9264491042</v>
      </c>
      <c r="BG26" s="133">
        <f t="shared" si="1"/>
        <v>18401623.353426985</v>
      </c>
      <c r="BH26" s="133">
        <f t="shared" si="1"/>
        <v>5608387.8236928508</v>
      </c>
      <c r="BI26" s="133">
        <f t="shared" si="1"/>
        <v>4199036.9690278927</v>
      </c>
      <c r="BJ26" s="133">
        <f t="shared" si="1"/>
        <v>0</v>
      </c>
      <c r="BK26" s="133">
        <f t="shared" si="1"/>
        <v>0</v>
      </c>
      <c r="BL26" s="133">
        <f t="shared" si="1"/>
        <v>7365929.9264491042</v>
      </c>
      <c r="BM26" s="133">
        <f t="shared" si="1"/>
        <v>7365929.9264491042</v>
      </c>
      <c r="BN26" s="133">
        <f t="shared" si="1"/>
        <v>2747640.9831764824</v>
      </c>
      <c r="BP26" s="154">
        <f>BE26/[4]Annual!HZ26</f>
        <v>0.12893407802602036</v>
      </c>
      <c r="BQ26" s="154">
        <f>BF26/[4]Annual!IA26</f>
        <v>0.83118038095902491</v>
      </c>
      <c r="BR26" s="154">
        <f>BG26/[4]Annual!IB26</f>
        <v>2.1254801034957209</v>
      </c>
      <c r="BS26" s="154">
        <f>BH26/[4]Annual!IC26</f>
        <v>0.80343165850294873</v>
      </c>
      <c r="BT26" s="154">
        <f>BI26/[4]Annual!ID26</f>
        <v>0.57813803253030382</v>
      </c>
      <c r="BU26" s="154">
        <f>BJ26/[4]Annual!IE26</f>
        <v>0</v>
      </c>
      <c r="BV26" s="154">
        <f>BK26/[4]Annual!IF26</f>
        <v>0</v>
      </c>
      <c r="BW26" s="154">
        <f>BL26/[4]Annual!IG26</f>
        <v>0.82108574968629688</v>
      </c>
      <c r="BX26" s="154">
        <f>BM26/[4]Annual!IH26</f>
        <v>0.82108574968629688</v>
      </c>
      <c r="BY26" s="154">
        <f>BN26/[4]Annual!II26</f>
        <v>0.29308089497973999</v>
      </c>
    </row>
    <row r="27" spans="1:77" x14ac:dyDescent="0.25">
      <c r="A27">
        <v>2047</v>
      </c>
      <c r="B27" s="133">
        <f>('[2]WA Res Incremental EE'!ST27+'[2]WA Com Incremental EE'!SI27)*'[5]Energy Efficiency'!$BR$9</f>
        <v>1572605.6839753289</v>
      </c>
      <c r="C27" s="133">
        <f>('[2]WA Res Incremental EE'!SU27+'[2]WA Com Incremental EE'!SJ27)*'[5]Energy Efficiency'!$BR$9</f>
        <v>1572605.6839753289</v>
      </c>
      <c r="D27" s="133">
        <f>('[2]WA Res Incremental EE'!SV27+'[2]WA Com Incremental EE'!SK27)*'[5]Energy Efficiency'!$BR$9</f>
        <v>5567129.4322604965</v>
      </c>
      <c r="E27" s="133">
        <f>('[2]WA Res Incremental EE'!SW27+'[2]WA Com Incremental EE'!SL27)*'[5]Energy Efficiency'!$BR$9</f>
        <v>1572605.6839753289</v>
      </c>
      <c r="F27" s="133">
        <f>('[2]WA Res Incremental EE'!SX27+'[2]WA Com Incremental EE'!SM27)*'[5]Energy Efficiency'!$BR$9</f>
        <v>101664.34395903224</v>
      </c>
      <c r="G27" s="133">
        <v>0</v>
      </c>
      <c r="H27" s="133">
        <v>0</v>
      </c>
      <c r="I27" s="133">
        <f>('[2]WA Res Incremental EE'!TA27+'[2]WA Com Incremental EE'!SP27)*'[5]Energy Efficiency'!$BR$9</f>
        <v>1572605.6839753289</v>
      </c>
      <c r="J27" s="133">
        <f>('[2]WA Res Incremental EE'!TB27+'[2]WA Com Incremental EE'!SQ27)*'[5]Energy Efficiency'!$BR$9</f>
        <v>1572605.6839753289</v>
      </c>
      <c r="K27" s="133">
        <f>('[2]WA Res Incremental EE'!TC27+'[2]WA Com Incremental EE'!SR27)*'[5]Energy Efficiency'!$BR$9</f>
        <v>1572605.6839753289</v>
      </c>
      <c r="L27" s="133"/>
      <c r="M27" s="133">
        <f>('[2]WA-Res-Existing Cust'!SO61*0.87*'[2]Key Inputs'!$C$74)+('[2]WA-Res-Existing Cust'!SO189*0.67*'[2]Key Inputs'!$C$75)+('[2]WA-Res-Cust Growth'!SQ59*0.87*'[2]Key Inputs'!$C$74)+('[2]WA-Res-Cust Growth'!SQ187*0.87*'[2]Key Inputs'!$C$75)+('[2]WA-Com-Existing Cust'!SO61*0.87*'[2]Key Inputs'!$C$78)+('[2]WA-Com-Cust Growth'!SQ59*0.87*'[2]Key Inputs'!$C$78)</f>
        <v>0</v>
      </c>
      <c r="N27" s="133">
        <f>('[2]WA-Res-Existing Cust'!SP61*0.87*'[2]Key Inputs'!$C$74)+('[2]WA-Res-Existing Cust'!SP189*0.67*'[2]Key Inputs'!$C$75)+('[2]WA-Res-Cust Growth'!SR59*0.87*'[2]Key Inputs'!$C$74)+('[2]WA-Res-Cust Growth'!SR187*0.87*'[2]Key Inputs'!$C$75)+('[2]WA-Com-Existing Cust'!SP61*0.87*'[2]Key Inputs'!$C$78)+('[2]WA-Com-Cust Growth'!SR59*0.87*'[2]Key Inputs'!$C$78)</f>
        <v>5094903.170545904</v>
      </c>
      <c r="O27" s="133">
        <f>('[2]WA-Res-Existing Cust'!SQ61*0.87*'[2]Key Inputs'!$C$74)+('[2]WA-Res-Existing Cust'!SQ189*0.67*'[2]Key Inputs'!$C$75)+('[2]WA-Res-Cust Growth'!SS59*0.87*'[2]Key Inputs'!$C$74)+('[2]WA-Res-Cust Growth'!SS187*0.87*'[2]Key Inputs'!$C$75)+('[2]WA-Com-Existing Cust'!SQ61*0.87*'[2]Key Inputs'!$C$78)+('[2]WA-Com-Cust Growth'!SS59*0.87*'[2]Key Inputs'!$C$78)</f>
        <v>11638990.229452606</v>
      </c>
      <c r="P27" s="133">
        <f>('[2]WA-Res-Existing Cust'!SR61*0.87*'[2]Key Inputs'!$C$74)+('[2]WA-Res-Existing Cust'!SR189*0.67*'[2]Key Inputs'!$C$75)+('[2]WA-Res-Cust Growth'!ST59*0.87*'[2]Key Inputs'!$C$74)+('[2]WA-Res-Cust Growth'!ST187*0.87*'[2]Key Inputs'!$C$75)+('[2]WA-Com-Existing Cust'!SR61*0.87*'[2]Key Inputs'!$C$78)+('[2]WA-Com-Cust Growth'!ST59*0.87*'[2]Key Inputs'!$C$78)</f>
        <v>2505600</v>
      </c>
      <c r="Q27" s="133">
        <f>('[2]WA-Res-Existing Cust'!SS61*0.87*'[2]Key Inputs'!$C$74)+('[2]WA-Res-Existing Cust'!SS189*0.67*'[2]Key Inputs'!$C$75)+('[2]WA-Res-Cust Growth'!SU59*0.87*'[2]Key Inputs'!$C$74)+('[2]WA-Res-Cust Growth'!SU187*0.87*'[2]Key Inputs'!$C$75)+('[2]WA-Com-Existing Cust'!SS61*0.87*'[2]Key Inputs'!$C$78)+('[2]WA-Com-Cust Growth'!SU59*0.87*'[2]Key Inputs'!$C$78)</f>
        <v>3619352.642121586</v>
      </c>
      <c r="R27" s="133">
        <f>('[2]WA-Res-Existing Cust'!ST61*0.87*'[2]Key Inputs'!$C$74)+('[2]WA-Res-Existing Cust'!ST189*0.67*'[2]Key Inputs'!$C$75)+('[2]WA-Res-Cust Growth'!SV59*0.87*'[2]Key Inputs'!$C$74)+('[2]WA-Res-Cust Growth'!SV187*0.87*'[2]Key Inputs'!$C$75)+('[2]WA-Com-Existing Cust'!ST61*0.87*'[2]Key Inputs'!$C$78)+('[2]WA-Com-Cust Growth'!SV59*0.87*'[2]Key Inputs'!$C$78)</f>
        <v>0</v>
      </c>
      <c r="S27" s="133">
        <f>('[2]WA-Res-Existing Cust'!SU61*0.87*'[2]Key Inputs'!$C$74)+('[2]WA-Res-Existing Cust'!SU189*0.67*'[2]Key Inputs'!$C$75)+('[2]WA-Res-Cust Growth'!SW59*0.87*'[2]Key Inputs'!$C$74)+('[2]WA-Res-Cust Growth'!SW187*0.87*'[2]Key Inputs'!$C$75)+('[2]WA-Com-Existing Cust'!SU61*0.87*'[2]Key Inputs'!$C$78)+('[2]WA-Com-Cust Growth'!SW59*0.87*'[2]Key Inputs'!$C$78)</f>
        <v>0</v>
      </c>
      <c r="T27" s="133">
        <f>('[2]WA-Res-Existing Cust'!SV61*0.87*'[2]Key Inputs'!$C$74)+('[2]WA-Res-Existing Cust'!SV189*0.67*'[2]Key Inputs'!$C$75)+('[2]WA-Res-Cust Growth'!SX59*0.87*'[2]Key Inputs'!$C$74)+('[2]WA-Res-Cust Growth'!SX187*0.87*'[2]Key Inputs'!$C$75)+('[2]WA-Com-Existing Cust'!SV61*0.87*'[2]Key Inputs'!$C$78)+('[2]WA-Com-Cust Growth'!SX59*0.87*'[2]Key Inputs'!$C$78)</f>
        <v>5094903.170545904</v>
      </c>
      <c r="U27" s="133">
        <f>('[2]WA-Res-Existing Cust'!SW61*0.87*'[2]Key Inputs'!$C$74)+('[2]WA-Res-Existing Cust'!SW189*0.67*'[2]Key Inputs'!$C$75)+('[2]WA-Res-Cust Growth'!SY59*0.87*'[2]Key Inputs'!$C$74)+('[2]WA-Res-Cust Growth'!SY187*0.87*'[2]Key Inputs'!$C$75)+('[2]WA-Com-Existing Cust'!SW61*0.87*'[2]Key Inputs'!$C$78)+('[2]WA-Com-Cust Growth'!SY59*0.87*'[2]Key Inputs'!$C$78)</f>
        <v>5094903.170545904</v>
      </c>
      <c r="V27" s="133">
        <f>('[2]WA-Res-Existing Cust'!SX61*0.87*'[2]Key Inputs'!$C$74)+('[2]WA-Res-Existing Cust'!SX189*0.67*'[2]Key Inputs'!$C$75)+('[2]WA-Res-Cust Growth'!SZ59*0.87*'[2]Key Inputs'!$C$74)+('[2]WA-Res-Cust Growth'!SZ187*0.87*'[2]Key Inputs'!$C$75)+('[2]WA-Com-Existing Cust'!SX61*0.87*'[2]Key Inputs'!$C$78)+('[2]WA-Com-Cust Growth'!SZ59*0.87*'[2]Key Inputs'!$C$78)</f>
        <v>751680</v>
      </c>
      <c r="X27" s="63">
        <f>(('[2]WA-Res-Existing Cust'!SO125+'[2]WA-Res-Cust Growth'!SQ123)*'[2]Key Inputs'!$C$73)+(('[2]WA-Com-Existing Cust'!SO125+'[2]WA-Com-Cust Growth'!SQ123)*'[2]Key Inputs'!$C$77)</f>
        <v>0</v>
      </c>
      <c r="Y27" s="63">
        <f>(('[2]WA-Res-Existing Cust'!SP125+'[2]WA-Res-Cust Growth'!SR123)*'[2]Key Inputs'!$C$73)+(('[2]WA-Com-Existing Cust'!SP125+'[2]WA-Com-Cust Growth'!SR123)*'[2]Key Inputs'!$C$77)</f>
        <v>744411.4617338255</v>
      </c>
      <c r="Z27" s="63">
        <f>(('[2]WA-Res-Existing Cust'!SQ125+'[2]WA-Res-Cust Growth'!SS123)*'[2]Key Inputs'!$C$73)+(('[2]WA-Com-Existing Cust'!SQ125+'[2]WA-Com-Cust Growth'!SS123)*'[2]Key Inputs'!$C$77)</f>
        <v>771131.11380665435</v>
      </c>
      <c r="AA27" s="63">
        <f>(('[2]WA-Res-Existing Cust'!SR125+'[2]WA-Res-Cust Growth'!ST123)*'[2]Key Inputs'!$C$73)+(('[2]WA-Com-Existing Cust'!SR125+'[2]WA-Com-Cust Growth'!ST123)*'[2]Key Inputs'!$C$77)</f>
        <v>1579657.8151552014</v>
      </c>
      <c r="AB27" s="63">
        <f>(('[2]WA-Res-Existing Cust'!SS125+'[2]WA-Res-Cust Growth'!SU123)*'[2]Key Inputs'!$C$73)+(('[2]WA-Com-Existing Cust'!SS125+'[2]WA-Com-Cust Growth'!SU123)*'[2]Key Inputs'!$C$77)</f>
        <v>473897.34454656031</v>
      </c>
      <c r="AC27" s="63">
        <f>(('[2]WA-Res-Existing Cust'!ST125+'[2]WA-Res-Cust Growth'!SV123)*'[2]Key Inputs'!$C$73)+(('[2]WA-Com-Existing Cust'!ST125+'[2]WA-Com-Cust Growth'!SV123)*'[2]Key Inputs'!$C$77)</f>
        <v>0</v>
      </c>
      <c r="AD27" s="63">
        <f>(('[2]WA-Res-Existing Cust'!SU125+'[2]WA-Res-Cust Growth'!SW123)*'[2]Key Inputs'!$C$73)+(('[2]WA-Com-Existing Cust'!SU125+'[2]WA-Com-Cust Growth'!SW123)*'[2]Key Inputs'!$C$77)</f>
        <v>0</v>
      </c>
      <c r="AE27" s="63">
        <f>(('[2]WA-Res-Existing Cust'!SV125+'[2]WA-Res-Cust Growth'!SX123)*'[2]Key Inputs'!$C$73)+(('[2]WA-Com-Existing Cust'!SV125+'[2]WA-Com-Cust Growth'!SX123)*'[2]Key Inputs'!$C$77)</f>
        <v>744411.4617338255</v>
      </c>
      <c r="AF27" s="63">
        <f>(('[2]WA-Res-Existing Cust'!SW125+'[2]WA-Res-Cust Growth'!SY123)*'[2]Key Inputs'!$C$73)+(('[2]WA-Com-Existing Cust'!SW125+'[2]WA-Com-Cust Growth'!SY123)*'[2]Key Inputs'!$C$77)</f>
        <v>744411.4617338255</v>
      </c>
      <c r="AG27" s="63">
        <f>(('[2]WA-Res-Existing Cust'!SX125+'[2]WA-Res-Cust Growth'!SZ123)*'[2]Key Inputs'!$C$73)+(('[2]WA-Com-Existing Cust'!SX125+'[2]WA-Com-Cust Growth'!SZ123)*'[2]Key Inputs'!$C$77)</f>
        <v>473897.34454656031</v>
      </c>
      <c r="AI27" s="152">
        <f>'[6]WA-IndComSales-Annual'!TF29*2.33</f>
        <v>0</v>
      </c>
      <c r="AJ27" s="152">
        <f>'[6]WA-IndComSales-Annual'!TG29*2.33</f>
        <v>0</v>
      </c>
      <c r="AK27" s="152">
        <f>'[6]WA-IndComSales-Annual'!TH29*2.33</f>
        <v>-1733.5973326996993</v>
      </c>
      <c r="AL27" s="152">
        <f>'[6]WA-IndComSales-Annual'!TI29*2.33</f>
        <v>0</v>
      </c>
      <c r="AM27" s="152">
        <f>'[6]WA-IndComSales-Annual'!TJ29*2.33</f>
        <v>0</v>
      </c>
      <c r="AN27" s="152">
        <f>'[6]WA-IndComSales-Annual'!TK29*2.33</f>
        <v>0</v>
      </c>
      <c r="AO27" s="152">
        <f>'[6]WA-IndComSales-Annual'!TL29*2.33</f>
        <v>0</v>
      </c>
      <c r="AP27" s="152">
        <f>'[6]WA-IndComSales-Annual'!TM29*2.33</f>
        <v>0</v>
      </c>
      <c r="AQ27" s="152">
        <f>'[6]WA-IndComSales-Annual'!TN29*2.33</f>
        <v>0</v>
      </c>
      <c r="AR27" s="152">
        <f>'[6]WA-IndComSales-Annual'!TO29*2.33</f>
        <v>0</v>
      </c>
      <c r="AT27">
        <v>0</v>
      </c>
      <c r="AU27" s="152">
        <f>'[6]WA-Transport-Annual'!TE29*1.79</f>
        <v>0</v>
      </c>
      <c r="AV27" s="152">
        <f>'[6]WA-Transport-Annual'!TF29*1.79</f>
        <v>0</v>
      </c>
      <c r="AW27" s="152">
        <f>'[6]WA-Transport-Annual'!TG29*1.79</f>
        <v>0</v>
      </c>
      <c r="AX27" s="152">
        <f>'[6]WA-Transport-Annual'!TH29*1.79</f>
        <v>0</v>
      </c>
      <c r="AY27" s="152">
        <f>'[6]WA-Transport-Annual'!TI29*1.79</f>
        <v>0</v>
      </c>
      <c r="AZ27" s="152">
        <f>'[6]WA-Transport-Annual'!TJ29*1.79</f>
        <v>0</v>
      </c>
      <c r="BA27" s="152">
        <f>'[6]WA-Transport-Annual'!TK29*1.79</f>
        <v>0</v>
      </c>
      <c r="BB27" s="152">
        <f>'[6]WA-Transport-Annual'!TL29*1.79</f>
        <v>0</v>
      </c>
      <c r="BC27" s="152">
        <f>'[6]WA-Transport-Annual'!TM29*1.79</f>
        <v>0</v>
      </c>
      <c r="BE27" s="133">
        <f t="shared" si="1"/>
        <v>1572605.6839753289</v>
      </c>
      <c r="BF27" s="133">
        <f t="shared" si="1"/>
        <v>7411920.3162550582</v>
      </c>
      <c r="BG27" s="133">
        <f t="shared" si="1"/>
        <v>17975517.178187054</v>
      </c>
      <c r="BH27" s="133">
        <f t="shared" si="1"/>
        <v>5657863.4991305303</v>
      </c>
      <c r="BI27" s="133">
        <f t="shared" si="1"/>
        <v>4194914.3306271788</v>
      </c>
      <c r="BJ27" s="133">
        <f t="shared" si="1"/>
        <v>0</v>
      </c>
      <c r="BK27" s="133">
        <f t="shared" si="1"/>
        <v>0</v>
      </c>
      <c r="BL27" s="133">
        <f t="shared" si="1"/>
        <v>7411920.3162550582</v>
      </c>
      <c r="BM27" s="133">
        <f t="shared" si="1"/>
        <v>7411920.3162550582</v>
      </c>
      <c r="BN27" s="133">
        <f t="shared" si="1"/>
        <v>2798183.0285218889</v>
      </c>
      <c r="BP27" s="154">
        <f>BE27/[4]Annual!HZ27</f>
        <v>0.13266249986516593</v>
      </c>
      <c r="BQ27" s="154">
        <f>BF27/[4]Annual!IA27</f>
        <v>0.84100983191787759</v>
      </c>
      <c r="BR27" s="154">
        <f>BG27/[4]Annual!IB27</f>
        <v>2.0910532199192406</v>
      </c>
      <c r="BS27" s="154">
        <f>BH27/[4]Annual!IC27</f>
        <v>0.82737900166760114</v>
      </c>
      <c r="BT27" s="154">
        <f>BI27/[4]Annual!ID27</f>
        <v>0.58638664530858231</v>
      </c>
      <c r="BU27" s="154">
        <f>BJ27/[4]Annual!IE27</f>
        <v>0</v>
      </c>
      <c r="BV27" s="154">
        <f>BK27/[4]Annual!IF27</f>
        <v>0</v>
      </c>
      <c r="BW27" s="154">
        <f>BL27/[4]Annual!IG27</f>
        <v>0.8307916697461597</v>
      </c>
      <c r="BX27" s="154">
        <f>BM27/[4]Annual!IH27</f>
        <v>0.8307916697461597</v>
      </c>
      <c r="BY27" s="154">
        <f>BN27/[4]Annual!II27</f>
        <v>0.29973935072435315</v>
      </c>
    </row>
    <row r="28" spans="1:77" x14ac:dyDescent="0.25">
      <c r="A28">
        <v>2048</v>
      </c>
      <c r="B28" s="133">
        <f>('[2]WA Res Incremental EE'!ST28+'[2]WA Com Incremental EE'!SI28)*'[5]Energy Efficiency'!$BR$9</f>
        <v>1823052.8595578081</v>
      </c>
      <c r="C28" s="133">
        <f>('[2]WA Res Incremental EE'!SU28+'[2]WA Com Incremental EE'!SJ28)*'[5]Energy Efficiency'!$BR$9</f>
        <v>1823052.8595578081</v>
      </c>
      <c r="D28" s="133">
        <f>('[2]WA Res Incremental EE'!SV28+'[2]WA Com Incremental EE'!SK28)*'[5]Energy Efficiency'!$BR$9</f>
        <v>5923224.2860398497</v>
      </c>
      <c r="E28" s="133">
        <f>('[2]WA Res Incremental EE'!SW28+'[2]WA Com Incremental EE'!SL28)*'[5]Energy Efficiency'!$BR$9</f>
        <v>1823052.8595578081</v>
      </c>
      <c r="F28" s="133">
        <f>('[2]WA Res Incremental EE'!SX28+'[2]WA Com Incremental EE'!SM28)*'[5]Energy Efficiency'!$BR$9</f>
        <v>131215.70621719511</v>
      </c>
      <c r="G28" s="133">
        <v>0</v>
      </c>
      <c r="H28" s="133">
        <v>0</v>
      </c>
      <c r="I28" s="133">
        <f>('[2]WA Res Incremental EE'!TA28+'[2]WA Com Incremental EE'!SP28)*'[5]Energy Efficiency'!$BR$9</f>
        <v>1823052.8595578081</v>
      </c>
      <c r="J28" s="133">
        <f>('[2]WA Res Incremental EE'!TB28+'[2]WA Com Incremental EE'!SQ28)*'[5]Energy Efficiency'!$BR$9</f>
        <v>1823052.8595578081</v>
      </c>
      <c r="K28" s="133">
        <f>('[2]WA Res Incremental EE'!TC28+'[2]WA Com Incremental EE'!SR28)*'[5]Energy Efficiency'!$BR$9</f>
        <v>1823052.8595578081</v>
      </c>
      <c r="L28" s="133"/>
      <c r="M28" s="133">
        <f>('[2]WA-Res-Existing Cust'!SO62*0.87*'[2]Key Inputs'!$C$74)+('[2]WA-Res-Existing Cust'!SO190*0.67*'[2]Key Inputs'!$C$75)+('[2]WA-Res-Cust Growth'!SQ60*0.87*'[2]Key Inputs'!$C$74)+('[2]WA-Res-Cust Growth'!SQ188*0.87*'[2]Key Inputs'!$C$75)+('[2]WA-Com-Existing Cust'!SO62*0.87*'[2]Key Inputs'!$C$78)+('[2]WA-Com-Cust Growth'!SQ60*0.87*'[2]Key Inputs'!$C$78)</f>
        <v>0</v>
      </c>
      <c r="N28" s="133">
        <f>('[2]WA-Res-Existing Cust'!SP62*0.87*'[2]Key Inputs'!$C$74)+('[2]WA-Res-Existing Cust'!SP190*0.67*'[2]Key Inputs'!$C$75)+('[2]WA-Res-Cust Growth'!SR60*0.87*'[2]Key Inputs'!$C$74)+('[2]WA-Res-Cust Growth'!SR188*0.87*'[2]Key Inputs'!$C$75)+('[2]WA-Com-Existing Cust'!SP62*0.87*'[2]Key Inputs'!$C$78)+('[2]WA-Com-Cust Growth'!SR60*0.87*'[2]Key Inputs'!$C$78)</f>
        <v>5090107.4590821331</v>
      </c>
      <c r="O28" s="133">
        <f>('[2]WA-Res-Existing Cust'!SQ62*0.87*'[2]Key Inputs'!$C$74)+('[2]WA-Res-Existing Cust'!SQ190*0.67*'[2]Key Inputs'!$C$75)+('[2]WA-Res-Cust Growth'!SS60*0.87*'[2]Key Inputs'!$C$74)+('[2]WA-Res-Cust Growth'!SS188*0.87*'[2]Key Inputs'!$C$75)+('[2]WA-Com-Existing Cust'!SQ62*0.87*'[2]Key Inputs'!$C$78)+('[2]WA-Com-Cust Growth'!SS60*0.87*'[2]Key Inputs'!$C$78)</f>
        <v>11186365.645736324</v>
      </c>
      <c r="P28" s="133">
        <f>('[2]WA-Res-Existing Cust'!SR62*0.87*'[2]Key Inputs'!$C$74)+('[2]WA-Res-Existing Cust'!SR190*0.67*'[2]Key Inputs'!$C$75)+('[2]WA-Res-Cust Growth'!ST60*0.87*'[2]Key Inputs'!$C$74)+('[2]WA-Res-Cust Growth'!ST188*0.87*'[2]Key Inputs'!$C$75)+('[2]WA-Com-Existing Cust'!SR62*0.87*'[2]Key Inputs'!$C$78)+('[2]WA-Com-Cust Growth'!ST60*0.87*'[2]Key Inputs'!$C$78)</f>
        <v>2505600</v>
      </c>
      <c r="Q28" s="133">
        <f>('[2]WA-Res-Existing Cust'!SS62*0.87*'[2]Key Inputs'!$C$74)+('[2]WA-Res-Existing Cust'!SS190*0.67*'[2]Key Inputs'!$C$75)+('[2]WA-Res-Cust Growth'!SU60*0.87*'[2]Key Inputs'!$C$74)+('[2]WA-Res-Cust Growth'!SU188*0.87*'[2]Key Inputs'!$C$75)+('[2]WA-Com-Existing Cust'!SS62*0.87*'[2]Key Inputs'!$C$78)+('[2]WA-Com-Cust Growth'!SU60*0.87*'[2]Key Inputs'!$C$78)</f>
        <v>3615356.2159017776</v>
      </c>
      <c r="R28" s="133">
        <f>('[2]WA-Res-Existing Cust'!ST62*0.87*'[2]Key Inputs'!$C$74)+('[2]WA-Res-Existing Cust'!ST190*0.67*'[2]Key Inputs'!$C$75)+('[2]WA-Res-Cust Growth'!SV60*0.87*'[2]Key Inputs'!$C$74)+('[2]WA-Res-Cust Growth'!SV188*0.87*'[2]Key Inputs'!$C$75)+('[2]WA-Com-Existing Cust'!ST62*0.87*'[2]Key Inputs'!$C$78)+('[2]WA-Com-Cust Growth'!SV60*0.87*'[2]Key Inputs'!$C$78)</f>
        <v>0</v>
      </c>
      <c r="S28" s="133">
        <f>('[2]WA-Res-Existing Cust'!SU62*0.87*'[2]Key Inputs'!$C$74)+('[2]WA-Res-Existing Cust'!SU190*0.67*'[2]Key Inputs'!$C$75)+('[2]WA-Res-Cust Growth'!SW60*0.87*'[2]Key Inputs'!$C$74)+('[2]WA-Res-Cust Growth'!SW188*0.87*'[2]Key Inputs'!$C$75)+('[2]WA-Com-Existing Cust'!SU62*0.87*'[2]Key Inputs'!$C$78)+('[2]WA-Com-Cust Growth'!SW60*0.87*'[2]Key Inputs'!$C$78)</f>
        <v>0</v>
      </c>
      <c r="T28" s="133">
        <f>('[2]WA-Res-Existing Cust'!SV62*0.87*'[2]Key Inputs'!$C$74)+('[2]WA-Res-Existing Cust'!SV190*0.67*'[2]Key Inputs'!$C$75)+('[2]WA-Res-Cust Growth'!SX60*0.87*'[2]Key Inputs'!$C$74)+('[2]WA-Res-Cust Growth'!SX188*0.87*'[2]Key Inputs'!$C$75)+('[2]WA-Com-Existing Cust'!SV62*0.87*'[2]Key Inputs'!$C$78)+('[2]WA-Com-Cust Growth'!SX60*0.87*'[2]Key Inputs'!$C$78)</f>
        <v>5090107.4590821331</v>
      </c>
      <c r="U28" s="133">
        <f>('[2]WA-Res-Existing Cust'!SW62*0.87*'[2]Key Inputs'!$C$74)+('[2]WA-Res-Existing Cust'!SW190*0.67*'[2]Key Inputs'!$C$75)+('[2]WA-Res-Cust Growth'!SY60*0.87*'[2]Key Inputs'!$C$74)+('[2]WA-Res-Cust Growth'!SY188*0.87*'[2]Key Inputs'!$C$75)+('[2]WA-Com-Existing Cust'!SW62*0.87*'[2]Key Inputs'!$C$78)+('[2]WA-Com-Cust Growth'!SY60*0.87*'[2]Key Inputs'!$C$78)</f>
        <v>5090107.4590821331</v>
      </c>
      <c r="V28" s="133">
        <f>('[2]WA-Res-Existing Cust'!SX62*0.87*'[2]Key Inputs'!$C$74)+('[2]WA-Res-Existing Cust'!SX190*0.67*'[2]Key Inputs'!$C$75)+('[2]WA-Res-Cust Growth'!SZ60*0.87*'[2]Key Inputs'!$C$74)+('[2]WA-Res-Cust Growth'!SZ188*0.87*'[2]Key Inputs'!$C$75)+('[2]WA-Com-Existing Cust'!SX62*0.87*'[2]Key Inputs'!$C$78)+('[2]WA-Com-Cust Growth'!SZ60*0.87*'[2]Key Inputs'!$C$78)</f>
        <v>751680</v>
      </c>
      <c r="X28" s="63">
        <f>(('[2]WA-Res-Existing Cust'!SO126+'[2]WA-Res-Cust Growth'!SQ124)*'[2]Key Inputs'!$C$73)+(('[2]WA-Com-Existing Cust'!SO126+'[2]WA-Com-Cust Growth'!SQ124)*'[2]Key Inputs'!$C$77)</f>
        <v>0</v>
      </c>
      <c r="Y28" s="63">
        <f>(('[2]WA-Res-Existing Cust'!SP126+'[2]WA-Res-Cust Growth'!SR124)*'[2]Key Inputs'!$C$73)+(('[2]WA-Com-Existing Cust'!SP126+'[2]WA-Com-Cust Growth'!SR124)*'[2]Key Inputs'!$C$77)</f>
        <v>744108.63962667715</v>
      </c>
      <c r="Z28" s="63">
        <f>(('[2]WA-Res-Existing Cust'!SQ126+'[2]WA-Res-Cust Growth'!SS124)*'[2]Key Inputs'!$C$73)+(('[2]WA-Com-Existing Cust'!SQ126+'[2]WA-Com-Cust Growth'!SS124)*'[2]Key Inputs'!$C$77)</f>
        <v>771337.27158832038</v>
      </c>
      <c r="AA28" s="63">
        <f>(('[2]WA-Res-Existing Cust'!SR126+'[2]WA-Res-Cust Growth'!ST124)*'[2]Key Inputs'!$C$73)+(('[2]WA-Com-Existing Cust'!SR126+'[2]WA-Com-Cust Growth'!ST124)*'[2]Key Inputs'!$C$77)</f>
        <v>1336110.3282254671</v>
      </c>
      <c r="AB28" s="63">
        <f>(('[2]WA-Res-Existing Cust'!SS126+'[2]WA-Res-Cust Growth'!SU124)*'[2]Key Inputs'!$C$73)+(('[2]WA-Com-Existing Cust'!SS126+'[2]WA-Com-Cust Growth'!SU124)*'[2]Key Inputs'!$C$77)</f>
        <v>473435.67839593848</v>
      </c>
      <c r="AC28" s="63">
        <f>(('[2]WA-Res-Existing Cust'!ST126+'[2]WA-Res-Cust Growth'!SV124)*'[2]Key Inputs'!$C$73)+(('[2]WA-Com-Existing Cust'!ST126+'[2]WA-Com-Cust Growth'!SV124)*'[2]Key Inputs'!$C$77)</f>
        <v>0</v>
      </c>
      <c r="AD28" s="63">
        <f>(('[2]WA-Res-Existing Cust'!SU126+'[2]WA-Res-Cust Growth'!SW124)*'[2]Key Inputs'!$C$73)+(('[2]WA-Com-Existing Cust'!SU126+'[2]WA-Com-Cust Growth'!SW124)*'[2]Key Inputs'!$C$77)</f>
        <v>0</v>
      </c>
      <c r="AE28" s="63">
        <f>(('[2]WA-Res-Existing Cust'!SV126+'[2]WA-Res-Cust Growth'!SX124)*'[2]Key Inputs'!$C$73)+(('[2]WA-Com-Existing Cust'!SV126+'[2]WA-Com-Cust Growth'!SX124)*'[2]Key Inputs'!$C$77)</f>
        <v>744108.63962667715</v>
      </c>
      <c r="AF28" s="63">
        <f>(('[2]WA-Res-Existing Cust'!SW126+'[2]WA-Res-Cust Growth'!SY124)*'[2]Key Inputs'!$C$73)+(('[2]WA-Com-Existing Cust'!SW126+'[2]WA-Com-Cust Growth'!SY124)*'[2]Key Inputs'!$C$77)</f>
        <v>744108.63962667715</v>
      </c>
      <c r="AG28" s="63">
        <f>(('[2]WA-Res-Existing Cust'!SX126+'[2]WA-Res-Cust Growth'!SZ124)*'[2]Key Inputs'!$C$73)+(('[2]WA-Com-Existing Cust'!SX126+'[2]WA-Com-Cust Growth'!SZ124)*'[2]Key Inputs'!$C$77)</f>
        <v>473435.67839593848</v>
      </c>
      <c r="AI28" s="152">
        <f>'[6]WA-IndComSales-Annual'!TF30*2.33</f>
        <v>0</v>
      </c>
      <c r="AJ28" s="152">
        <f>'[6]WA-IndComSales-Annual'!TG30*2.33</f>
        <v>0</v>
      </c>
      <c r="AK28" s="152">
        <f>'[6]WA-IndComSales-Annual'!TH30*2.33</f>
        <v>644.29115729884245</v>
      </c>
      <c r="AL28" s="152">
        <f>'[6]WA-IndComSales-Annual'!TI30*2.33</f>
        <v>0</v>
      </c>
      <c r="AM28" s="152">
        <f>'[6]WA-IndComSales-Annual'!TJ30*2.33</f>
        <v>0</v>
      </c>
      <c r="AN28" s="152">
        <f>'[6]WA-IndComSales-Annual'!TK30*2.33</f>
        <v>0</v>
      </c>
      <c r="AO28" s="152">
        <f>'[6]WA-IndComSales-Annual'!TL30*2.33</f>
        <v>0</v>
      </c>
      <c r="AP28" s="152">
        <f>'[6]WA-IndComSales-Annual'!TM30*2.33</f>
        <v>0</v>
      </c>
      <c r="AQ28" s="152">
        <f>'[6]WA-IndComSales-Annual'!TN30*2.33</f>
        <v>0</v>
      </c>
      <c r="AR28" s="152">
        <f>'[6]WA-IndComSales-Annual'!TO30*2.33</f>
        <v>0</v>
      </c>
      <c r="AT28">
        <v>0</v>
      </c>
      <c r="AU28" s="152">
        <f>'[6]WA-Transport-Annual'!TE30*1.79</f>
        <v>0</v>
      </c>
      <c r="AV28" s="152">
        <f>'[6]WA-Transport-Annual'!TF30*1.79</f>
        <v>0</v>
      </c>
      <c r="AW28" s="152">
        <f>'[6]WA-Transport-Annual'!TG30*1.79</f>
        <v>0</v>
      </c>
      <c r="AX28" s="152">
        <f>'[6]WA-Transport-Annual'!TH30*1.79</f>
        <v>0</v>
      </c>
      <c r="AY28" s="152">
        <f>'[6]WA-Transport-Annual'!TI30*1.79</f>
        <v>0</v>
      </c>
      <c r="AZ28" s="152">
        <f>'[6]WA-Transport-Annual'!TJ30*1.79</f>
        <v>0</v>
      </c>
      <c r="BA28" s="152">
        <f>'[6]WA-Transport-Annual'!TK30*1.79</f>
        <v>0</v>
      </c>
      <c r="BB28" s="152">
        <f>'[6]WA-Transport-Annual'!TL30*1.79</f>
        <v>0</v>
      </c>
      <c r="BC28" s="152">
        <f>'[6]WA-Transport-Annual'!TM30*1.79</f>
        <v>0</v>
      </c>
      <c r="BE28" s="133">
        <f t="shared" si="1"/>
        <v>1823052.8595578081</v>
      </c>
      <c r="BF28" s="133">
        <f t="shared" si="1"/>
        <v>7657268.9582666187</v>
      </c>
      <c r="BG28" s="133">
        <f t="shared" si="1"/>
        <v>17881571.494521793</v>
      </c>
      <c r="BH28" s="133">
        <f t="shared" si="1"/>
        <v>5664763.1877832757</v>
      </c>
      <c r="BI28" s="133">
        <f t="shared" si="1"/>
        <v>4220007.6005149111</v>
      </c>
      <c r="BJ28" s="133">
        <f t="shared" si="1"/>
        <v>0</v>
      </c>
      <c r="BK28" s="133">
        <f t="shared" si="1"/>
        <v>0</v>
      </c>
      <c r="BL28" s="133">
        <f t="shared" si="1"/>
        <v>7657268.9582666187</v>
      </c>
      <c r="BM28" s="133">
        <f t="shared" si="1"/>
        <v>7657268.9582666187</v>
      </c>
      <c r="BN28" s="133">
        <f t="shared" si="1"/>
        <v>3048168.537953747</v>
      </c>
      <c r="BP28" s="154">
        <f>BE28/[4]Annual!HZ28</f>
        <v>0.15217095906126318</v>
      </c>
      <c r="BQ28" s="154">
        <f>BF28/[4]Annual!IA28</f>
        <v>0.86755881480551345</v>
      </c>
      <c r="BR28" s="154">
        <f>BG28/[4]Annual!IB28</f>
        <v>2.0808247167309277</v>
      </c>
      <c r="BS28" s="154">
        <f>BH28/[4]Annual!IC28</f>
        <v>0.83709706026141772</v>
      </c>
      <c r="BT28" s="154">
        <f>BI28/[4]Annual!ID28</f>
        <v>0.59469865977636271</v>
      </c>
      <c r="BU28" s="154">
        <f>BJ28/[4]Annual!IE28</f>
        <v>0</v>
      </c>
      <c r="BV28" s="154">
        <f>BK28/[4]Annual!IF28</f>
        <v>0</v>
      </c>
      <c r="BW28" s="154">
        <f>BL28/[4]Annual!IG28</f>
        <v>0.85708572317975995</v>
      </c>
      <c r="BX28" s="154">
        <f>BM28/[4]Annual!IH28</f>
        <v>0.85708572317975995</v>
      </c>
      <c r="BY28" s="154">
        <f>BN28/[4]Annual!II28</f>
        <v>0.32563821495151957</v>
      </c>
    </row>
    <row r="29" spans="1:77" x14ac:dyDescent="0.25">
      <c r="A29">
        <v>2049</v>
      </c>
      <c r="B29" s="133">
        <f>('[2]WA Res Incremental EE'!ST29+'[2]WA Com Incremental EE'!SI29)*'[5]Energy Efficiency'!$BR$9</f>
        <v>1803155.2415583958</v>
      </c>
      <c r="C29" s="133">
        <f>('[2]WA Res Incremental EE'!SU29+'[2]WA Com Incremental EE'!SJ29)*'[5]Energy Efficiency'!$BR$9</f>
        <v>1803155.2415583958</v>
      </c>
      <c r="D29" s="133">
        <f>('[2]WA Res Incremental EE'!SV29+'[2]WA Com Incremental EE'!SK29)*'[5]Energy Efficiency'!$BR$9</f>
        <v>5872448.4034537515</v>
      </c>
      <c r="E29" s="133">
        <f>('[2]WA Res Incremental EE'!SW29+'[2]WA Com Incremental EE'!SL29)*'[5]Energy Efficiency'!$BR$9</f>
        <v>1803155.2415583958</v>
      </c>
      <c r="F29" s="133">
        <f>('[2]WA Res Incremental EE'!SX29+'[2]WA Com Incremental EE'!SM29)*'[5]Energy Efficiency'!$BR$9</f>
        <v>119385.35498984628</v>
      </c>
      <c r="G29" s="133">
        <v>0</v>
      </c>
      <c r="H29" s="133">
        <v>0</v>
      </c>
      <c r="I29" s="133">
        <f>('[2]WA Res Incremental EE'!TA29+'[2]WA Com Incremental EE'!SP29)*'[5]Energy Efficiency'!$BR$9</f>
        <v>1803155.2415583958</v>
      </c>
      <c r="J29" s="133">
        <f>('[2]WA Res Incremental EE'!TB29+'[2]WA Com Incremental EE'!SQ29)*'[5]Energy Efficiency'!$BR$9</f>
        <v>1803155.2415583958</v>
      </c>
      <c r="K29" s="133">
        <f>('[2]WA Res Incremental EE'!TC29+'[2]WA Com Incremental EE'!SR29)*'[5]Energy Efficiency'!$BR$9</f>
        <v>1803155.2415583958</v>
      </c>
      <c r="L29" s="133"/>
      <c r="M29" s="133">
        <f>('[2]WA-Res-Existing Cust'!SO63*0.87*'[2]Key Inputs'!$C$74)+('[2]WA-Res-Existing Cust'!SO191*0.67*'[2]Key Inputs'!$C$75)+('[2]WA-Res-Cust Growth'!SQ61*0.87*'[2]Key Inputs'!$C$74)+('[2]WA-Res-Cust Growth'!SQ189*0.87*'[2]Key Inputs'!$C$75)+('[2]WA-Com-Existing Cust'!SO63*0.87*'[2]Key Inputs'!$C$78)+('[2]WA-Com-Cust Growth'!SQ61*0.87*'[2]Key Inputs'!$C$78)</f>
        <v>0</v>
      </c>
      <c r="N29" s="133">
        <f>('[2]WA-Res-Existing Cust'!SP63*0.87*'[2]Key Inputs'!$C$74)+('[2]WA-Res-Existing Cust'!SP191*0.67*'[2]Key Inputs'!$C$75)+('[2]WA-Res-Cust Growth'!SR61*0.87*'[2]Key Inputs'!$C$74)+('[2]WA-Res-Cust Growth'!SR189*0.87*'[2]Key Inputs'!$C$75)+('[2]WA-Com-Existing Cust'!SP63*0.87*'[2]Key Inputs'!$C$78)+('[2]WA-Com-Cust Growth'!SR61*0.87*'[2]Key Inputs'!$C$78)</f>
        <v>5454935.7153349305</v>
      </c>
      <c r="O29" s="133">
        <f>('[2]WA-Res-Existing Cust'!SQ63*0.87*'[2]Key Inputs'!$C$74)+('[2]WA-Res-Existing Cust'!SQ191*0.67*'[2]Key Inputs'!$C$75)+('[2]WA-Res-Cust Growth'!SS61*0.87*'[2]Key Inputs'!$C$74)+('[2]WA-Res-Cust Growth'!SS189*0.87*'[2]Key Inputs'!$C$75)+('[2]WA-Com-Existing Cust'!SQ63*0.87*'[2]Key Inputs'!$C$78)+('[2]WA-Com-Cust Growth'!SS61*0.87*'[2]Key Inputs'!$C$78)</f>
        <v>10955431.716360305</v>
      </c>
      <c r="P29" s="133">
        <f>('[2]WA-Res-Existing Cust'!SR63*0.87*'[2]Key Inputs'!$C$74)+('[2]WA-Res-Existing Cust'!SR191*0.67*'[2]Key Inputs'!$C$75)+('[2]WA-Res-Cust Growth'!ST61*0.87*'[2]Key Inputs'!$C$74)+('[2]WA-Res-Cust Growth'!ST189*0.87*'[2]Key Inputs'!$C$75)+('[2]WA-Com-Existing Cust'!SR63*0.87*'[2]Key Inputs'!$C$78)+('[2]WA-Com-Cust Growth'!ST61*0.87*'[2]Key Inputs'!$C$78)</f>
        <v>2505600</v>
      </c>
      <c r="Q29" s="133">
        <f>('[2]WA-Res-Existing Cust'!SS63*0.87*'[2]Key Inputs'!$C$74)+('[2]WA-Res-Existing Cust'!SS191*0.67*'[2]Key Inputs'!$C$75)+('[2]WA-Res-Cust Growth'!SU61*0.87*'[2]Key Inputs'!$C$74)+('[2]WA-Res-Cust Growth'!SU189*0.87*'[2]Key Inputs'!$C$75)+('[2]WA-Com-Existing Cust'!SS63*0.87*'[2]Key Inputs'!$C$78)+('[2]WA-Com-Cust Growth'!SU61*0.87*'[2]Key Inputs'!$C$78)</f>
        <v>3980993.8553784778</v>
      </c>
      <c r="R29" s="133">
        <f>('[2]WA-Res-Existing Cust'!ST63*0.87*'[2]Key Inputs'!$C$74)+('[2]WA-Res-Existing Cust'!ST191*0.67*'[2]Key Inputs'!$C$75)+('[2]WA-Res-Cust Growth'!SV61*0.87*'[2]Key Inputs'!$C$74)+('[2]WA-Res-Cust Growth'!SV189*0.87*'[2]Key Inputs'!$C$75)+('[2]WA-Com-Existing Cust'!ST63*0.87*'[2]Key Inputs'!$C$78)+('[2]WA-Com-Cust Growth'!SV61*0.87*'[2]Key Inputs'!$C$78)</f>
        <v>0</v>
      </c>
      <c r="S29" s="133">
        <f>('[2]WA-Res-Existing Cust'!SU63*0.87*'[2]Key Inputs'!$C$74)+('[2]WA-Res-Existing Cust'!SU191*0.67*'[2]Key Inputs'!$C$75)+('[2]WA-Res-Cust Growth'!SW61*0.87*'[2]Key Inputs'!$C$74)+('[2]WA-Res-Cust Growth'!SW189*0.87*'[2]Key Inputs'!$C$75)+('[2]WA-Com-Existing Cust'!SU63*0.87*'[2]Key Inputs'!$C$78)+('[2]WA-Com-Cust Growth'!SW61*0.87*'[2]Key Inputs'!$C$78)</f>
        <v>0</v>
      </c>
      <c r="T29" s="133">
        <f>('[2]WA-Res-Existing Cust'!SV63*0.87*'[2]Key Inputs'!$C$74)+('[2]WA-Res-Existing Cust'!SV191*0.67*'[2]Key Inputs'!$C$75)+('[2]WA-Res-Cust Growth'!SX61*0.87*'[2]Key Inputs'!$C$74)+('[2]WA-Res-Cust Growth'!SX189*0.87*'[2]Key Inputs'!$C$75)+('[2]WA-Com-Existing Cust'!SV63*0.87*'[2]Key Inputs'!$C$78)+('[2]WA-Com-Cust Growth'!SX61*0.87*'[2]Key Inputs'!$C$78)</f>
        <v>5454935.7153349305</v>
      </c>
      <c r="U29" s="133">
        <f>('[2]WA-Res-Existing Cust'!SW63*0.87*'[2]Key Inputs'!$C$74)+('[2]WA-Res-Existing Cust'!SW191*0.67*'[2]Key Inputs'!$C$75)+('[2]WA-Res-Cust Growth'!SY61*0.87*'[2]Key Inputs'!$C$74)+('[2]WA-Res-Cust Growth'!SY189*0.87*'[2]Key Inputs'!$C$75)+('[2]WA-Com-Existing Cust'!SW63*0.87*'[2]Key Inputs'!$C$78)+('[2]WA-Com-Cust Growth'!SY61*0.87*'[2]Key Inputs'!$C$78)</f>
        <v>5454935.7153349305</v>
      </c>
      <c r="V29" s="133">
        <f>('[2]WA-Res-Existing Cust'!SX63*0.87*'[2]Key Inputs'!$C$74)+('[2]WA-Res-Existing Cust'!SX191*0.67*'[2]Key Inputs'!$C$75)+('[2]WA-Res-Cust Growth'!SZ61*0.87*'[2]Key Inputs'!$C$74)+('[2]WA-Res-Cust Growth'!SZ189*0.87*'[2]Key Inputs'!$C$75)+('[2]WA-Com-Existing Cust'!SX63*0.87*'[2]Key Inputs'!$C$78)+('[2]WA-Com-Cust Growth'!SZ61*0.87*'[2]Key Inputs'!$C$78)</f>
        <v>751680</v>
      </c>
      <c r="X29" s="63">
        <f>(('[2]WA-Res-Existing Cust'!SO127+'[2]WA-Res-Cust Growth'!SQ125)*'[2]Key Inputs'!$C$73)+(('[2]WA-Com-Existing Cust'!SO127+'[2]WA-Com-Cust Growth'!SQ125)*'[2]Key Inputs'!$C$77)</f>
        <v>0</v>
      </c>
      <c r="Y29" s="63">
        <f>(('[2]WA-Res-Existing Cust'!SP127+'[2]WA-Res-Cust Growth'!SR125)*'[2]Key Inputs'!$C$73)+(('[2]WA-Com-Existing Cust'!SP127+'[2]WA-Com-Cust Growth'!SR125)*'[2]Key Inputs'!$C$77)</f>
        <v>743924.4684557186</v>
      </c>
      <c r="Z29" s="63">
        <f>(('[2]WA-Res-Existing Cust'!SQ127+'[2]WA-Res-Cust Growth'!SS125)*'[2]Key Inputs'!$C$73)+(('[2]WA-Com-Existing Cust'!SQ127+'[2]WA-Com-Cust Growth'!SS125)*'[2]Key Inputs'!$C$77)</f>
        <v>771823.78790268535</v>
      </c>
      <c r="AA29" s="63">
        <f>(('[2]WA-Res-Existing Cust'!SR127+'[2]WA-Res-Cust Growth'!ST125)*'[2]Key Inputs'!$C$73)+(('[2]WA-Com-Existing Cust'!SR127+'[2]WA-Com-Cust Growth'!ST125)*'[2]Key Inputs'!$C$77)</f>
        <v>1093011.782687318</v>
      </c>
      <c r="AB29" s="63">
        <f>(('[2]WA-Res-Existing Cust'!SS127+'[2]WA-Res-Cust Growth'!SU125)*'[2]Key Inputs'!$C$73)+(('[2]WA-Com-Existing Cust'!SS127+'[2]WA-Com-Cust Growth'!SU125)*'[2]Key Inputs'!$C$77)</f>
        <v>472968.10720531549</v>
      </c>
      <c r="AC29" s="63">
        <f>(('[2]WA-Res-Existing Cust'!ST127+'[2]WA-Res-Cust Growth'!SV125)*'[2]Key Inputs'!$C$73)+(('[2]WA-Com-Existing Cust'!ST127+'[2]WA-Com-Cust Growth'!SV125)*'[2]Key Inputs'!$C$77)</f>
        <v>0</v>
      </c>
      <c r="AD29" s="63">
        <f>(('[2]WA-Res-Existing Cust'!SU127+'[2]WA-Res-Cust Growth'!SW125)*'[2]Key Inputs'!$C$73)+(('[2]WA-Com-Existing Cust'!SU127+'[2]WA-Com-Cust Growth'!SW125)*'[2]Key Inputs'!$C$77)</f>
        <v>0</v>
      </c>
      <c r="AE29" s="63">
        <f>(('[2]WA-Res-Existing Cust'!SV127+'[2]WA-Res-Cust Growth'!SX125)*'[2]Key Inputs'!$C$73)+(('[2]WA-Com-Existing Cust'!SV127+'[2]WA-Com-Cust Growth'!SX125)*'[2]Key Inputs'!$C$77)</f>
        <v>743924.4684557186</v>
      </c>
      <c r="AF29" s="63">
        <f>(('[2]WA-Res-Existing Cust'!SW127+'[2]WA-Res-Cust Growth'!SY125)*'[2]Key Inputs'!$C$73)+(('[2]WA-Com-Existing Cust'!SW127+'[2]WA-Com-Cust Growth'!SY125)*'[2]Key Inputs'!$C$77)</f>
        <v>743924.4684557186</v>
      </c>
      <c r="AG29" s="63">
        <f>(('[2]WA-Res-Existing Cust'!SX127+'[2]WA-Res-Cust Growth'!SZ125)*'[2]Key Inputs'!$C$73)+(('[2]WA-Com-Existing Cust'!SX127+'[2]WA-Com-Cust Growth'!SZ125)*'[2]Key Inputs'!$C$77)</f>
        <v>472968.10720531549</v>
      </c>
      <c r="AI29" s="152">
        <f>'[6]WA-IndComSales-Annual'!TF31*2.33</f>
        <v>0</v>
      </c>
      <c r="AJ29" s="152">
        <f>'[6]WA-IndComSales-Annual'!TG31*2.33</f>
        <v>0</v>
      </c>
      <c r="AK29" s="152">
        <f>'[6]WA-IndComSales-Annual'!TH31*2.33</f>
        <v>-4252.4501935988756</v>
      </c>
      <c r="AL29" s="152">
        <f>'[6]WA-IndComSales-Annual'!TI31*2.33</f>
        <v>0</v>
      </c>
      <c r="AM29" s="152">
        <f>'[6]WA-IndComSales-Annual'!TJ31*2.33</f>
        <v>0</v>
      </c>
      <c r="AN29" s="152">
        <f>'[6]WA-IndComSales-Annual'!TK31*2.33</f>
        <v>0</v>
      </c>
      <c r="AO29" s="152">
        <f>'[6]WA-IndComSales-Annual'!TL31*2.33</f>
        <v>0</v>
      </c>
      <c r="AP29" s="152">
        <f>'[6]WA-IndComSales-Annual'!TM31*2.33</f>
        <v>0</v>
      </c>
      <c r="AQ29" s="152">
        <f>'[6]WA-IndComSales-Annual'!TN31*2.33</f>
        <v>0</v>
      </c>
      <c r="AR29" s="152">
        <f>'[6]WA-IndComSales-Annual'!TO31*2.33</f>
        <v>0</v>
      </c>
      <c r="AT29">
        <v>0</v>
      </c>
      <c r="AU29" s="152">
        <f>'[6]WA-Transport-Annual'!TE31*1.79</f>
        <v>0</v>
      </c>
      <c r="AV29" s="152">
        <f>'[6]WA-Transport-Annual'!TF31*1.79</f>
        <v>0</v>
      </c>
      <c r="AW29" s="152">
        <f>'[6]WA-Transport-Annual'!TG31*1.79</f>
        <v>0</v>
      </c>
      <c r="AX29" s="152">
        <f>'[6]WA-Transport-Annual'!TH31*1.79</f>
        <v>0</v>
      </c>
      <c r="AY29" s="152">
        <f>'[6]WA-Transport-Annual'!TI31*1.79</f>
        <v>0</v>
      </c>
      <c r="AZ29" s="152">
        <f>'[6]WA-Transport-Annual'!TJ31*1.79</f>
        <v>0</v>
      </c>
      <c r="BA29" s="152">
        <f>'[6]WA-Transport-Annual'!TK31*1.79</f>
        <v>0</v>
      </c>
      <c r="BB29" s="152">
        <f>'[6]WA-Transport-Annual'!TL31*1.79</f>
        <v>0</v>
      </c>
      <c r="BC29" s="152">
        <f>'[6]WA-Transport-Annual'!TM31*1.79</f>
        <v>0</v>
      </c>
      <c r="BE29" s="133">
        <f t="shared" si="1"/>
        <v>1803155.2415583958</v>
      </c>
      <c r="BF29" s="133">
        <f t="shared" si="1"/>
        <v>8002015.4253490455</v>
      </c>
      <c r="BG29" s="133">
        <f t="shared" si="1"/>
        <v>17595451.457523145</v>
      </c>
      <c r="BH29" s="133">
        <f t="shared" si="1"/>
        <v>5401767.0242457129</v>
      </c>
      <c r="BI29" s="133">
        <f t="shared" si="1"/>
        <v>4573347.3175736396</v>
      </c>
      <c r="BJ29" s="133">
        <f t="shared" si="1"/>
        <v>0</v>
      </c>
      <c r="BK29" s="133">
        <f t="shared" si="1"/>
        <v>0</v>
      </c>
      <c r="BL29" s="133">
        <f t="shared" si="1"/>
        <v>8002015.4253490455</v>
      </c>
      <c r="BM29" s="133">
        <f t="shared" si="1"/>
        <v>8002015.4253490455</v>
      </c>
      <c r="BN29" s="133">
        <f t="shared" si="1"/>
        <v>3027803.3487637113</v>
      </c>
      <c r="BP29" s="154">
        <f>BE29/[4]Annual!HZ29</f>
        <v>0.15079264949651769</v>
      </c>
      <c r="BQ29" s="154">
        <f>BF29/[4]Annual!IA29</f>
        <v>0.91648521937097749</v>
      </c>
      <c r="BR29" s="154">
        <f>BG29/[4]Annual!IB29</f>
        <v>2.0732868378059712</v>
      </c>
      <c r="BS29" s="154">
        <f>BH29/[4]Annual!IC29</f>
        <v>0.81594746099231685</v>
      </c>
      <c r="BT29" s="154">
        <f>BI29/[4]Annual!ID29</f>
        <v>0.65781718143596424</v>
      </c>
      <c r="BU29" s="154">
        <f>BJ29/[4]Annual!IE29</f>
        <v>0</v>
      </c>
      <c r="BV29" s="154">
        <f>BK29/[4]Annual!IF29</f>
        <v>0</v>
      </c>
      <c r="BW29" s="154">
        <f>BL29/[4]Annual!IG29</f>
        <v>0.90579063461429166</v>
      </c>
      <c r="BX29" s="154">
        <f>BM29/[4]Annual!IH29</f>
        <v>0.90579063461429166</v>
      </c>
      <c r="BY29" s="154">
        <f>BN29/[4]Annual!II29</f>
        <v>0.32672840010586934</v>
      </c>
    </row>
    <row r="30" spans="1:77" x14ac:dyDescent="0.25">
      <c r="A30">
        <v>2050</v>
      </c>
      <c r="B30" s="133">
        <f>('[2]WA Res Incremental EE'!ST30+'[2]WA Com Incremental EE'!SI30)*'[5]Energy Efficiency'!$BR$9</f>
        <v>2055592.2154002206</v>
      </c>
      <c r="C30" s="133">
        <f>('[2]WA Res Incremental EE'!SU30+'[2]WA Com Incremental EE'!SJ30)*'[5]Energy Efficiency'!$BR$9</f>
        <v>2055592.2154002206</v>
      </c>
      <c r="D30" s="133">
        <f>('[2]WA Res Incremental EE'!SV30+'[2]WA Com Incremental EE'!SK30)*'[5]Energy Efficiency'!$BR$9</f>
        <v>6236958.2325558793</v>
      </c>
      <c r="E30" s="133">
        <f>('[2]WA Res Incremental EE'!SW30+'[2]WA Com Incremental EE'!SL30)*'[5]Energy Efficiency'!$BR$9</f>
        <v>2055592.2154002206</v>
      </c>
      <c r="F30" s="133">
        <f>('[2]WA Res Incremental EE'!SX30+'[2]WA Com Incremental EE'!SM30)*'[5]Energy Efficiency'!$BR$9</f>
        <v>146071.76109709957</v>
      </c>
      <c r="G30" s="133">
        <v>0</v>
      </c>
      <c r="H30" s="133">
        <v>0</v>
      </c>
      <c r="I30" s="133">
        <f>('[2]WA Res Incremental EE'!TA30+'[2]WA Com Incremental EE'!SP30)*'[5]Energy Efficiency'!$BR$9</f>
        <v>2055592.2154002206</v>
      </c>
      <c r="J30" s="133">
        <f>('[2]WA Res Incremental EE'!TB30+'[2]WA Com Incremental EE'!SQ30)*'[5]Energy Efficiency'!$BR$9</f>
        <v>2055592.2154002206</v>
      </c>
      <c r="K30" s="133">
        <f>('[2]WA Res Incremental EE'!TC30+'[2]WA Com Incremental EE'!SR30)*'[5]Energy Efficiency'!$BR$9</f>
        <v>2055592.2154002206</v>
      </c>
      <c r="L30" s="133"/>
      <c r="M30" s="133">
        <f>('[2]WA-Res-Existing Cust'!SO64*0.87*'[2]Key Inputs'!$C$74)+('[2]WA-Res-Existing Cust'!SO192*0.67*'[2]Key Inputs'!$C$75)+('[2]WA-Res-Cust Growth'!SQ62*0.87*'[2]Key Inputs'!$C$74)+('[2]WA-Res-Cust Growth'!SQ190*0.87*'[2]Key Inputs'!$C$75)+('[2]WA-Com-Existing Cust'!SO64*0.87*'[2]Key Inputs'!$C$78)+('[2]WA-Com-Cust Growth'!SQ62*0.87*'[2]Key Inputs'!$C$78)</f>
        <v>0</v>
      </c>
      <c r="N30" s="133">
        <f>('[2]WA-Res-Existing Cust'!SP64*0.87*'[2]Key Inputs'!$C$74)+('[2]WA-Res-Existing Cust'!SP192*0.67*'[2]Key Inputs'!$C$75)+('[2]WA-Res-Cust Growth'!SR62*0.87*'[2]Key Inputs'!$C$74)+('[2]WA-Res-Cust Growth'!SR190*0.87*'[2]Key Inputs'!$C$75)+('[2]WA-Com-Existing Cust'!SP64*0.87*'[2]Key Inputs'!$C$78)+('[2]WA-Com-Cust Growth'!SR62*0.87*'[2]Key Inputs'!$C$78)</f>
        <v>5077287.8850333951</v>
      </c>
      <c r="O30" s="133">
        <f>('[2]WA-Res-Existing Cust'!SQ64*0.87*'[2]Key Inputs'!$C$74)+('[2]WA-Res-Existing Cust'!SQ192*0.67*'[2]Key Inputs'!$C$75)+('[2]WA-Res-Cust Growth'!SS62*0.87*'[2]Key Inputs'!$C$74)+('[2]WA-Res-Cust Growth'!SS190*0.87*'[2]Key Inputs'!$C$75)+('[2]WA-Com-Existing Cust'!SQ64*0.87*'[2]Key Inputs'!$C$78)+('[2]WA-Com-Cust Growth'!SS62*0.87*'[2]Key Inputs'!$C$78)</f>
        <v>10501250.087612718</v>
      </c>
      <c r="P30" s="133">
        <f>('[2]WA-Res-Existing Cust'!SR64*0.87*'[2]Key Inputs'!$C$74)+('[2]WA-Res-Existing Cust'!SR192*0.67*'[2]Key Inputs'!$C$75)+('[2]WA-Res-Cust Growth'!ST62*0.87*'[2]Key Inputs'!$C$74)+('[2]WA-Res-Cust Growth'!ST190*0.87*'[2]Key Inputs'!$C$75)+('[2]WA-Com-Existing Cust'!SR64*0.87*'[2]Key Inputs'!$C$78)+('[2]WA-Com-Cust Growth'!ST62*0.87*'[2]Key Inputs'!$C$78)</f>
        <v>2505600</v>
      </c>
      <c r="Q30" s="133">
        <f>('[2]WA-Res-Existing Cust'!SS64*0.87*'[2]Key Inputs'!$C$74)+('[2]WA-Res-Existing Cust'!SS192*0.67*'[2]Key Inputs'!$C$75)+('[2]WA-Res-Cust Growth'!SU62*0.87*'[2]Key Inputs'!$C$74)+('[2]WA-Res-Cust Growth'!SU190*0.87*'[2]Key Inputs'!$C$75)+('[2]WA-Com-Existing Cust'!SS64*0.87*'[2]Key Inputs'!$C$78)+('[2]WA-Com-Cust Growth'!SU62*0.87*'[2]Key Inputs'!$C$78)</f>
        <v>3604163.0694202231</v>
      </c>
      <c r="R30" s="133">
        <f>('[2]WA-Res-Existing Cust'!ST64*0.87*'[2]Key Inputs'!$C$74)+('[2]WA-Res-Existing Cust'!ST192*0.67*'[2]Key Inputs'!$C$75)+('[2]WA-Res-Cust Growth'!SV62*0.87*'[2]Key Inputs'!$C$74)+('[2]WA-Res-Cust Growth'!SV190*0.87*'[2]Key Inputs'!$C$75)+('[2]WA-Com-Existing Cust'!ST64*0.87*'[2]Key Inputs'!$C$78)+('[2]WA-Com-Cust Growth'!SV62*0.87*'[2]Key Inputs'!$C$78)</f>
        <v>0</v>
      </c>
      <c r="S30" s="133">
        <f>('[2]WA-Res-Existing Cust'!SU64*0.87*'[2]Key Inputs'!$C$74)+('[2]WA-Res-Existing Cust'!SU192*0.67*'[2]Key Inputs'!$C$75)+('[2]WA-Res-Cust Growth'!SW62*0.87*'[2]Key Inputs'!$C$74)+('[2]WA-Res-Cust Growth'!SW190*0.87*'[2]Key Inputs'!$C$75)+('[2]WA-Com-Existing Cust'!SU64*0.87*'[2]Key Inputs'!$C$78)+('[2]WA-Com-Cust Growth'!SW62*0.87*'[2]Key Inputs'!$C$78)</f>
        <v>0</v>
      </c>
      <c r="T30" s="133">
        <f>('[2]WA-Res-Existing Cust'!SV64*0.87*'[2]Key Inputs'!$C$74)+('[2]WA-Res-Existing Cust'!SV192*0.67*'[2]Key Inputs'!$C$75)+('[2]WA-Res-Cust Growth'!SX62*0.87*'[2]Key Inputs'!$C$74)+('[2]WA-Res-Cust Growth'!SX190*0.87*'[2]Key Inputs'!$C$75)+('[2]WA-Com-Existing Cust'!SV64*0.87*'[2]Key Inputs'!$C$78)+('[2]WA-Com-Cust Growth'!SX62*0.87*'[2]Key Inputs'!$C$78)</f>
        <v>5077287.8850333951</v>
      </c>
      <c r="U30" s="133">
        <f>('[2]WA-Res-Existing Cust'!SW64*0.87*'[2]Key Inputs'!$C$74)+('[2]WA-Res-Existing Cust'!SW192*0.67*'[2]Key Inputs'!$C$75)+('[2]WA-Res-Cust Growth'!SY62*0.87*'[2]Key Inputs'!$C$74)+('[2]WA-Res-Cust Growth'!SY190*0.87*'[2]Key Inputs'!$C$75)+('[2]WA-Com-Existing Cust'!SW64*0.87*'[2]Key Inputs'!$C$78)+('[2]WA-Com-Cust Growth'!SY62*0.87*'[2]Key Inputs'!$C$78)</f>
        <v>5077287.8850333951</v>
      </c>
      <c r="V30" s="133">
        <f>('[2]WA-Res-Existing Cust'!SX64*0.87*'[2]Key Inputs'!$C$74)+('[2]WA-Res-Existing Cust'!SX192*0.67*'[2]Key Inputs'!$C$75)+('[2]WA-Res-Cust Growth'!SZ62*0.87*'[2]Key Inputs'!$C$74)+('[2]WA-Res-Cust Growth'!SZ190*0.87*'[2]Key Inputs'!$C$75)+('[2]WA-Com-Existing Cust'!SX64*0.87*'[2]Key Inputs'!$C$78)+('[2]WA-Com-Cust Growth'!SZ62*0.87*'[2]Key Inputs'!$C$78)</f>
        <v>751680</v>
      </c>
      <c r="X30" s="63">
        <f>(('[2]WA-Res-Existing Cust'!SO128+'[2]WA-Res-Cust Growth'!SQ126)*'[2]Key Inputs'!$C$73)+(('[2]WA-Com-Existing Cust'!SO128+'[2]WA-Com-Cust Growth'!SQ126)*'[2]Key Inputs'!$C$77)</f>
        <v>0</v>
      </c>
      <c r="Y30" s="63">
        <f>(('[2]WA-Res-Existing Cust'!SP128+'[2]WA-Res-Cust Growth'!SR126)*'[2]Key Inputs'!$C$73)+(('[2]WA-Com-Existing Cust'!SP128+'[2]WA-Com-Cust Growth'!SR126)*'[2]Key Inputs'!$C$77)</f>
        <v>260493.38636401069</v>
      </c>
      <c r="Z30" s="63">
        <f>(('[2]WA-Res-Existing Cust'!SQ128+'[2]WA-Res-Cust Growth'!SS126)*'[2]Key Inputs'!$C$73)+(('[2]WA-Com-Existing Cust'!SQ128+'[2]WA-Com-Cust Growth'!SS126)*'[2]Key Inputs'!$C$77)</f>
        <v>610992.86358786433</v>
      </c>
      <c r="AA30" s="63">
        <f>(('[2]WA-Res-Existing Cust'!SR128+'[2]WA-Res-Cust Growth'!ST126)*'[2]Key Inputs'!$C$73)+(('[2]WA-Com-Existing Cust'!SR128+'[2]WA-Com-Cust Growth'!ST126)*'[2]Key Inputs'!$C$77)</f>
        <v>769784.98596624949</v>
      </c>
      <c r="AB30" s="63">
        <f>(('[2]WA-Res-Existing Cust'!SS128+'[2]WA-Res-Cust Growth'!SU126)*'[2]Key Inputs'!$C$73)+(('[2]WA-Com-Existing Cust'!SS128+'[2]WA-Com-Cust Growth'!SU126)*'[2]Key Inputs'!$C$77)</f>
        <v>-10624.752325572481</v>
      </c>
      <c r="AC30" s="63">
        <f>(('[2]WA-Res-Existing Cust'!ST128+'[2]WA-Res-Cust Growth'!SV126)*'[2]Key Inputs'!$C$73)+(('[2]WA-Com-Existing Cust'!ST128+'[2]WA-Com-Cust Growth'!SV126)*'[2]Key Inputs'!$C$77)</f>
        <v>0</v>
      </c>
      <c r="AD30" s="63">
        <f>(('[2]WA-Res-Existing Cust'!SU128+'[2]WA-Res-Cust Growth'!SW126)*'[2]Key Inputs'!$C$73)+(('[2]WA-Com-Existing Cust'!SU128+'[2]WA-Com-Cust Growth'!SW126)*'[2]Key Inputs'!$C$77)</f>
        <v>0</v>
      </c>
      <c r="AE30" s="63">
        <f>(('[2]WA-Res-Existing Cust'!SV128+'[2]WA-Res-Cust Growth'!SX126)*'[2]Key Inputs'!$C$73)+(('[2]WA-Com-Existing Cust'!SV128+'[2]WA-Com-Cust Growth'!SX126)*'[2]Key Inputs'!$C$77)</f>
        <v>663093.79988975613</v>
      </c>
      <c r="AF30" s="63">
        <f>(('[2]WA-Res-Existing Cust'!SW128+'[2]WA-Res-Cust Growth'!SY126)*'[2]Key Inputs'!$C$73)+(('[2]WA-Com-Existing Cust'!SW128+'[2]WA-Com-Cust Growth'!SY126)*'[2]Key Inputs'!$C$77)</f>
        <v>663093.79988975613</v>
      </c>
      <c r="AG30" s="63">
        <f>(('[2]WA-Res-Existing Cust'!SX128+'[2]WA-Res-Cust Growth'!SZ126)*'[2]Key Inputs'!$C$73)+(('[2]WA-Com-Existing Cust'!SX128+'[2]WA-Com-Cust Growth'!SZ126)*'[2]Key Inputs'!$C$77)</f>
        <v>311455.57849502395</v>
      </c>
      <c r="AI30" s="152">
        <f>'[6]WA-IndComSales-Annual'!TF32*2.33</f>
        <v>0</v>
      </c>
      <c r="AJ30" s="152">
        <f>'[6]WA-IndComSales-Annual'!TG32*2.33</f>
        <v>0</v>
      </c>
      <c r="AK30" s="152">
        <f>'[6]WA-IndComSales-Annual'!TH32*2.33</f>
        <v>-1454.9988132958115</v>
      </c>
      <c r="AL30" s="152">
        <f>'[6]WA-IndComSales-Annual'!TI32*2.33</f>
        <v>0</v>
      </c>
      <c r="AM30" s="152">
        <f>'[6]WA-IndComSales-Annual'!TJ32*2.33</f>
        <v>0</v>
      </c>
      <c r="AN30" s="152">
        <f>'[6]WA-IndComSales-Annual'!TK32*2.33</f>
        <v>0</v>
      </c>
      <c r="AO30" s="152">
        <f>'[6]WA-IndComSales-Annual'!TL32*2.33</f>
        <v>0</v>
      </c>
      <c r="AP30" s="152">
        <f>'[6]WA-IndComSales-Annual'!TM32*2.33</f>
        <v>0</v>
      </c>
      <c r="AQ30" s="152">
        <f>'[6]WA-IndComSales-Annual'!TN32*2.33</f>
        <v>0</v>
      </c>
      <c r="AR30" s="152">
        <f>'[6]WA-IndComSales-Annual'!TO32*2.33</f>
        <v>0</v>
      </c>
      <c r="AT30">
        <v>0</v>
      </c>
      <c r="AU30" s="152">
        <f>'[6]WA-Transport-Annual'!TE32*1.79</f>
        <v>0</v>
      </c>
      <c r="AV30" s="152">
        <f>'[6]WA-Transport-Annual'!TF32*1.79</f>
        <v>0</v>
      </c>
      <c r="AW30" s="152">
        <f>'[6]WA-Transport-Annual'!TG32*1.79</f>
        <v>0</v>
      </c>
      <c r="AX30" s="152">
        <f>'[6]WA-Transport-Annual'!TH32*1.79</f>
        <v>0</v>
      </c>
      <c r="AY30" s="152">
        <f>'[6]WA-Transport-Annual'!TI32*1.79</f>
        <v>0</v>
      </c>
      <c r="AZ30" s="152">
        <f>'[6]WA-Transport-Annual'!TJ32*1.79</f>
        <v>0</v>
      </c>
      <c r="BA30" s="152">
        <f>'[6]WA-Transport-Annual'!TK32*1.79</f>
        <v>0</v>
      </c>
      <c r="BB30" s="152">
        <f>'[6]WA-Transport-Annual'!TL32*1.79</f>
        <v>0</v>
      </c>
      <c r="BC30" s="152">
        <f>'[6]WA-Transport-Annual'!TM32*1.79</f>
        <v>0</v>
      </c>
      <c r="BE30" s="133">
        <f t="shared" si="1"/>
        <v>2055592.2154002206</v>
      </c>
      <c r="BF30" s="133">
        <f t="shared" si="1"/>
        <v>7393373.4867976271</v>
      </c>
      <c r="BG30" s="133">
        <f t="shared" si="1"/>
        <v>17347746.184943166</v>
      </c>
      <c r="BH30" s="133">
        <f t="shared" si="1"/>
        <v>5330977.2013664702</v>
      </c>
      <c r="BI30" s="133">
        <f t="shared" si="1"/>
        <v>3739610.0781917502</v>
      </c>
      <c r="BJ30" s="133">
        <f t="shared" si="1"/>
        <v>0</v>
      </c>
      <c r="BK30" s="133">
        <f t="shared" si="1"/>
        <v>0</v>
      </c>
      <c r="BL30" s="133">
        <f t="shared" si="1"/>
        <v>7795973.9003233723</v>
      </c>
      <c r="BM30" s="133">
        <f t="shared" si="1"/>
        <v>7795973.9003233723</v>
      </c>
      <c r="BN30" s="133">
        <f t="shared" si="1"/>
        <v>3118727.7938952446</v>
      </c>
      <c r="BP30" s="154">
        <f>BE30/[4]Annual!HZ30</f>
        <v>0.17116308763610508</v>
      </c>
      <c r="BQ30" s="154">
        <f>BF30/[4]Annual!IA30</f>
        <v>0.85085692973700078</v>
      </c>
      <c r="BR30" s="154">
        <f>BG30/[4]Annual!IB30</f>
        <v>2.0571863870564537</v>
      </c>
      <c r="BS30" s="154">
        <f>BH30/[4]Annual!IC30</f>
        <v>0.82197068784976601</v>
      </c>
      <c r="BT30" s="154">
        <f>BI30/[4]Annual!ID30</f>
        <v>0.54527713815467826</v>
      </c>
      <c r="BU30" s="154">
        <f>BJ30/[4]Annual!IE30</f>
        <v>0</v>
      </c>
      <c r="BV30" s="154">
        <f>BK30/[4]Annual!IF30</f>
        <v>0</v>
      </c>
      <c r="BW30" s="154">
        <f>BL30/[4]Annual!IG30</f>
        <v>0.88806559359273407</v>
      </c>
      <c r="BX30" s="154">
        <f>BM30/[4]Annual!IH30</f>
        <v>0.88806559359273407</v>
      </c>
      <c r="BY30" s="154">
        <f>BN30/[4]Annual!II30</f>
        <v>0.33825783388090092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04DFE-BA5E-480F-98D3-052A27EF4A1E}">
  <sheetPr>
    <tabColor rgb="FF7030A0"/>
  </sheetPr>
  <dimension ref="A1:DW33"/>
  <sheetViews>
    <sheetView topLeftCell="S7" workbookViewId="0">
      <selection activeCell="AI37" sqref="AI37"/>
    </sheetView>
  </sheetViews>
  <sheetFormatPr defaultRowHeight="15" x14ac:dyDescent="0.25"/>
  <cols>
    <col min="14" max="23" width="9.140625" style="154"/>
    <col min="78" max="80" width="9.140625" style="133"/>
    <col min="88" max="89" width="9.28515625" customWidth="1"/>
    <col min="112" max="112" width="10.28515625" customWidth="1"/>
  </cols>
  <sheetData>
    <row r="1" spans="1:127" x14ac:dyDescent="0.25">
      <c r="A1" t="s">
        <v>352</v>
      </c>
      <c r="B1" t="s">
        <v>94</v>
      </c>
      <c r="C1" t="s">
        <v>98</v>
      </c>
      <c r="D1" t="s">
        <v>99</v>
      </c>
      <c r="E1" t="s">
        <v>100</v>
      </c>
      <c r="F1" t="s">
        <v>101</v>
      </c>
      <c r="G1" t="s">
        <v>102</v>
      </c>
      <c r="H1" t="s">
        <v>103</v>
      </c>
      <c r="I1" t="s">
        <v>104</v>
      </c>
      <c r="J1" t="s">
        <v>105</v>
      </c>
      <c r="K1" t="s">
        <v>106</v>
      </c>
      <c r="M1" t="s">
        <v>361</v>
      </c>
      <c r="N1" s="154" t="s">
        <v>94</v>
      </c>
      <c r="O1" s="154" t="s">
        <v>98</v>
      </c>
      <c r="P1" s="154" t="s">
        <v>99</v>
      </c>
      <c r="Q1" s="154" t="s">
        <v>100</v>
      </c>
      <c r="R1" s="154" t="s">
        <v>101</v>
      </c>
      <c r="S1" s="154" t="s">
        <v>102</v>
      </c>
      <c r="T1" s="154" t="s">
        <v>103</v>
      </c>
      <c r="U1" s="154" t="s">
        <v>104</v>
      </c>
      <c r="V1" s="154" t="s">
        <v>105</v>
      </c>
      <c r="W1" s="154" t="s">
        <v>106</v>
      </c>
      <c r="Y1" t="s">
        <v>556</v>
      </c>
      <c r="Z1" s="154" t="s">
        <v>94</v>
      </c>
      <c r="AA1" s="154" t="s">
        <v>98</v>
      </c>
      <c r="AB1" s="154" t="s">
        <v>99</v>
      </c>
      <c r="AC1" s="154" t="s">
        <v>100</v>
      </c>
      <c r="AD1" s="154" t="s">
        <v>101</v>
      </c>
      <c r="AE1" s="154" t="s">
        <v>102</v>
      </c>
      <c r="AF1" s="154" t="s">
        <v>103</v>
      </c>
      <c r="AG1" s="154" t="s">
        <v>104</v>
      </c>
      <c r="AH1" s="154" t="s">
        <v>105</v>
      </c>
      <c r="AI1" s="154" t="s">
        <v>106</v>
      </c>
      <c r="AJ1" s="154" t="s">
        <v>557</v>
      </c>
      <c r="AK1" t="s">
        <v>558</v>
      </c>
      <c r="AL1" s="154" t="s">
        <v>94</v>
      </c>
      <c r="AM1" s="154" t="s">
        <v>98</v>
      </c>
      <c r="AN1" s="154" t="s">
        <v>99</v>
      </c>
      <c r="AO1" s="154" t="s">
        <v>100</v>
      </c>
      <c r="AP1" s="154" t="s">
        <v>101</v>
      </c>
      <c r="AQ1" s="154" t="s">
        <v>102</v>
      </c>
      <c r="AR1" s="154" t="s">
        <v>103</v>
      </c>
      <c r="AS1" s="154" t="s">
        <v>104</v>
      </c>
      <c r="AT1" s="154" t="s">
        <v>105</v>
      </c>
      <c r="AU1" s="154" t="s">
        <v>106</v>
      </c>
      <c r="AW1" t="s">
        <v>558</v>
      </c>
      <c r="AX1" s="154" t="s">
        <v>94</v>
      </c>
      <c r="AY1" s="154" t="s">
        <v>98</v>
      </c>
      <c r="AZ1" s="154" t="s">
        <v>99</v>
      </c>
      <c r="BA1" s="154" t="s">
        <v>100</v>
      </c>
      <c r="BB1" s="154" t="s">
        <v>101</v>
      </c>
      <c r="BC1" s="154" t="s">
        <v>102</v>
      </c>
      <c r="BD1" s="154" t="s">
        <v>103</v>
      </c>
      <c r="BE1" s="154" t="s">
        <v>104</v>
      </c>
      <c r="BF1" s="154" t="s">
        <v>105</v>
      </c>
      <c r="BG1" s="154" t="s">
        <v>106</v>
      </c>
      <c r="BI1" t="s">
        <v>559</v>
      </c>
      <c r="BJ1" s="154" t="s">
        <v>94</v>
      </c>
      <c r="BK1" s="154" t="s">
        <v>98</v>
      </c>
      <c r="BL1" s="154" t="s">
        <v>99</v>
      </c>
      <c r="BM1" s="154" t="s">
        <v>100</v>
      </c>
      <c r="BN1" s="154" t="s">
        <v>101</v>
      </c>
      <c r="BO1" s="154" t="s">
        <v>102</v>
      </c>
      <c r="BP1" s="154" t="s">
        <v>103</v>
      </c>
      <c r="BQ1" s="154" t="s">
        <v>104</v>
      </c>
      <c r="BR1" s="154" t="s">
        <v>105</v>
      </c>
      <c r="BS1" s="154" t="s">
        <v>106</v>
      </c>
      <c r="BT1" s="154" t="s">
        <v>560</v>
      </c>
      <c r="BU1" s="154" t="s">
        <v>242</v>
      </c>
      <c r="BV1" s="154" t="s">
        <v>561</v>
      </c>
      <c r="BW1" s="154" t="s">
        <v>561</v>
      </c>
      <c r="BX1" s="154"/>
      <c r="BY1" s="154" t="s">
        <v>242</v>
      </c>
      <c r="BZ1" s="133" t="s">
        <v>562</v>
      </c>
      <c r="CA1" s="133" t="s">
        <v>562</v>
      </c>
      <c r="CC1" t="s">
        <v>563</v>
      </c>
      <c r="CD1" s="154" t="s">
        <v>94</v>
      </c>
      <c r="CE1" s="154" t="s">
        <v>98</v>
      </c>
      <c r="CF1" s="154" t="s">
        <v>99</v>
      </c>
      <c r="CG1" s="154" t="s">
        <v>100</v>
      </c>
      <c r="CH1" s="154" t="s">
        <v>101</v>
      </c>
      <c r="CI1" s="154" t="s">
        <v>102</v>
      </c>
      <c r="CJ1" s="154" t="s">
        <v>103</v>
      </c>
      <c r="CK1" s="154" t="s">
        <v>104</v>
      </c>
      <c r="CL1" s="154" t="s">
        <v>105</v>
      </c>
      <c r="CM1" s="154" t="s">
        <v>106</v>
      </c>
      <c r="CN1" s="154" t="s">
        <v>557</v>
      </c>
      <c r="CO1" t="s">
        <v>564</v>
      </c>
      <c r="CP1" s="154" t="s">
        <v>94</v>
      </c>
      <c r="CQ1" s="154" t="s">
        <v>98</v>
      </c>
      <c r="CR1" s="154" t="s">
        <v>99</v>
      </c>
      <c r="CS1" s="154" t="s">
        <v>100</v>
      </c>
      <c r="CT1" s="154" t="s">
        <v>101</v>
      </c>
      <c r="CU1" s="154" t="s">
        <v>102</v>
      </c>
      <c r="CV1" s="154" t="s">
        <v>103</v>
      </c>
      <c r="CW1" s="154" t="s">
        <v>104</v>
      </c>
      <c r="CX1" s="154" t="s">
        <v>105</v>
      </c>
      <c r="CY1" s="154" t="s">
        <v>106</v>
      </c>
      <c r="DA1" t="s">
        <v>558</v>
      </c>
      <c r="DB1" s="154" t="s">
        <v>94</v>
      </c>
      <c r="DC1" s="154" t="s">
        <v>98</v>
      </c>
      <c r="DD1" s="154" t="s">
        <v>99</v>
      </c>
      <c r="DE1" s="154" t="s">
        <v>100</v>
      </c>
      <c r="DF1" s="154" t="s">
        <v>101</v>
      </c>
      <c r="DG1" s="154" t="s">
        <v>102</v>
      </c>
      <c r="DH1" s="154" t="s">
        <v>103</v>
      </c>
      <c r="DI1" s="154" t="s">
        <v>104</v>
      </c>
      <c r="DJ1" s="154" t="s">
        <v>105</v>
      </c>
      <c r="DK1" s="154" t="s">
        <v>106</v>
      </c>
      <c r="DM1" t="s">
        <v>559</v>
      </c>
      <c r="DN1" s="154" t="s">
        <v>94</v>
      </c>
      <c r="DO1" s="154" t="s">
        <v>98</v>
      </c>
      <c r="DP1" s="154" t="s">
        <v>99</v>
      </c>
      <c r="DQ1" s="154" t="s">
        <v>100</v>
      </c>
      <c r="DR1" s="154" t="s">
        <v>101</v>
      </c>
      <c r="DS1" s="154" t="s">
        <v>102</v>
      </c>
      <c r="DT1" s="154" t="s">
        <v>103</v>
      </c>
      <c r="DU1" s="154" t="s">
        <v>104</v>
      </c>
      <c r="DV1" s="154" t="s">
        <v>105</v>
      </c>
      <c r="DW1" s="154" t="s">
        <v>106</v>
      </c>
    </row>
    <row r="2" spans="1:127" x14ac:dyDescent="0.25">
      <c r="A2">
        <v>2022</v>
      </c>
      <c r="B2" s="223">
        <f>'[7]WACOG Calc'!C49</f>
        <v>4.5047009327567027</v>
      </c>
      <c r="C2" s="223">
        <f>'[7]WACOG Calc'!D49</f>
        <v>4.5024177616033114</v>
      </c>
      <c r="D2" s="223">
        <f>'[7]WACOG Calc'!E49</f>
        <v>4.5019304550489823</v>
      </c>
      <c r="E2" s="223">
        <f>'[7]WACOG Calc'!F49</f>
        <v>4.5024177616131817</v>
      </c>
      <c r="F2" s="223">
        <f>'[7]WACOG Calc'!G49</f>
        <v>4.5024177616221444</v>
      </c>
      <c r="G2" s="223">
        <f>'[7]WACOG Calc'!H49</f>
        <v>4.5056423782424764</v>
      </c>
      <c r="H2" s="223">
        <f>'[7]WACOG Calc'!I49</f>
        <v>4.5056423780954882</v>
      </c>
      <c r="I2" s="223">
        <f>'[7]WACOG Calc'!J49</f>
        <v>4.5024177616349634</v>
      </c>
      <c r="J2" s="223">
        <f>'[7]WACOG Calc'!K49</f>
        <v>4.5024177616193883</v>
      </c>
      <c r="K2" s="223">
        <f>'[7]WACOG Calc'!L49</f>
        <v>4.5024177616352734</v>
      </c>
      <c r="M2">
        <v>2022</v>
      </c>
      <c r="N2" s="154">
        <v>0.15292920167611856</v>
      </c>
      <c r="O2" s="154">
        <v>0.15280742335767816</v>
      </c>
      <c r="P2" s="154">
        <v>0.17418271188916148</v>
      </c>
      <c r="Q2" s="154">
        <v>0.15280742335767816</v>
      </c>
      <c r="R2" s="154">
        <v>0.15280742335767816</v>
      </c>
      <c r="S2" s="154">
        <v>0.15299520883001791</v>
      </c>
      <c r="T2" s="154">
        <v>0.15299520883001691</v>
      </c>
      <c r="U2" s="154">
        <v>0.23124018448285716</v>
      </c>
      <c r="V2" s="154">
        <v>0.23598150530720904</v>
      </c>
      <c r="W2" s="154">
        <v>0.15280742335767816</v>
      </c>
      <c r="Y2">
        <v>2022</v>
      </c>
      <c r="Z2" s="133">
        <v>516</v>
      </c>
      <c r="AA2" s="133">
        <v>516</v>
      </c>
      <c r="AB2" s="133">
        <v>516</v>
      </c>
      <c r="AC2" s="133">
        <v>516</v>
      </c>
      <c r="AD2" s="133">
        <v>512</v>
      </c>
      <c r="AE2" s="133">
        <v>512</v>
      </c>
      <c r="AF2" s="133">
        <v>516</v>
      </c>
      <c r="AG2" s="133">
        <v>516</v>
      </c>
      <c r="AH2" s="133">
        <v>516</v>
      </c>
      <c r="AI2" s="133">
        <v>516</v>
      </c>
      <c r="AJ2" s="133"/>
      <c r="AK2">
        <v>2022</v>
      </c>
      <c r="AL2" s="8">
        <f>[4]UPC!V2</f>
        <v>627.75040502933007</v>
      </c>
      <c r="AM2" s="8">
        <f>[4]UPC!W2</f>
        <v>627.60240518996636</v>
      </c>
      <c r="AN2" s="8">
        <f>[4]UPC!X2</f>
        <v>627.46197683175603</v>
      </c>
      <c r="AO2" s="8">
        <f>[4]UPC!Y2</f>
        <v>627.60240518996636</v>
      </c>
      <c r="AP2" s="8">
        <f>[4]UPC!Z2</f>
        <v>627.60240518996636</v>
      </c>
      <c r="AQ2" s="8">
        <f>[4]UPC!AA2</f>
        <v>628.68262085003812</v>
      </c>
      <c r="AR2" s="8">
        <f>[4]UPC!AB2</f>
        <v>628.68262085003812</v>
      </c>
      <c r="AS2" s="8">
        <f>[4]UPC!AC2</f>
        <v>627.60240518996636</v>
      </c>
      <c r="AT2" s="8">
        <f>[4]UPC!AD2</f>
        <v>627.60240518996636</v>
      </c>
      <c r="AU2" s="8">
        <f>[4]UPC!AE2</f>
        <v>627.60240518996636</v>
      </c>
      <c r="AW2">
        <v>2022</v>
      </c>
      <c r="AX2" s="133">
        <f>(Z2+(AL2*0.1*(B2)))*1.053</f>
        <v>841.11827103329449</v>
      </c>
      <c r="AY2" s="133">
        <f t="shared" ref="AY2:BG17" si="0">(AA2+(AM2*0.1*(C2+O2)))*1.053</f>
        <v>850.99569404898909</v>
      </c>
      <c r="AZ2" s="133">
        <f t="shared" si="0"/>
        <v>852.30696218316598</v>
      </c>
      <c r="BA2" s="133">
        <f t="shared" si="0"/>
        <v>850.99569404964143</v>
      </c>
      <c r="BB2" s="133">
        <f t="shared" si="0"/>
        <v>846.78369405023375</v>
      </c>
      <c r="BC2" s="133">
        <f t="shared" si="0"/>
        <v>847.53911256862887</v>
      </c>
      <c r="BD2" s="133">
        <f t="shared" si="0"/>
        <v>851.75111255889806</v>
      </c>
      <c r="BE2" s="133">
        <f t="shared" si="0"/>
        <v>856.17904332836383</v>
      </c>
      <c r="BF2" s="133">
        <f t="shared" si="0"/>
        <v>856.49238078372014</v>
      </c>
      <c r="BG2" s="133">
        <f t="shared" si="0"/>
        <v>850.99569405110128</v>
      </c>
      <c r="BI2">
        <v>2022</v>
      </c>
      <c r="BJ2" s="219">
        <f t="shared" ref="BJ2:BS17" si="1">(AX2-$AX2)/$AX2</f>
        <v>0</v>
      </c>
      <c r="BK2" s="219">
        <f t="shared" si="1"/>
        <v>1.1743203489754677E-2</v>
      </c>
      <c r="BL2" s="219">
        <f t="shared" si="1"/>
        <v>1.3302161580827912E-2</v>
      </c>
      <c r="BM2" s="219">
        <f t="shared" si="1"/>
        <v>1.1743203490530233E-2</v>
      </c>
      <c r="BN2" s="219">
        <f t="shared" si="1"/>
        <v>6.7355842953921519E-3</v>
      </c>
      <c r="BO2" s="219">
        <f t="shared" si="1"/>
        <v>7.6336964211305494E-3</v>
      </c>
      <c r="BP2" s="219">
        <f t="shared" si="1"/>
        <v>1.2641315605403941E-2</v>
      </c>
      <c r="BQ2" s="219">
        <f t="shared" si="1"/>
        <v>1.7905653477919972E-2</v>
      </c>
      <c r="BR2" s="219">
        <f t="shared" si="1"/>
        <v>1.8278178325075386E-2</v>
      </c>
      <c r="BS2" s="219">
        <f t="shared" si="1"/>
        <v>1.1743203492265842E-2</v>
      </c>
      <c r="BT2" s="219"/>
      <c r="BU2" s="224">
        <v>2005</v>
      </c>
      <c r="BV2" s="225">
        <v>1095.9646682932164</v>
      </c>
      <c r="BW2" s="224">
        <v>655.72140379465486</v>
      </c>
      <c r="BX2" s="225"/>
      <c r="BY2" s="224">
        <v>2022</v>
      </c>
      <c r="BZ2" s="225">
        <f t="array" ref="BZ2:BZ30">INDEX(AY2:BG30,$CC2-2022,$BU$21)</f>
        <v>847.53911256862887</v>
      </c>
      <c r="CA2" s="224">
        <f t="array" ref="CA2:CA30">INDEX(AM2:AU30,$CC2-2022,$BU$21)</f>
        <v>628.68262085003812</v>
      </c>
      <c r="CB2" s="219">
        <f t="array" ref="CB2">INDEX($BK$2:$BS$30,BY2-2021,$BU$21)</f>
        <v>7.6336964211305494E-3</v>
      </c>
      <c r="CC2">
        <v>2022</v>
      </c>
      <c r="CD2" s="133">
        <v>1991</v>
      </c>
      <c r="CE2" s="133">
        <v>1991</v>
      </c>
      <c r="CF2" s="133">
        <v>1991</v>
      </c>
      <c r="CG2" s="133">
        <v>1991</v>
      </c>
      <c r="CH2" s="133">
        <v>1991</v>
      </c>
      <c r="CI2" s="133">
        <v>1991</v>
      </c>
      <c r="CJ2" s="133">
        <v>1991</v>
      </c>
      <c r="CK2" s="133">
        <v>1991</v>
      </c>
      <c r="CL2" s="133">
        <v>1991</v>
      </c>
      <c r="CM2" s="133">
        <v>1991</v>
      </c>
      <c r="CN2" s="133"/>
      <c r="CO2">
        <v>2022</v>
      </c>
      <c r="CP2" s="8">
        <f>[4]UPC!AZ2</f>
        <v>2746.3791808740943</v>
      </c>
      <c r="CQ2" s="8">
        <f>[4]UPC!BA2</f>
        <v>2730.4580412795563</v>
      </c>
      <c r="CR2" s="8">
        <f>[4]UPC!BB2</f>
        <v>2728.3882931589164</v>
      </c>
      <c r="CS2" s="8">
        <f>[4]UPC!BC2</f>
        <v>2730.4580412795563</v>
      </c>
      <c r="CT2" s="8">
        <f>[4]UPC!BD2</f>
        <v>2730.4580412795563</v>
      </c>
      <c r="CU2" s="8">
        <f>[4]UPC!BE2</f>
        <v>2746.3791808740943</v>
      </c>
      <c r="CV2" s="8">
        <f>[4]UPC!BF2</f>
        <v>2746.3791808740943</v>
      </c>
      <c r="CW2" s="8">
        <f>[4]UPC!BG2</f>
        <v>2730.4580412795563</v>
      </c>
      <c r="CX2" s="8">
        <f>[4]UPC!BH2</f>
        <v>2730.4580412795563</v>
      </c>
      <c r="CY2" s="8">
        <f>[4]UPC!BI2</f>
        <v>2730.4580412795563</v>
      </c>
      <c r="DA2">
        <v>2022</v>
      </c>
      <c r="DB2" s="133">
        <f t="shared" ref="DB2:DB30" si="2">(CD2+(CP2*0.1*(B2)))*1.053</f>
        <v>3399.2542551249835</v>
      </c>
      <c r="DC2" s="133">
        <f t="shared" ref="DC2:DK17" si="3">(CE2+(CQ2*0.1*(C2+O2)))*1.053</f>
        <v>3434.9804583376767</v>
      </c>
      <c r="DD2" s="133">
        <f t="shared" si="3"/>
        <v>3439.9669800534793</v>
      </c>
      <c r="DE2" s="133">
        <f t="shared" si="3"/>
        <v>3434.9804583405144</v>
      </c>
      <c r="DF2" s="133">
        <f t="shared" si="3"/>
        <v>3434.9804583430914</v>
      </c>
      <c r="DG2" s="133">
        <f t="shared" si="3"/>
        <v>3443.7717700233216</v>
      </c>
      <c r="DH2" s="133">
        <f t="shared" si="3"/>
        <v>3443.7717699808131</v>
      </c>
      <c r="DI2" s="133">
        <f t="shared" si="3"/>
        <v>3457.5312287037414</v>
      </c>
      <c r="DJ2" s="133">
        <f t="shared" si="3"/>
        <v>3458.8944401375043</v>
      </c>
      <c r="DK2" s="133">
        <f t="shared" si="3"/>
        <v>3434.9804583468663</v>
      </c>
      <c r="DM2">
        <v>2022</v>
      </c>
      <c r="DN2" s="219">
        <f t="shared" ref="DN2:DW17" si="4">(DB2-$DB2)/$DB2</f>
        <v>0</v>
      </c>
      <c r="DO2" s="219">
        <f t="shared" si="4"/>
        <v>1.0510012058918394E-2</v>
      </c>
      <c r="DP2" s="219">
        <f t="shared" si="4"/>
        <v>1.1976957848067449E-2</v>
      </c>
      <c r="DQ2" s="219">
        <f t="shared" si="4"/>
        <v>1.051001205975317E-2</v>
      </c>
      <c r="DR2" s="219">
        <f t="shared" si="4"/>
        <v>1.0510012060511295E-2</v>
      </c>
      <c r="DS2" s="219">
        <f t="shared" si="4"/>
        <v>1.3096259225452152E-2</v>
      </c>
      <c r="DT2" s="219">
        <f t="shared" si="4"/>
        <v>1.3096259212946933E-2</v>
      </c>
      <c r="DU2" s="219">
        <f t="shared" si="4"/>
        <v>1.7144046665792917E-2</v>
      </c>
      <c r="DV2" s="219">
        <f t="shared" si="4"/>
        <v>1.7545079166291406E-2</v>
      </c>
      <c r="DW2" s="219">
        <f t="shared" si="4"/>
        <v>1.051001206162179E-2</v>
      </c>
    </row>
    <row r="3" spans="1:127" x14ac:dyDescent="0.25">
      <c r="A3">
        <v>2023</v>
      </c>
      <c r="B3" s="223">
        <f>'[7]WACOG Calc'!C50</f>
        <v>4.1292905945771459</v>
      </c>
      <c r="C3" s="223">
        <f>'[7]WACOG Calc'!D50</f>
        <v>4.1235761295627631</v>
      </c>
      <c r="D3" s="223">
        <f>'[7]WACOG Calc'!E50</f>
        <v>4.1183824226562269</v>
      </c>
      <c r="E3" s="223">
        <f>'[7]WACOG Calc'!F50</f>
        <v>4.1228916624435445</v>
      </c>
      <c r="F3" s="223">
        <f>'[7]WACOG Calc'!G50</f>
        <v>4.1235761295795719</v>
      </c>
      <c r="G3" s="223">
        <f>'[7]WACOG Calc'!H50</f>
        <v>4.128230896009244</v>
      </c>
      <c r="H3" s="223">
        <f>'[7]WACOG Calc'!I50</f>
        <v>4.1255699543684043</v>
      </c>
      <c r="I3" s="223">
        <f>'[7]WACOG Calc'!J50</f>
        <v>4.1235761295718154</v>
      </c>
      <c r="J3" s="223">
        <f>'[7]WACOG Calc'!K50</f>
        <v>4.1235761296000675</v>
      </c>
      <c r="K3" s="223">
        <f>'[7]WACOG Calc'!L50</f>
        <v>4.1235772077644306</v>
      </c>
      <c r="M3">
        <v>2023</v>
      </c>
      <c r="N3" s="154">
        <v>0.37355702983877775</v>
      </c>
      <c r="O3" s="154">
        <v>0.37208480893699808</v>
      </c>
      <c r="P3" s="154">
        <v>0.44135305104386574</v>
      </c>
      <c r="Q3" s="154">
        <v>0.40588601928297779</v>
      </c>
      <c r="R3" s="154">
        <v>0.37208480893699808</v>
      </c>
      <c r="S3" s="154">
        <v>0.37464318962765647</v>
      </c>
      <c r="T3" s="154">
        <v>0.35575366779875023</v>
      </c>
      <c r="U3" s="154">
        <v>0.23231047195602647</v>
      </c>
      <c r="V3" s="154">
        <v>0.32427710075898691</v>
      </c>
      <c r="W3" s="154">
        <v>0.37208480893699808</v>
      </c>
      <c r="Y3">
        <v>2023</v>
      </c>
      <c r="Z3" s="133">
        <v>514.61413653358295</v>
      </c>
      <c r="AA3" s="133">
        <v>514.61413653358295</v>
      </c>
      <c r="AB3" s="133">
        <v>514.61413653358295</v>
      </c>
      <c r="AC3" s="133">
        <v>514.61413653358295</v>
      </c>
      <c r="AD3" s="133">
        <v>514.61413653358295</v>
      </c>
      <c r="AE3" s="133">
        <v>529.88267297290452</v>
      </c>
      <c r="AF3" s="133">
        <v>512</v>
      </c>
      <c r="AG3" s="133">
        <v>514.61413653358295</v>
      </c>
      <c r="AH3" s="133">
        <v>514.61413653358295</v>
      </c>
      <c r="AI3" s="133">
        <v>514.61413653358295</v>
      </c>
      <c r="AJ3" s="133"/>
      <c r="AK3">
        <v>2023</v>
      </c>
      <c r="AL3" s="8">
        <f>[4]UPC!V3</f>
        <v>620.83832892042471</v>
      </c>
      <c r="AM3" s="8">
        <f>[4]UPC!W3</f>
        <v>620.26593691898199</v>
      </c>
      <c r="AN3" s="8">
        <f>[4]UPC!X3</f>
        <v>619.77320886613734</v>
      </c>
      <c r="AO3" s="8">
        <f>[4]UPC!Y3</f>
        <v>619.28910389773625</v>
      </c>
      <c r="AP3" s="8">
        <f>[4]UPC!Z3</f>
        <v>620.26593691898199</v>
      </c>
      <c r="AQ3" s="8">
        <f>[4]UPC!AA3</f>
        <v>624.05615895693927</v>
      </c>
      <c r="AR3" s="8">
        <f>[4]UPC!AB3</f>
        <v>613.03294193730198</v>
      </c>
      <c r="AS3" s="8">
        <f>[4]UPC!AC3</f>
        <v>620.26593691898199</v>
      </c>
      <c r="AT3" s="8">
        <f>[4]UPC!AD3</f>
        <v>620.26593691898199</v>
      </c>
      <c r="AU3" s="8">
        <f>[4]UPC!AE3</f>
        <v>620.26593691898199</v>
      </c>
      <c r="AW3">
        <v>2023</v>
      </c>
      <c r="AX3" s="133">
        <f t="shared" ref="AX3:AX30" si="5">(Z3+(AL3*0.1*(B3)))*1.053</f>
        <v>811.83806892980283</v>
      </c>
      <c r="AY3" s="133">
        <f t="shared" si="0"/>
        <v>835.51829850239483</v>
      </c>
      <c r="AZ3" s="133">
        <f t="shared" si="0"/>
        <v>839.4666843778632</v>
      </c>
      <c r="BA3" s="133">
        <f t="shared" si="0"/>
        <v>837.21545315973435</v>
      </c>
      <c r="BB3" s="133">
        <f t="shared" si="0"/>
        <v>835.51829850349282</v>
      </c>
      <c r="BC3" s="133">
        <f t="shared" si="0"/>
        <v>853.8643306779901</v>
      </c>
      <c r="BD3" s="133">
        <f t="shared" si="0"/>
        <v>828.41605510753811</v>
      </c>
      <c r="BE3" s="133">
        <f t="shared" si="0"/>
        <v>826.38907701606388</v>
      </c>
      <c r="BF3" s="133">
        <f t="shared" si="0"/>
        <v>832.39578570193669</v>
      </c>
      <c r="BG3" s="133">
        <f t="shared" si="0"/>
        <v>835.51836892406197</v>
      </c>
      <c r="BI3">
        <v>2023</v>
      </c>
      <c r="BJ3" s="219">
        <f t="shared" si="1"/>
        <v>0</v>
      </c>
      <c r="BK3" s="219">
        <f t="shared" si="1"/>
        <v>2.9168661188564631E-2</v>
      </c>
      <c r="BL3" s="219">
        <f t="shared" si="1"/>
        <v>3.4032175264312882E-2</v>
      </c>
      <c r="BM3" s="219">
        <f t="shared" si="1"/>
        <v>3.1259170025600053E-2</v>
      </c>
      <c r="BN3" s="219">
        <f t="shared" si="1"/>
        <v>2.9168661189917101E-2</v>
      </c>
      <c r="BO3" s="219">
        <f t="shared" si="1"/>
        <v>5.1766803450826043E-2</v>
      </c>
      <c r="BP3" s="219">
        <f t="shared" si="1"/>
        <v>2.0420311404698036E-2</v>
      </c>
      <c r="BQ3" s="219">
        <f t="shared" si="1"/>
        <v>1.7923535053539393E-2</v>
      </c>
      <c r="BR3" s="219">
        <f t="shared" si="1"/>
        <v>2.532243505066701E-2</v>
      </c>
      <c r="BS3" s="219">
        <f t="shared" si="1"/>
        <v>2.9168747932054304E-2</v>
      </c>
      <c r="BT3" s="219"/>
      <c r="BU3" s="224">
        <v>2006</v>
      </c>
      <c r="BV3" s="225">
        <v>1225.972447958844</v>
      </c>
      <c r="BW3" s="224">
        <v>657.36709039684763</v>
      </c>
      <c r="BX3" s="225"/>
      <c r="BY3" s="224">
        <v>2023</v>
      </c>
      <c r="BZ3" s="225">
        <v>853.8643306779901</v>
      </c>
      <c r="CA3" s="224">
        <v>624.05615895693927</v>
      </c>
      <c r="CB3" s="219">
        <f t="array" ref="CB3">INDEX($BK$2:$BS$30,BY3-2021,$BU$21)</f>
        <v>5.1766803450826043E-2</v>
      </c>
      <c r="CC3">
        <v>2023</v>
      </c>
      <c r="CD3" s="133">
        <v>1991.4385970318058</v>
      </c>
      <c r="CE3" s="133">
        <v>1991.4385970318058</v>
      </c>
      <c r="CF3" s="133">
        <v>1991.4385970318058</v>
      </c>
      <c r="CG3" s="133">
        <v>1991.4385970318058</v>
      </c>
      <c r="CH3" s="133">
        <v>1991.4385970318058</v>
      </c>
      <c r="CI3" s="133">
        <v>1991.4385970318058</v>
      </c>
      <c r="CJ3" s="133">
        <v>2124.0082655875831</v>
      </c>
      <c r="CK3" s="133">
        <v>2220.6294807521213</v>
      </c>
      <c r="CL3" s="133">
        <v>1991.4385970318058</v>
      </c>
      <c r="CM3" s="133">
        <v>1991.4385970318058</v>
      </c>
      <c r="CN3" s="133"/>
      <c r="CO3">
        <v>2023</v>
      </c>
      <c r="CP3" s="8">
        <f>[4]UPC!AZ3</f>
        <v>2801.5352816678505</v>
      </c>
      <c r="CQ3" s="8">
        <f>[4]UPC!BA3</f>
        <v>2746.3635506227274</v>
      </c>
      <c r="CR3" s="8">
        <f>[4]UPC!BB3</f>
        <v>2739.1912350983384</v>
      </c>
      <c r="CS3" s="8">
        <f>[4]UPC!BC3</f>
        <v>2741.9132742381703</v>
      </c>
      <c r="CT3" s="8">
        <f>[4]UPC!BD3</f>
        <v>2746.3635506227274</v>
      </c>
      <c r="CU3" s="8">
        <f>[4]UPC!BE3</f>
        <v>2801.5352816678505</v>
      </c>
      <c r="CV3" s="8">
        <f>[4]UPC!BF3</f>
        <v>2754.9249270559844</v>
      </c>
      <c r="CW3" s="8">
        <f>[4]UPC!BG3</f>
        <v>2746.3635506227274</v>
      </c>
      <c r="CX3" s="8">
        <f>[4]UPC!BH3</f>
        <v>2746.3635506227274</v>
      </c>
      <c r="CY3" s="8">
        <f>[4]UPC!BI3</f>
        <v>2746.3635506227274</v>
      </c>
      <c r="DA3">
        <v>2023</v>
      </c>
      <c r="DB3" s="133">
        <f t="shared" si="2"/>
        <v>3315.1324440027261</v>
      </c>
      <c r="DC3" s="133">
        <f t="shared" si="3"/>
        <v>3397.0943889084092</v>
      </c>
      <c r="DD3" s="133">
        <f t="shared" si="3"/>
        <v>3412.1805205199266</v>
      </c>
      <c r="DE3" s="133">
        <f t="shared" si="3"/>
        <v>3404.5492397349203</v>
      </c>
      <c r="DF3" s="133">
        <f t="shared" si="3"/>
        <v>3397.09438891327</v>
      </c>
      <c r="DG3" s="133">
        <f t="shared" si="3"/>
        <v>3425.3401959414991</v>
      </c>
      <c r="DH3" s="133">
        <f t="shared" si="3"/>
        <v>3536.583982765475</v>
      </c>
      <c r="DI3" s="133">
        <f t="shared" si="3"/>
        <v>3598.0107579635146</v>
      </c>
      <c r="DJ3" s="133">
        <f t="shared" si="3"/>
        <v>3383.2687782612588</v>
      </c>
      <c r="DK3" s="133">
        <f t="shared" si="3"/>
        <v>3397.0947007157938</v>
      </c>
      <c r="DM3">
        <v>2023</v>
      </c>
      <c r="DN3" s="219">
        <f t="shared" si="4"/>
        <v>0</v>
      </c>
      <c r="DO3" s="219">
        <f t="shared" si="4"/>
        <v>2.4723580819208966E-2</v>
      </c>
      <c r="DP3" s="219">
        <f t="shared" si="4"/>
        <v>2.9274268270266659E-2</v>
      </c>
      <c r="DQ3" s="219">
        <f t="shared" si="4"/>
        <v>2.6972314754408869E-2</v>
      </c>
      <c r="DR3" s="219">
        <f t="shared" si="4"/>
        <v>2.472358082067521E-2</v>
      </c>
      <c r="DS3" s="219">
        <f t="shared" si="4"/>
        <v>3.3243845849400537E-2</v>
      </c>
      <c r="DT3" s="219">
        <f t="shared" si="4"/>
        <v>6.6800208589966908E-2</v>
      </c>
      <c r="DU3" s="219">
        <f t="shared" si="4"/>
        <v>8.532941556302899E-2</v>
      </c>
      <c r="DV3" s="219">
        <f t="shared" si="4"/>
        <v>2.0553125828138629E-2</v>
      </c>
      <c r="DW3" s="219">
        <f t="shared" si="4"/>
        <v>2.472367487499403E-2</v>
      </c>
    </row>
    <row r="4" spans="1:127" x14ac:dyDescent="0.25">
      <c r="A4">
        <v>2024</v>
      </c>
      <c r="B4" s="223">
        <f>'[7]WACOG Calc'!C51</f>
        <v>3.3710728052807855</v>
      </c>
      <c r="C4" s="223">
        <f>'[7]WACOG Calc'!D51</f>
        <v>3.3695812855410625</v>
      </c>
      <c r="D4" s="223">
        <f>'[7]WACOG Calc'!E51</f>
        <v>3.365984353271315</v>
      </c>
      <c r="E4" s="223">
        <f>'[7]WACOG Calc'!F51</f>
        <v>3.3670999784635307</v>
      </c>
      <c r="F4" s="223">
        <f>'[7]WACOG Calc'!G51</f>
        <v>3.3696018081539547</v>
      </c>
      <c r="G4" s="223">
        <f>'[7]WACOG Calc'!H51</f>
        <v>3.3702713618086424</v>
      </c>
      <c r="H4" s="223">
        <f>'[7]WACOG Calc'!I51</f>
        <v>3.360513445553448</v>
      </c>
      <c r="I4" s="223">
        <f>'[7]WACOG Calc'!J51</f>
        <v>3.369581285532238</v>
      </c>
      <c r="J4" s="223">
        <f>'[7]WACOG Calc'!K51</f>
        <v>3.3695812855048137</v>
      </c>
      <c r="K4" s="223">
        <f>'[7]WACOG Calc'!L51</f>
        <v>3.3695679298055468</v>
      </c>
      <c r="M4">
        <v>2024</v>
      </c>
      <c r="N4" s="154">
        <v>0.42491036063052784</v>
      </c>
      <c r="O4" s="154">
        <v>0.39291166419952828</v>
      </c>
      <c r="P4" s="154">
        <v>0.46793963882548756</v>
      </c>
      <c r="Q4" s="154">
        <v>0.44810103384983146</v>
      </c>
      <c r="R4" s="154">
        <v>0.39291166419952828</v>
      </c>
      <c r="S4" s="154">
        <v>0.37564371298098082</v>
      </c>
      <c r="T4" s="154">
        <v>0.36587970469070336</v>
      </c>
      <c r="U4" s="154">
        <v>0.23356520421024915</v>
      </c>
      <c r="V4" s="154">
        <v>0.60174773973294715</v>
      </c>
      <c r="W4" s="154">
        <v>0.39291166419952828</v>
      </c>
      <c r="Y4">
        <v>2024</v>
      </c>
      <c r="Z4" s="133">
        <v>513.39753653358298</v>
      </c>
      <c r="AA4" s="133">
        <v>513.39753653358298</v>
      </c>
      <c r="AB4" s="133">
        <v>513.39753653358298</v>
      </c>
      <c r="AC4" s="133">
        <v>513.39753653358298</v>
      </c>
      <c r="AD4" s="133">
        <v>510.48668053989678</v>
      </c>
      <c r="AE4" s="133">
        <v>542.87451213774693</v>
      </c>
      <c r="AF4" s="133">
        <v>554.62293158071566</v>
      </c>
      <c r="AG4" s="133">
        <v>513.39753653358298</v>
      </c>
      <c r="AH4" s="133">
        <v>513.39753653358298</v>
      </c>
      <c r="AI4" s="133">
        <v>513.39753653358298</v>
      </c>
      <c r="AJ4" s="133"/>
      <c r="AK4">
        <v>2024</v>
      </c>
      <c r="AL4" s="8">
        <f>[4]UPC!V4</f>
        <v>617.41733792979107</v>
      </c>
      <c r="AM4" s="8">
        <f>[4]UPC!W4</f>
        <v>616.39031127115959</v>
      </c>
      <c r="AN4" s="8">
        <f>[4]UPC!X4</f>
        <v>615.46187215585201</v>
      </c>
      <c r="AO4" s="8">
        <f>[4]UPC!Y4</f>
        <v>612.02785504516601</v>
      </c>
      <c r="AP4" s="8">
        <f>[4]UPC!Z4</f>
        <v>616.39031127115959</v>
      </c>
      <c r="AQ4" s="8">
        <f>[4]UPC!AA4</f>
        <v>623.53216559772852</v>
      </c>
      <c r="AR4" s="8">
        <f>[4]UPC!AB4</f>
        <v>612.16849206034681</v>
      </c>
      <c r="AS4" s="8">
        <f>[4]UPC!AC4</f>
        <v>616.39031127115959</v>
      </c>
      <c r="AT4" s="8">
        <f>[4]UPC!AD4</f>
        <v>616.39031127115959</v>
      </c>
      <c r="AU4" s="8">
        <f>[4]UPC!AE4</f>
        <v>616.39031127115959</v>
      </c>
      <c r="AW4">
        <v>2024</v>
      </c>
      <c r="AX4" s="133">
        <f t="shared" si="5"/>
        <v>759.77468733650142</v>
      </c>
      <c r="AY4" s="133">
        <f t="shared" si="0"/>
        <v>784.81559627684203</v>
      </c>
      <c r="AZ4" s="133">
        <f t="shared" si="0"/>
        <v>789.07707015853589</v>
      </c>
      <c r="BA4" s="133">
        <f t="shared" si="0"/>
        <v>786.48408443139328</v>
      </c>
      <c r="BB4" s="133">
        <f t="shared" si="0"/>
        <v>781.75179695414602</v>
      </c>
      <c r="BC4" s="133">
        <f t="shared" si="0"/>
        <v>817.59591740918495</v>
      </c>
      <c r="BD4" s="133">
        <f t="shared" si="0"/>
        <v>824.22625103611779</v>
      </c>
      <c r="BE4" s="133">
        <f t="shared" si="0"/>
        <v>774.47307091440882</v>
      </c>
      <c r="BF4" s="133">
        <f t="shared" si="0"/>
        <v>798.37028966285266</v>
      </c>
      <c r="BG4" s="133">
        <f t="shared" si="0"/>
        <v>784.8147294108112</v>
      </c>
      <c r="BI4">
        <v>2024</v>
      </c>
      <c r="BJ4" s="219">
        <f t="shared" si="1"/>
        <v>0</v>
      </c>
      <c r="BK4" s="219">
        <f t="shared" si="1"/>
        <v>3.2958335356137083E-2</v>
      </c>
      <c r="BL4" s="219">
        <f t="shared" si="1"/>
        <v>3.8567200658866589E-2</v>
      </c>
      <c r="BM4" s="219">
        <f t="shared" si="1"/>
        <v>3.5154365550825961E-2</v>
      </c>
      <c r="BN4" s="219">
        <f t="shared" si="1"/>
        <v>2.8925824963567152E-2</v>
      </c>
      <c r="BO4" s="219">
        <f t="shared" si="1"/>
        <v>7.6103127725120859E-2</v>
      </c>
      <c r="BP4" s="219">
        <f t="shared" si="1"/>
        <v>8.4829838074180292E-2</v>
      </c>
      <c r="BQ4" s="219">
        <f t="shared" si="1"/>
        <v>1.9345713700248013E-2</v>
      </c>
      <c r="BR4" s="219">
        <f t="shared" si="1"/>
        <v>5.079874727289696E-2</v>
      </c>
      <c r="BS4" s="219">
        <f t="shared" si="1"/>
        <v>3.2957194404687556E-2</v>
      </c>
      <c r="BT4" s="219"/>
      <c r="BU4" s="224">
        <v>2007</v>
      </c>
      <c r="BV4" s="225">
        <v>1263.2042329852618</v>
      </c>
      <c r="BW4" s="224">
        <v>673.38108752498158</v>
      </c>
      <c r="BX4" s="225"/>
      <c r="BY4" s="224">
        <v>2024</v>
      </c>
      <c r="BZ4" s="225">
        <v>817.59591740918495</v>
      </c>
      <c r="CA4" s="224">
        <v>623.53216559772852</v>
      </c>
      <c r="CB4" s="219">
        <f t="array" ref="CB4">INDEX($BK$2:$BS$30,BY4-2021,$BU$21)</f>
        <v>7.6103127725120859E-2</v>
      </c>
      <c r="CC4">
        <v>2024</v>
      </c>
      <c r="CD4" s="133">
        <v>2006.4385970318058</v>
      </c>
      <c r="CE4" s="133">
        <v>2006.4385970318058</v>
      </c>
      <c r="CF4" s="133">
        <v>2006.4385970318058</v>
      </c>
      <c r="CG4" s="133">
        <v>2006.4385970318058</v>
      </c>
      <c r="CH4" s="133">
        <v>2006.4385970318058</v>
      </c>
      <c r="CI4" s="133">
        <v>2006.4385970318058</v>
      </c>
      <c r="CJ4" s="133">
        <v>2173.8751235082545</v>
      </c>
      <c r="CK4" s="133">
        <v>2334.4832259239151</v>
      </c>
      <c r="CL4" s="133">
        <v>2006.4385970318058</v>
      </c>
      <c r="CM4" s="133">
        <v>2006.4385970318058</v>
      </c>
      <c r="CN4" s="133"/>
      <c r="CO4">
        <v>2024</v>
      </c>
      <c r="CP4" s="8">
        <f>[4]UPC!AZ4</f>
        <v>2832.1772709398147</v>
      </c>
      <c r="CQ4" s="8">
        <f>[4]UPC!BA4</f>
        <v>2731.7317208993095</v>
      </c>
      <c r="CR4" s="8">
        <f>[4]UPC!BB4</f>
        <v>2718.6737922771699</v>
      </c>
      <c r="CS4" s="8">
        <f>[4]UPC!BC4</f>
        <v>2711.5220071903877</v>
      </c>
      <c r="CT4" s="8">
        <f>[4]UPC!BD4</f>
        <v>2731.7317208993095</v>
      </c>
      <c r="CU4" s="8">
        <f>[4]UPC!BE4</f>
        <v>2832.1772709398147</v>
      </c>
      <c r="CV4" s="8">
        <f>[4]UPC!BF4</f>
        <v>2787.6781252266669</v>
      </c>
      <c r="CW4" s="8">
        <f>[4]UPC!BG4</f>
        <v>2731.7317208993095</v>
      </c>
      <c r="CX4" s="8">
        <f>[4]UPC!BH4</f>
        <v>2731.7317208993095</v>
      </c>
      <c r="CY4" s="8">
        <f>[4]UPC!BI4</f>
        <v>2731.7317208993095</v>
      </c>
      <c r="DA4">
        <v>2024</v>
      </c>
      <c r="DB4" s="133">
        <f t="shared" si="2"/>
        <v>3118.129042076785</v>
      </c>
      <c r="DC4" s="133">
        <f t="shared" si="3"/>
        <v>3195.0660198256014</v>
      </c>
      <c r="DD4" s="133">
        <f t="shared" si="3"/>
        <v>3210.3416105622655</v>
      </c>
      <c r="DE4" s="133">
        <f t="shared" si="3"/>
        <v>3202.1085013345</v>
      </c>
      <c r="DF4" s="133">
        <f t="shared" si="3"/>
        <v>3195.0719231829098</v>
      </c>
      <c r="DG4" s="133">
        <f t="shared" si="3"/>
        <v>3229.9176023720465</v>
      </c>
      <c r="DH4" s="133">
        <f t="shared" si="3"/>
        <v>3382.9452909031324</v>
      </c>
      <c r="DI4" s="133">
        <f t="shared" si="3"/>
        <v>3494.6607896792434</v>
      </c>
      <c r="DJ4" s="133">
        <f t="shared" si="3"/>
        <v>3255.1379989150655</v>
      </c>
      <c r="DK4" s="133">
        <f t="shared" si="3"/>
        <v>3195.0621780302477</v>
      </c>
      <c r="DM4">
        <v>2024</v>
      </c>
      <c r="DN4" s="219">
        <f t="shared" si="4"/>
        <v>0</v>
      </c>
      <c r="DO4" s="219">
        <f t="shared" si="4"/>
        <v>2.4674083949256194E-2</v>
      </c>
      <c r="DP4" s="219">
        <f t="shared" si="4"/>
        <v>2.9573044361263384E-2</v>
      </c>
      <c r="DQ4" s="219">
        <f t="shared" si="4"/>
        <v>2.6932643942722042E-2</v>
      </c>
      <c r="DR4" s="219">
        <f t="shared" si="4"/>
        <v>2.4675977186267468E-2</v>
      </c>
      <c r="DS4" s="219">
        <f t="shared" si="4"/>
        <v>3.5851165486341242E-2</v>
      </c>
      <c r="DT4" s="219">
        <f t="shared" si="4"/>
        <v>8.4927931221849107E-2</v>
      </c>
      <c r="DU4" s="219">
        <f t="shared" si="4"/>
        <v>0.12075566550371976</v>
      </c>
      <c r="DV4" s="219">
        <f t="shared" si="4"/>
        <v>4.3939476201737833E-2</v>
      </c>
      <c r="DW4" s="219">
        <f t="shared" si="4"/>
        <v>2.4672851865752937E-2</v>
      </c>
    </row>
    <row r="5" spans="1:127" x14ac:dyDescent="0.25">
      <c r="A5">
        <v>2025</v>
      </c>
      <c r="B5" s="223">
        <f>'[7]WACOG Calc'!C52</f>
        <v>3.3878442598123213</v>
      </c>
      <c r="C5" s="223">
        <f>'[7]WACOG Calc'!D52</f>
        <v>3.3867495054590675</v>
      </c>
      <c r="D5" s="223">
        <f>'[7]WACOG Calc'!E52</f>
        <v>3.3840853985210733</v>
      </c>
      <c r="E5" s="223">
        <f>'[7]WACOG Calc'!F52</f>
        <v>3.3820215456587492</v>
      </c>
      <c r="F5" s="223">
        <f>'[7]WACOG Calc'!G52</f>
        <v>3.3867081029157977</v>
      </c>
      <c r="G5" s="223">
        <f>'[7]WACOG Calc'!H52</f>
        <v>3.3898584988640814</v>
      </c>
      <c r="H5" s="223">
        <f>'[7]WACOG Calc'!I52</f>
        <v>3.3629737729567575</v>
      </c>
      <c r="I5" s="223">
        <f>'[7]WACOG Calc'!J52</f>
        <v>3.3867315231730024</v>
      </c>
      <c r="J5" s="223">
        <f>'[7]WACOG Calc'!K52</f>
        <v>3.3867315231780983</v>
      </c>
      <c r="K5" s="223">
        <f>'[7]WACOG Calc'!L52</f>
        <v>3.3865768854239513</v>
      </c>
      <c r="M5">
        <v>2025</v>
      </c>
      <c r="N5" s="154">
        <v>0.65633868013120522</v>
      </c>
      <c r="O5" s="154">
        <v>0.77312063406265275</v>
      </c>
      <c r="P5" s="154">
        <v>0.72704483569054945</v>
      </c>
      <c r="Q5" s="154">
        <v>0.70274684063685922</v>
      </c>
      <c r="R5" s="154">
        <v>0.70668471214687045</v>
      </c>
      <c r="S5" s="154">
        <v>0.50766696477119411</v>
      </c>
      <c r="T5" s="154">
        <v>0.48532709491999376</v>
      </c>
      <c r="U5" s="154">
        <v>0.45123097075731361</v>
      </c>
      <c r="V5" s="154">
        <v>0.98696795831457573</v>
      </c>
      <c r="W5" s="154">
        <v>0.64012698002575086</v>
      </c>
      <c r="Y5">
        <v>2025</v>
      </c>
      <c r="Z5" s="133">
        <v>512.18093653358289</v>
      </c>
      <c r="AA5" s="133">
        <v>512.18093653358289</v>
      </c>
      <c r="AB5" s="133">
        <v>512.18093653358289</v>
      </c>
      <c r="AC5" s="133">
        <v>512.18093653358289</v>
      </c>
      <c r="AD5" s="133">
        <v>513.38092211238506</v>
      </c>
      <c r="AE5" s="133">
        <v>557.70484009334393</v>
      </c>
      <c r="AF5" s="133">
        <v>584.34216815451634</v>
      </c>
      <c r="AG5" s="133">
        <v>512.18093653358289</v>
      </c>
      <c r="AH5" s="133">
        <v>512.18093653358289</v>
      </c>
      <c r="AI5" s="133">
        <v>512.18093653358289</v>
      </c>
      <c r="AJ5" s="133"/>
      <c r="AK5">
        <v>2025</v>
      </c>
      <c r="AL5" s="8">
        <f>[4]UPC!V5</f>
        <v>605.72331551469085</v>
      </c>
      <c r="AM5" s="8">
        <f>[4]UPC!W5</f>
        <v>602.0456847098759</v>
      </c>
      <c r="AN5" s="8">
        <f>[4]UPC!X5</f>
        <v>602.05511452671033</v>
      </c>
      <c r="AO5" s="8">
        <f>[4]UPC!Y5</f>
        <v>593.88853749577595</v>
      </c>
      <c r="AP5" s="8">
        <f>[4]UPC!Z5</f>
        <v>599.21231243748923</v>
      </c>
      <c r="AQ5" s="8">
        <f>[4]UPC!AA5</f>
        <v>606.27857774745985</v>
      </c>
      <c r="AR5" s="8">
        <f>[4]UPC!AB5</f>
        <v>599.15360045707723</v>
      </c>
      <c r="AS5" s="8">
        <f>[4]UPC!AC5</f>
        <v>603.63344806381986</v>
      </c>
      <c r="AT5" s="8">
        <f>[4]UPC!AD5</f>
        <v>603.63344806381986</v>
      </c>
      <c r="AU5" s="8">
        <f>[4]UPC!AE5</f>
        <v>603.52809668705299</v>
      </c>
      <c r="AW5">
        <v>2025</v>
      </c>
      <c r="AX5" s="133">
        <f t="shared" si="5"/>
        <v>755.41226208471096</v>
      </c>
      <c r="AY5" s="133">
        <f t="shared" si="0"/>
        <v>803.04320170731319</v>
      </c>
      <c r="AZ5" s="133">
        <f t="shared" si="0"/>
        <v>799.95739758427294</v>
      </c>
      <c r="BA5" s="133">
        <f t="shared" si="0"/>
        <v>794.77349321608483</v>
      </c>
      <c r="BB5" s="133">
        <f t="shared" si="0"/>
        <v>798.8711487116841</v>
      </c>
      <c r="BC5" s="133">
        <f t="shared" si="0"/>
        <v>836.08564293360621</v>
      </c>
      <c r="BD5" s="133">
        <f t="shared" si="0"/>
        <v>858.10496872909221</v>
      </c>
      <c r="BE5" s="133">
        <f t="shared" si="0"/>
        <v>783.27740897381921</v>
      </c>
      <c r="BF5" s="133">
        <f t="shared" si="0"/>
        <v>817.33024593438347</v>
      </c>
      <c r="BG5" s="133">
        <f t="shared" si="0"/>
        <v>795.22963142872595</v>
      </c>
      <c r="BI5">
        <v>2025</v>
      </c>
      <c r="BJ5" s="219">
        <f t="shared" si="1"/>
        <v>0</v>
      </c>
      <c r="BK5" s="219">
        <f t="shared" si="1"/>
        <v>6.3052907681370091E-2</v>
      </c>
      <c r="BL5" s="219">
        <f t="shared" si="1"/>
        <v>5.8967980446373462E-2</v>
      </c>
      <c r="BM5" s="219">
        <f t="shared" si="1"/>
        <v>5.2105629080932171E-2</v>
      </c>
      <c r="BN5" s="219">
        <f t="shared" si="1"/>
        <v>5.7530025402340791E-2</v>
      </c>
      <c r="BO5" s="219">
        <f t="shared" si="1"/>
        <v>0.10679384608645476</v>
      </c>
      <c r="BP5" s="219">
        <f t="shared" si="1"/>
        <v>0.13594259955614199</v>
      </c>
      <c r="BQ5" s="219">
        <f t="shared" si="1"/>
        <v>3.6887337269597413E-2</v>
      </c>
      <c r="BR5" s="219">
        <f t="shared" si="1"/>
        <v>8.1965817815556063E-2</v>
      </c>
      <c r="BS5" s="219">
        <f t="shared" si="1"/>
        <v>5.2709455938841937E-2</v>
      </c>
      <c r="BT5" s="219"/>
      <c r="BU5" s="224">
        <v>2008</v>
      </c>
      <c r="BV5" s="225">
        <v>1179.3627164317263</v>
      </c>
      <c r="BW5" s="224">
        <v>698.51266385950805</v>
      </c>
      <c r="BX5" s="225"/>
      <c r="BY5" s="224">
        <v>2025</v>
      </c>
      <c r="BZ5" s="225">
        <v>836.08564293360621</v>
      </c>
      <c r="CA5" s="224">
        <v>606.27857774745985</v>
      </c>
      <c r="CB5" s="219">
        <f t="array" ref="CB5">INDEX($BK$2:$BS$30,BY5-2021,$BU$21)</f>
        <v>0.10679384608645476</v>
      </c>
      <c r="CC5">
        <v>2025</v>
      </c>
      <c r="CD5" s="133">
        <v>2021.4385970318058</v>
      </c>
      <c r="CE5" s="133">
        <v>2021.4385970318058</v>
      </c>
      <c r="CF5" s="133">
        <v>2021.4385970318058</v>
      </c>
      <c r="CG5" s="133">
        <v>2021.4385970318058</v>
      </c>
      <c r="CH5" s="133">
        <v>2021.4385970318058</v>
      </c>
      <c r="CI5" s="133">
        <v>2021.4385970318058</v>
      </c>
      <c r="CJ5" s="133">
        <v>2231.5275859551389</v>
      </c>
      <c r="CK5" s="133">
        <v>2474.0626341519674</v>
      </c>
      <c r="CL5" s="133">
        <v>2021.4385970318058</v>
      </c>
      <c r="CM5" s="133">
        <v>2021.4385970318058</v>
      </c>
      <c r="CN5" s="133"/>
      <c r="CO5">
        <v>2025</v>
      </c>
      <c r="CP5" s="8">
        <f>[4]UPC!AZ5</f>
        <v>2833.9073131830769</v>
      </c>
      <c r="CQ5" s="8">
        <f>[4]UPC!BA5</f>
        <v>2679.1604949053899</v>
      </c>
      <c r="CR5" s="8">
        <f>[4]UPC!BB5</f>
        <v>2666.9001630932662</v>
      </c>
      <c r="CS5" s="8">
        <f>[4]UPC!BC5</f>
        <v>2640.4755529708159</v>
      </c>
      <c r="CT5" s="8">
        <f>[4]UPC!BD5</f>
        <v>2651.9863973388487</v>
      </c>
      <c r="CU5" s="8">
        <f>[4]UPC!BE5</f>
        <v>2781.7222421503066</v>
      </c>
      <c r="CV5" s="8">
        <f>[4]UPC!BF5</f>
        <v>2758.521438131188</v>
      </c>
      <c r="CW5" s="8">
        <f>[4]UPC!BG5</f>
        <v>2686.8840376800431</v>
      </c>
      <c r="CX5" s="8">
        <f>[4]UPC!BH5</f>
        <v>2686.8840376800431</v>
      </c>
      <c r="CY5" s="8">
        <f>[4]UPC!BI5</f>
        <v>2685.9658053059138</v>
      </c>
      <c r="DA5">
        <v>2025</v>
      </c>
      <c r="DB5" s="133">
        <f t="shared" si="2"/>
        <v>3139.5429391614152</v>
      </c>
      <c r="DC5" s="133">
        <f t="shared" si="3"/>
        <v>3302.1391034800463</v>
      </c>
      <c r="DD5" s="133">
        <f t="shared" si="3"/>
        <v>3283.0812935143726</v>
      </c>
      <c r="DE5" s="133">
        <f t="shared" si="3"/>
        <v>3264.3123236675278</v>
      </c>
      <c r="DF5" s="133">
        <f t="shared" si="3"/>
        <v>3271.6718460674756</v>
      </c>
      <c r="DG5" s="133">
        <f t="shared" si="3"/>
        <v>3270.2198861678039</v>
      </c>
      <c r="DH5" s="133">
        <f t="shared" si="3"/>
        <v>3467.6233808078582</v>
      </c>
      <c r="DI5" s="133">
        <f t="shared" si="3"/>
        <v>3691.058418837054</v>
      </c>
      <c r="DJ5" s="133">
        <f t="shared" si="3"/>
        <v>3366.0207785265961</v>
      </c>
      <c r="DK5" s="133">
        <f t="shared" si="3"/>
        <v>3267.4563528642584</v>
      </c>
      <c r="DM5">
        <v>2025</v>
      </c>
      <c r="DN5" s="219">
        <f t="shared" si="4"/>
        <v>0</v>
      </c>
      <c r="DO5" s="219">
        <f t="shared" si="4"/>
        <v>5.1789756493045819E-2</v>
      </c>
      <c r="DP5" s="219">
        <f t="shared" si="4"/>
        <v>4.5719506671661289E-2</v>
      </c>
      <c r="DQ5" s="219">
        <f t="shared" si="4"/>
        <v>3.9741257540958815E-2</v>
      </c>
      <c r="DR5" s="219">
        <f t="shared" si="4"/>
        <v>4.2085395698188012E-2</v>
      </c>
      <c r="DS5" s="219">
        <f t="shared" si="4"/>
        <v>4.1622920768617684E-2</v>
      </c>
      <c r="DT5" s="219">
        <f t="shared" si="4"/>
        <v>0.10449942810276537</v>
      </c>
      <c r="DU5" s="219">
        <f t="shared" si="4"/>
        <v>0.17566744279756555</v>
      </c>
      <c r="DV5" s="219">
        <f t="shared" si="4"/>
        <v>7.2137200781739921E-2</v>
      </c>
      <c r="DW5" s="219">
        <f t="shared" si="4"/>
        <v>4.0742686493407024E-2</v>
      </c>
    </row>
    <row r="6" spans="1:127" x14ac:dyDescent="0.25">
      <c r="A6">
        <v>2026</v>
      </c>
      <c r="B6" s="223">
        <f>'[7]WACOG Calc'!C53</f>
        <v>3.9342255821981684</v>
      </c>
      <c r="C6" s="223">
        <f>'[7]WACOG Calc'!D53</f>
        <v>3.9412338231571442</v>
      </c>
      <c r="D6" s="223">
        <f>'[7]WACOG Calc'!E53</f>
        <v>3.9421461900979597</v>
      </c>
      <c r="E6" s="223">
        <f>'[7]WACOG Calc'!F53</f>
        <v>3.9409329718526513</v>
      </c>
      <c r="F6" s="223">
        <f>'[7]WACOG Calc'!G53</f>
        <v>3.943267836537323</v>
      </c>
      <c r="G6" s="223">
        <f>'[7]WACOG Calc'!H53</f>
        <v>3.946995542818986</v>
      </c>
      <c r="H6" s="223">
        <f>'[7]WACOG Calc'!I53</f>
        <v>3.9083440246424908</v>
      </c>
      <c r="I6" s="223">
        <f>'[7]WACOG Calc'!J53</f>
        <v>3.937810933628564</v>
      </c>
      <c r="J6" s="223">
        <f>'[7]WACOG Calc'!K53</f>
        <v>3.9378109336345704</v>
      </c>
      <c r="K6" s="223">
        <f>'[7]WACOG Calc'!L53</f>
        <v>3.9381656519151282</v>
      </c>
      <c r="M6">
        <v>2026</v>
      </c>
      <c r="N6" s="154">
        <v>0.93616602910343005</v>
      </c>
      <c r="O6" s="154">
        <v>1.0880761419660931</v>
      </c>
      <c r="P6" s="154">
        <v>0.85356577350059271</v>
      </c>
      <c r="Q6" s="154">
        <v>0.98322502114564791</v>
      </c>
      <c r="R6" s="154">
        <v>0.97676366855852148</v>
      </c>
      <c r="S6" s="154">
        <v>0.5920193804356596</v>
      </c>
      <c r="T6" s="154">
        <v>0.5485689981299825</v>
      </c>
      <c r="U6" s="154">
        <v>0.76369687153848709</v>
      </c>
      <c r="V6" s="154">
        <v>1.3642899303155425</v>
      </c>
      <c r="W6" s="154">
        <v>0.90617085200645764</v>
      </c>
      <c r="Y6">
        <v>2026</v>
      </c>
      <c r="Z6" s="133">
        <v>510.96433653358292</v>
      </c>
      <c r="AA6" s="133">
        <v>510.96433653358292</v>
      </c>
      <c r="AB6" s="133">
        <v>510.96433653358292</v>
      </c>
      <c r="AC6" s="133">
        <v>510.96433653358292</v>
      </c>
      <c r="AD6" s="133">
        <v>516.19864963468569</v>
      </c>
      <c r="AE6" s="133">
        <v>574.6466867456819</v>
      </c>
      <c r="AF6" s="133">
        <v>620.52546163709258</v>
      </c>
      <c r="AG6" s="133">
        <v>510.96433653358292</v>
      </c>
      <c r="AH6" s="133">
        <v>510.96433653358292</v>
      </c>
      <c r="AI6" s="133">
        <v>510.96433653358292</v>
      </c>
      <c r="AJ6" s="133"/>
      <c r="AK6">
        <v>2026</v>
      </c>
      <c r="AL6" s="8">
        <f>[4]UPC!V6</f>
        <v>598.29456339879073</v>
      </c>
      <c r="AM6" s="8">
        <f>[4]UPC!W6</f>
        <v>588.78695293780027</v>
      </c>
      <c r="AN6" s="8">
        <f>[4]UPC!X6</f>
        <v>591.76398168302092</v>
      </c>
      <c r="AO6" s="8">
        <f>[4]UPC!Y6</f>
        <v>576.84218931293219</v>
      </c>
      <c r="AP6" s="8">
        <f>[4]UPC!Z6</f>
        <v>589.88129463692019</v>
      </c>
      <c r="AQ6" s="8">
        <f>[4]UPC!AA6</f>
        <v>604.13911905317877</v>
      </c>
      <c r="AR6" s="8">
        <f>[4]UPC!AB6</f>
        <v>596.39826029499977</v>
      </c>
      <c r="AS6" s="8">
        <f>[4]UPC!AC6</f>
        <v>593.86423182999886</v>
      </c>
      <c r="AT6" s="8">
        <f>[4]UPC!AD6</f>
        <v>593.86423182999886</v>
      </c>
      <c r="AU6" s="8">
        <f>[4]UPC!AE6</f>
        <v>593.64840197514445</v>
      </c>
      <c r="AW6">
        <v>2026</v>
      </c>
      <c r="AX6" s="133">
        <f t="shared" si="5"/>
        <v>785.90330068939556</v>
      </c>
      <c r="AY6" s="133">
        <f t="shared" si="0"/>
        <v>849.8589734199719</v>
      </c>
      <c r="AZ6" s="133">
        <f t="shared" si="0"/>
        <v>836.87943394315573</v>
      </c>
      <c r="BA6" s="133">
        <f t="shared" si="0"/>
        <v>837.14610309943487</v>
      </c>
      <c r="BB6" s="133">
        <f t="shared" si="0"/>
        <v>849.16247658892723</v>
      </c>
      <c r="BC6" s="133">
        <f t="shared" si="0"/>
        <v>893.85625018228518</v>
      </c>
      <c r="BD6" s="133">
        <f t="shared" si="0"/>
        <v>933.31073282787997</v>
      </c>
      <c r="BE6" s="133">
        <f t="shared" si="0"/>
        <v>832.04908228782904</v>
      </c>
      <c r="BF6" s="133">
        <f t="shared" si="0"/>
        <v>869.60651073562451</v>
      </c>
      <c r="BG6" s="133">
        <f t="shared" si="0"/>
        <v>840.87062169632293</v>
      </c>
      <c r="BI6">
        <v>2026</v>
      </c>
      <c r="BJ6" s="219">
        <f t="shared" si="1"/>
        <v>0</v>
      </c>
      <c r="BK6" s="219">
        <f t="shared" si="1"/>
        <v>8.1378552137997551E-2</v>
      </c>
      <c r="BL6" s="219">
        <f t="shared" si="1"/>
        <v>6.4863111287411346E-2</v>
      </c>
      <c r="BM6" s="219">
        <f t="shared" si="1"/>
        <v>6.5202426768139338E-2</v>
      </c>
      <c r="BN6" s="219">
        <f t="shared" si="1"/>
        <v>8.0492314823007644E-2</v>
      </c>
      <c r="BO6" s="219">
        <f t="shared" si="1"/>
        <v>0.13736161865994598</v>
      </c>
      <c r="BP6" s="219">
        <f t="shared" si="1"/>
        <v>0.18756433776162842</v>
      </c>
      <c r="BQ6" s="219">
        <f t="shared" si="1"/>
        <v>5.8716869566464887E-2</v>
      </c>
      <c r="BR6" s="219">
        <f t="shared" si="1"/>
        <v>0.10650573673988183</v>
      </c>
      <c r="BS6" s="219">
        <f t="shared" si="1"/>
        <v>6.9941583091342088E-2</v>
      </c>
      <c r="BT6" s="219"/>
      <c r="BU6" s="224">
        <v>2009</v>
      </c>
      <c r="BV6" s="225">
        <v>1325.0184080159611</v>
      </c>
      <c r="BW6" s="224">
        <v>690.13327180944827</v>
      </c>
      <c r="BX6" s="225"/>
      <c r="BY6" s="224">
        <v>2026</v>
      </c>
      <c r="BZ6" s="225">
        <v>893.85625018228518</v>
      </c>
      <c r="CA6" s="224">
        <v>604.13911905317877</v>
      </c>
      <c r="CB6" s="219">
        <f t="array" ref="CB6">INDEX($BK$2:$BS$30,BY6-2021,$BU$21)</f>
        <v>0.13736161865994598</v>
      </c>
      <c r="CC6">
        <v>2026</v>
      </c>
      <c r="CD6" s="133">
        <v>2036.4385970318058</v>
      </c>
      <c r="CE6" s="133">
        <v>2036.4385970318058</v>
      </c>
      <c r="CF6" s="133">
        <v>2036.4385970318058</v>
      </c>
      <c r="CG6" s="133">
        <v>2036.4385970318058</v>
      </c>
      <c r="CH6" s="133">
        <v>2036.4385970318058</v>
      </c>
      <c r="CI6" s="133">
        <v>2036.4385970318058</v>
      </c>
      <c r="CJ6" s="133">
        <v>2298.1793736536356</v>
      </c>
      <c r="CK6" s="133">
        <v>2631.1076270900571</v>
      </c>
      <c r="CL6" s="133">
        <v>2036.4385970318058</v>
      </c>
      <c r="CM6" s="133">
        <v>2036.4385970318058</v>
      </c>
      <c r="CN6" s="133"/>
      <c r="CO6">
        <v>2026</v>
      </c>
      <c r="CP6" s="8">
        <f>[4]UPC!AZ6</f>
        <v>2853.077691570752</v>
      </c>
      <c r="CQ6" s="8">
        <f>[4]UPC!BA6</f>
        <v>2630.3190773509964</v>
      </c>
      <c r="CR6" s="8">
        <f>[4]UPC!BB6</f>
        <v>2628.9106020932823</v>
      </c>
      <c r="CS6" s="8">
        <f>[4]UPC!BC6</f>
        <v>2571.3504030835306</v>
      </c>
      <c r="CT6" s="8">
        <f>[4]UPC!BD6</f>
        <v>2585.7077317649146</v>
      </c>
      <c r="CU6" s="8">
        <f>[4]UPC!BE6</f>
        <v>2774.8451026256271</v>
      </c>
      <c r="CV6" s="8">
        <f>[4]UPC!BF6</f>
        <v>2751.9439992053781</v>
      </c>
      <c r="CW6" s="8">
        <f>[4]UPC!BG6</f>
        <v>2655.4802432178153</v>
      </c>
      <c r="CX6" s="8">
        <f>[4]UPC!BH6</f>
        <v>2655.4802432178153</v>
      </c>
      <c r="CY6" s="8">
        <f>[4]UPC!BI6</f>
        <v>2652.7757415870606</v>
      </c>
      <c r="DA6">
        <v>2026</v>
      </c>
      <c r="DB6" s="133">
        <f t="shared" si="2"/>
        <v>3326.3256184756815</v>
      </c>
      <c r="DC6" s="133">
        <f t="shared" si="3"/>
        <v>3537.3508941120326</v>
      </c>
      <c r="DD6" s="133">
        <f t="shared" si="3"/>
        <v>3471.9393847796305</v>
      </c>
      <c r="DE6" s="133">
        <f t="shared" si="3"/>
        <v>3477.6506055815671</v>
      </c>
      <c r="DF6" s="133">
        <f t="shared" si="3"/>
        <v>3483.9715395670628</v>
      </c>
      <c r="DG6" s="133">
        <f t="shared" si="3"/>
        <v>3470.6300113801208</v>
      </c>
      <c r="DH6" s="133">
        <f t="shared" si="3"/>
        <v>3711.505813011574</v>
      </c>
      <c r="DI6" s="133">
        <f t="shared" si="3"/>
        <v>4085.2016740981398</v>
      </c>
      <c r="DJ6" s="133">
        <f t="shared" si="3"/>
        <v>3626.9542595376229</v>
      </c>
      <c r="DK6" s="133">
        <f t="shared" si="3"/>
        <v>3497.5736521602221</v>
      </c>
      <c r="DM6">
        <v>2026</v>
      </c>
      <c r="DN6" s="219">
        <f t="shared" si="4"/>
        <v>0</v>
      </c>
      <c r="DO6" s="219">
        <f t="shared" si="4"/>
        <v>6.3440955528898391E-2</v>
      </c>
      <c r="DP6" s="219">
        <f t="shared" si="4"/>
        <v>4.3776161147650296E-2</v>
      </c>
      <c r="DQ6" s="219">
        <f t="shared" si="4"/>
        <v>4.5493137011412506E-2</v>
      </c>
      <c r="DR6" s="219">
        <f t="shared" si="4"/>
        <v>4.7393412183027332E-2</v>
      </c>
      <c r="DS6" s="219">
        <f t="shared" si="4"/>
        <v>4.3382521573629963E-2</v>
      </c>
      <c r="DT6" s="219">
        <f t="shared" si="4"/>
        <v>0.11579750112149416</v>
      </c>
      <c r="DU6" s="219">
        <f t="shared" si="4"/>
        <v>0.22814244384475507</v>
      </c>
      <c r="DV6" s="219">
        <f t="shared" si="4"/>
        <v>9.0378596548736909E-2</v>
      </c>
      <c r="DW6" s="219">
        <f t="shared" si="4"/>
        <v>5.1482642809640669E-2</v>
      </c>
    </row>
    <row r="7" spans="1:127" x14ac:dyDescent="0.25">
      <c r="A7">
        <v>2027</v>
      </c>
      <c r="B7" s="223">
        <f>'[7]WACOG Calc'!C54</f>
        <v>4.1756969732725722</v>
      </c>
      <c r="C7" s="223">
        <f>'[7]WACOG Calc'!D54</f>
        <v>4.1770601765343471</v>
      </c>
      <c r="D7" s="223">
        <f>'[7]WACOG Calc'!E54</f>
        <v>4.1781414608771588</v>
      </c>
      <c r="E7" s="223">
        <f>'[7]WACOG Calc'!F54</f>
        <v>4.1711837260876905</v>
      </c>
      <c r="F7" s="223">
        <f>'[7]WACOG Calc'!G54</f>
        <v>4.1774780544749639</v>
      </c>
      <c r="G7" s="223">
        <f>'[7]WACOG Calc'!H54</f>
        <v>4.178617788332895</v>
      </c>
      <c r="H7" s="223">
        <f>'[7]WACOG Calc'!I54</f>
        <v>4.1326906405769979</v>
      </c>
      <c r="I7" s="223">
        <f>'[7]WACOG Calc'!J54</f>
        <v>4.1770050244501231</v>
      </c>
      <c r="J7" s="223">
        <f>'[7]WACOG Calc'!K54</f>
        <v>4.1770050244565029</v>
      </c>
      <c r="K7" s="223">
        <f>'[7]WACOG Calc'!L54</f>
        <v>4.1767245359259384</v>
      </c>
      <c r="M7">
        <v>2027</v>
      </c>
      <c r="N7" s="154">
        <v>1.2200514249791579</v>
      </c>
      <c r="O7" s="154">
        <v>1.4093769141054944</v>
      </c>
      <c r="P7" s="154">
        <v>1.0872225077445139</v>
      </c>
      <c r="Q7" s="154">
        <v>1.2277148004183041</v>
      </c>
      <c r="R7" s="154">
        <v>1.2578575220985464</v>
      </c>
      <c r="S7" s="154">
        <v>0.7296698369116863</v>
      </c>
      <c r="T7" s="154">
        <v>0.6113255194128705</v>
      </c>
      <c r="U7" s="154">
        <v>1.1434901342542518</v>
      </c>
      <c r="V7" s="154">
        <v>1.744872438762094</v>
      </c>
      <c r="W7" s="154">
        <v>1.1752853447496878</v>
      </c>
      <c r="Y7">
        <v>2027</v>
      </c>
      <c r="Z7" s="133">
        <v>509.74773653358295</v>
      </c>
      <c r="AA7" s="133">
        <v>509.74773653358295</v>
      </c>
      <c r="AB7" s="133">
        <v>509.74773653358295</v>
      </c>
      <c r="AC7" s="133">
        <v>509.74773653358295</v>
      </c>
      <c r="AD7" s="133">
        <v>518.91629332968512</v>
      </c>
      <c r="AE7" s="133">
        <v>593.96640002227412</v>
      </c>
      <c r="AF7" s="133">
        <v>661.13079414908555</v>
      </c>
      <c r="AG7" s="133">
        <v>509.74773653358295</v>
      </c>
      <c r="AH7" s="133">
        <v>509.74773653358295</v>
      </c>
      <c r="AI7" s="133">
        <v>509.74773653358295</v>
      </c>
      <c r="AJ7" s="133"/>
      <c r="AK7">
        <v>2027</v>
      </c>
      <c r="AL7" s="8">
        <f>[4]UPC!V7</f>
        <v>590.66751811017059</v>
      </c>
      <c r="AM7" s="8">
        <f>[4]UPC!W7</f>
        <v>574.99021423477996</v>
      </c>
      <c r="AN7" s="8">
        <f>[4]UPC!X7</f>
        <v>581.01779830327223</v>
      </c>
      <c r="AO7" s="8">
        <f>[4]UPC!Y7</f>
        <v>556.56830626820647</v>
      </c>
      <c r="AP7" s="8">
        <f>[4]UPC!Z7</f>
        <v>580.07980667944162</v>
      </c>
      <c r="AQ7" s="8">
        <f>[4]UPC!AA7</f>
        <v>601.96869159850178</v>
      </c>
      <c r="AR7" s="8">
        <f>[4]UPC!AB7</f>
        <v>593.54602472360637</v>
      </c>
      <c r="AS7" s="8">
        <f>[4]UPC!AC7</f>
        <v>582.67973902591575</v>
      </c>
      <c r="AT7" s="8">
        <f>[4]UPC!AD7</f>
        <v>582.67973902591575</v>
      </c>
      <c r="AU7" s="8">
        <f>[4]UPC!AE7</f>
        <v>582.78010737162242</v>
      </c>
      <c r="AW7">
        <v>2027</v>
      </c>
      <c r="AX7" s="133">
        <f t="shared" si="5"/>
        <v>796.48140073635921</v>
      </c>
      <c r="AY7" s="133">
        <f t="shared" si="0"/>
        <v>875.00340982112255</v>
      </c>
      <c r="AZ7" s="133">
        <f t="shared" si="0"/>
        <v>858.90551655692104</v>
      </c>
      <c r="BA7" s="133">
        <f t="shared" si="0"/>
        <v>853.17568321663862</v>
      </c>
      <c r="BB7" s="133">
        <f t="shared" si="0"/>
        <v>878.42221850145597</v>
      </c>
      <c r="BC7" s="133">
        <f t="shared" si="0"/>
        <v>936.56973524192961</v>
      </c>
      <c r="BD7" s="133">
        <f t="shared" si="0"/>
        <v>992.67361678246903</v>
      </c>
      <c r="BE7" s="133">
        <f t="shared" si="0"/>
        <v>863.20960669809551</v>
      </c>
      <c r="BF7" s="133">
        <f t="shared" si="0"/>
        <v>900.10812552953109</v>
      </c>
      <c r="BG7" s="133">
        <f t="shared" si="0"/>
        <v>865.19979379372023</v>
      </c>
      <c r="BI7">
        <v>2027</v>
      </c>
      <c r="BJ7" s="219">
        <f t="shared" si="1"/>
        <v>0</v>
      </c>
      <c r="BK7" s="219">
        <f t="shared" si="1"/>
        <v>9.8586117657196451E-2</v>
      </c>
      <c r="BL7" s="219">
        <f t="shared" si="1"/>
        <v>7.8374856918001834E-2</v>
      </c>
      <c r="BM7" s="219">
        <f t="shared" si="1"/>
        <v>7.1180924536172072E-2</v>
      </c>
      <c r="BN7" s="219">
        <f t="shared" si="1"/>
        <v>0.10287850750732061</v>
      </c>
      <c r="BO7" s="219">
        <f t="shared" si="1"/>
        <v>0.17588399977206826</v>
      </c>
      <c r="BP7" s="219">
        <f t="shared" si="1"/>
        <v>0.24632366288117605</v>
      </c>
      <c r="BQ7" s="219">
        <f t="shared" si="1"/>
        <v>8.3778737205972495E-2</v>
      </c>
      <c r="BR7" s="219">
        <f t="shared" si="1"/>
        <v>0.13010564301610483</v>
      </c>
      <c r="BS7" s="219">
        <f t="shared" si="1"/>
        <v>8.6277461085506615E-2</v>
      </c>
      <c r="BT7" s="219"/>
      <c r="BU7" s="224">
        <v>2010</v>
      </c>
      <c r="BV7" s="225">
        <v>947.34100129494436</v>
      </c>
      <c r="BW7" s="224">
        <v>611.31088588053024</v>
      </c>
      <c r="BX7" s="225"/>
      <c r="BY7" s="224">
        <v>2027</v>
      </c>
      <c r="BZ7" s="225">
        <v>936.56973524192961</v>
      </c>
      <c r="CA7" s="224">
        <v>601.96869159850178</v>
      </c>
      <c r="CB7" s="219">
        <f t="array" ref="CB7">INDEX($BK$2:$BS$30,BY7-2021,$BU$21)</f>
        <v>0.17588399977206826</v>
      </c>
      <c r="CC7">
        <v>2027</v>
      </c>
      <c r="CD7" s="133">
        <v>2051.4385970318058</v>
      </c>
      <c r="CE7" s="133">
        <v>2051.4385970318058</v>
      </c>
      <c r="CF7" s="133">
        <v>2051.4385970318058</v>
      </c>
      <c r="CG7" s="133">
        <v>2051.4385970318058</v>
      </c>
      <c r="CH7" s="133">
        <v>2051.4385970318058</v>
      </c>
      <c r="CI7" s="133">
        <v>2051.4385970318058</v>
      </c>
      <c r="CJ7" s="133">
        <v>2374.7181195255871</v>
      </c>
      <c r="CK7" s="133">
        <v>2809.0696026034325</v>
      </c>
      <c r="CL7" s="133">
        <v>2051.4385970318058</v>
      </c>
      <c r="CM7" s="133">
        <v>2051.4385970318058</v>
      </c>
      <c r="CN7" s="133"/>
      <c r="CO7">
        <v>2027</v>
      </c>
      <c r="CP7" s="8">
        <f>[4]UPC!AZ7</f>
        <v>2869.0376741119121</v>
      </c>
      <c r="CQ7" s="8">
        <f>[4]UPC!BA7</f>
        <v>2580.507983070037</v>
      </c>
      <c r="CR7" s="8">
        <f>[4]UPC!BB7</f>
        <v>2590.4205893685362</v>
      </c>
      <c r="CS7" s="8">
        <f>[4]UPC!BC7</f>
        <v>2487.0106467374444</v>
      </c>
      <c r="CT7" s="8">
        <f>[4]UPC!BD7</f>
        <v>2520.3731761776917</v>
      </c>
      <c r="CU7" s="8">
        <f>[4]UPC!BE7</f>
        <v>2767.9318063384444</v>
      </c>
      <c r="CV7" s="8">
        <f>[4]UPC!BF7</f>
        <v>2745.4091163758112</v>
      </c>
      <c r="CW7" s="8">
        <f>[4]UPC!BG7</f>
        <v>2618.7589311709198</v>
      </c>
      <c r="CX7" s="8">
        <f>[4]UPC!BH7</f>
        <v>2618.7589311709198</v>
      </c>
      <c r="CY7" s="8">
        <f>[4]UPC!BI7</f>
        <v>2615.624206613023</v>
      </c>
      <c r="DA7">
        <v>2027</v>
      </c>
      <c r="DB7" s="133">
        <f t="shared" si="2"/>
        <v>3421.6832651134691</v>
      </c>
      <c r="DC7" s="133">
        <f t="shared" si="3"/>
        <v>3678.1533748053253</v>
      </c>
      <c r="DD7" s="133">
        <f t="shared" si="3"/>
        <v>3596.404954502807</v>
      </c>
      <c r="DE7" s="133">
        <f t="shared" si="3"/>
        <v>3574.0403802972423</v>
      </c>
      <c r="DF7" s="133">
        <f t="shared" si="3"/>
        <v>3602.6773338973267</v>
      </c>
      <c r="DG7" s="133">
        <f t="shared" si="3"/>
        <v>3590.7501547243087</v>
      </c>
      <c r="DH7" s="133">
        <f t="shared" si="3"/>
        <v>3872.0333068809919</v>
      </c>
      <c r="DI7" s="133">
        <f t="shared" si="3"/>
        <v>4425.1051123923635</v>
      </c>
      <c r="DJ7" s="133">
        <f t="shared" si="3"/>
        <v>3793.1540306141892</v>
      </c>
      <c r="DK7" s="133">
        <f t="shared" si="3"/>
        <v>3634.2433894362302</v>
      </c>
      <c r="DM7">
        <v>2027</v>
      </c>
      <c r="DN7" s="219">
        <f t="shared" si="4"/>
        <v>0</v>
      </c>
      <c r="DO7" s="219">
        <f t="shared" si="4"/>
        <v>7.4954368894033535E-2</v>
      </c>
      <c r="DP7" s="219">
        <f t="shared" si="4"/>
        <v>5.1063080902534599E-2</v>
      </c>
      <c r="DQ7" s="219">
        <f t="shared" si="4"/>
        <v>4.4526948691354332E-2</v>
      </c>
      <c r="DR7" s="219">
        <f t="shared" si="4"/>
        <v>5.2896207731797595E-2</v>
      </c>
      <c r="DS7" s="219">
        <f t="shared" si="4"/>
        <v>4.9410444074294818E-2</v>
      </c>
      <c r="DT7" s="219">
        <f t="shared" si="4"/>
        <v>0.13161651937780638</v>
      </c>
      <c r="DU7" s="219">
        <f t="shared" si="4"/>
        <v>0.29325386645500023</v>
      </c>
      <c r="DV7" s="219">
        <f t="shared" si="4"/>
        <v>0.10856374968663308</v>
      </c>
      <c r="DW7" s="219">
        <f t="shared" si="4"/>
        <v>6.2121507998699067E-2</v>
      </c>
    </row>
    <row r="8" spans="1:127" x14ac:dyDescent="0.25">
      <c r="A8">
        <v>2028</v>
      </c>
      <c r="B8" s="223">
        <f>'[7]WACOG Calc'!C55</f>
        <v>4.0481231129412976</v>
      </c>
      <c r="C8" s="223">
        <f>'[7]WACOG Calc'!D55</f>
        <v>4.0386831530791447</v>
      </c>
      <c r="D8" s="223">
        <f>'[7]WACOG Calc'!E55</f>
        <v>4.0390041786022284</v>
      </c>
      <c r="E8" s="223">
        <f>'[7]WACOG Calc'!F55</f>
        <v>4.0149843278368262</v>
      </c>
      <c r="F8" s="223">
        <f>'[7]WACOG Calc'!G55</f>
        <v>4.043867502102243</v>
      </c>
      <c r="G8" s="223">
        <f>'[7]WACOG Calc'!H55</f>
        <v>4.0423048070945926</v>
      </c>
      <c r="H8" s="223">
        <f>'[7]WACOG Calc'!I55</f>
        <v>3.968202695278392</v>
      </c>
      <c r="I8" s="223">
        <f>'[7]WACOG Calc'!J55</f>
        <v>4.046710584549575</v>
      </c>
      <c r="J8" s="223">
        <f>'[7]WACOG Calc'!K55</f>
        <v>4.0467105845678928</v>
      </c>
      <c r="K8" s="223">
        <f>'[7]WACOG Calc'!L55</f>
        <v>4.0435243341398497</v>
      </c>
      <c r="M8">
        <v>2028</v>
      </c>
      <c r="N8" s="154">
        <v>1.6298855879980871</v>
      </c>
      <c r="O8" s="154">
        <v>1.8257254180458407</v>
      </c>
      <c r="P8" s="154">
        <v>1.3918008790467897</v>
      </c>
      <c r="Q8" s="154">
        <v>1.5371057368984375</v>
      </c>
      <c r="R8" s="154">
        <v>1.6280736195367369</v>
      </c>
      <c r="S8" s="154">
        <v>0.95390850364871038</v>
      </c>
      <c r="T8" s="154">
        <v>0.67192926379547024</v>
      </c>
      <c r="U8" s="154">
        <v>1.4812120322200582</v>
      </c>
      <c r="V8" s="154">
        <v>2.1669311209779716</v>
      </c>
      <c r="W8" s="154">
        <v>1.5389662439843201</v>
      </c>
      <c r="Y8">
        <v>2028</v>
      </c>
      <c r="Z8" s="133">
        <v>508.53113653358292</v>
      </c>
      <c r="AA8" s="133">
        <v>508.53113653358292</v>
      </c>
      <c r="AB8" s="133">
        <v>508.53113653358292</v>
      </c>
      <c r="AC8" s="133">
        <v>508.53113653358292</v>
      </c>
      <c r="AD8" s="133">
        <v>521.54941531793656</v>
      </c>
      <c r="AE8" s="133">
        <v>615.98213606604088</v>
      </c>
      <c r="AF8" s="133">
        <v>707.01444763317795</v>
      </c>
      <c r="AG8" s="133">
        <v>508.53113653358292</v>
      </c>
      <c r="AH8" s="133">
        <v>508.53113653358292</v>
      </c>
      <c r="AI8" s="133">
        <v>508.53113653358292</v>
      </c>
      <c r="AJ8" s="133"/>
      <c r="AK8">
        <v>2028</v>
      </c>
      <c r="AL8" s="8">
        <f>[4]UPC!V8</f>
        <v>586.65034767556403</v>
      </c>
      <c r="AM8" s="8">
        <f>[4]UPC!W8</f>
        <v>564.47757417745345</v>
      </c>
      <c r="AN8" s="8">
        <f>[4]UPC!X8</f>
        <v>573.53371993434735</v>
      </c>
      <c r="AO8" s="8">
        <f>[4]UPC!Y8</f>
        <v>538.33066286477344</v>
      </c>
      <c r="AP8" s="8">
        <f>[4]UPC!Z8</f>
        <v>573.29523310855393</v>
      </c>
      <c r="AQ8" s="8">
        <f>[4]UPC!AA8</f>
        <v>603.39054786028885</v>
      </c>
      <c r="AR8" s="8">
        <f>[4]UPC!AB8</f>
        <v>594.17454544875261</v>
      </c>
      <c r="AS8" s="8">
        <f>[4]UPC!AC8</f>
        <v>573.92048221068546</v>
      </c>
      <c r="AT8" s="8">
        <f>[4]UPC!AD8</f>
        <v>573.92048221068546</v>
      </c>
      <c r="AU8" s="8">
        <f>[4]UPC!AE8</f>
        <v>574.74620039502179</v>
      </c>
      <c r="AW8">
        <v>2028</v>
      </c>
      <c r="AX8" s="133">
        <f t="shared" si="5"/>
        <v>785.55318394160724</v>
      </c>
      <c r="AY8" s="133">
        <f t="shared" si="0"/>
        <v>884.06073294960731</v>
      </c>
      <c r="AZ8" s="133">
        <f t="shared" si="0"/>
        <v>863.4664435478777</v>
      </c>
      <c r="BA8" s="133">
        <f t="shared" si="0"/>
        <v>850.21027897486806</v>
      </c>
      <c r="BB8" s="133">
        <f t="shared" si="0"/>
        <v>891.59520816038082</v>
      </c>
      <c r="BC8" s="133">
        <f t="shared" si="0"/>
        <v>966.07371775718809</v>
      </c>
      <c r="BD8" s="133">
        <f t="shared" si="0"/>
        <v>1034.8033990955369</v>
      </c>
      <c r="BE8" s="133">
        <f t="shared" si="0"/>
        <v>869.55680462719181</v>
      </c>
      <c r="BF8" s="133">
        <f t="shared" si="0"/>
        <v>910.99743325582961</v>
      </c>
      <c r="BG8" s="133">
        <f t="shared" si="0"/>
        <v>873.33994243879511</v>
      </c>
      <c r="BI8">
        <v>2028</v>
      </c>
      <c r="BJ8" s="219">
        <f t="shared" si="1"/>
        <v>0</v>
      </c>
      <c r="BK8" s="219">
        <f t="shared" si="1"/>
        <v>0.12539895582082253</v>
      </c>
      <c r="BL8" s="219">
        <f t="shared" si="1"/>
        <v>9.9182666685063051E-2</v>
      </c>
      <c r="BM8" s="219">
        <f t="shared" si="1"/>
        <v>8.2307724486375439E-2</v>
      </c>
      <c r="BN8" s="219">
        <f t="shared" si="1"/>
        <v>0.13499025449390328</v>
      </c>
      <c r="BO8" s="219">
        <f t="shared" si="1"/>
        <v>0.22980052465677428</v>
      </c>
      <c r="BP8" s="219">
        <f t="shared" si="1"/>
        <v>0.3172926037970934</v>
      </c>
      <c r="BQ8" s="219">
        <f t="shared" si="1"/>
        <v>0.10693562498733228</v>
      </c>
      <c r="BR8" s="219">
        <f t="shared" si="1"/>
        <v>0.1596890597334108</v>
      </c>
      <c r="BS8" s="219">
        <f t="shared" si="1"/>
        <v>0.11175151510010727</v>
      </c>
      <c r="BT8" s="219"/>
      <c r="BU8" s="224">
        <v>2011</v>
      </c>
      <c r="BV8" s="225">
        <v>1014.0143943885107</v>
      </c>
      <c r="BW8" s="224">
        <v>683.97477850892312</v>
      </c>
      <c r="BX8" s="225"/>
      <c r="BY8" s="224">
        <v>2028</v>
      </c>
      <c r="BZ8" s="225">
        <v>966.07371775718809</v>
      </c>
      <c r="CA8" s="224">
        <v>603.39054786028885</v>
      </c>
      <c r="CB8" s="219">
        <f t="array" ref="CB8">INDEX($BK$2:$BS$30,BY8-2021,$BU$21)</f>
        <v>0.22980052465677428</v>
      </c>
      <c r="CC8">
        <v>2028</v>
      </c>
      <c r="CD8" s="133">
        <v>2066.4385970318058</v>
      </c>
      <c r="CE8" s="133">
        <v>2066.4385970318058</v>
      </c>
      <c r="CF8" s="133">
        <v>2066.4385970318058</v>
      </c>
      <c r="CG8" s="133">
        <v>2066.4385970318058</v>
      </c>
      <c r="CH8" s="133">
        <v>2066.4385970318058</v>
      </c>
      <c r="CI8" s="133">
        <v>2066.4385970318058</v>
      </c>
      <c r="CJ8" s="133">
        <v>2462.2494820823417</v>
      </c>
      <c r="CK8" s="133">
        <v>3012.3793903640521</v>
      </c>
      <c r="CL8" s="133">
        <v>2066.4385970318058</v>
      </c>
      <c r="CM8" s="133">
        <v>2066.4385970318058</v>
      </c>
      <c r="CN8" s="133"/>
      <c r="CO8">
        <v>2028</v>
      </c>
      <c r="CP8" s="8">
        <f>[4]UPC!AZ8</f>
        <v>2898.894151991949</v>
      </c>
      <c r="CQ8" s="8">
        <f>[4]UPC!BA8</f>
        <v>2546.117726132994</v>
      </c>
      <c r="CR8" s="8">
        <f>[4]UPC!BB8</f>
        <v>2566.7738169048566</v>
      </c>
      <c r="CS8" s="8">
        <f>[4]UPC!BC8</f>
        <v>2412.2332943622587</v>
      </c>
      <c r="CT8" s="8">
        <f>[4]UPC!BD8</f>
        <v>2470.1750966382469</v>
      </c>
      <c r="CU8" s="8">
        <f>[4]UPC!BE8</f>
        <v>2776.5972197291126</v>
      </c>
      <c r="CV8" s="8">
        <f>[4]UPC!BF8</f>
        <v>2754.4870514420618</v>
      </c>
      <c r="CW8" s="8">
        <f>[4]UPC!BG8</f>
        <v>2592.8659731762987</v>
      </c>
      <c r="CX8" s="8">
        <f>[4]UPC!BH8</f>
        <v>2592.8659731762987</v>
      </c>
      <c r="CY8" s="8">
        <f>[4]UPC!BI8</f>
        <v>2590.6141692313772</v>
      </c>
      <c r="DA8">
        <v>2028</v>
      </c>
      <c r="DB8" s="133">
        <f t="shared" si="2"/>
        <v>3411.663810758228</v>
      </c>
      <c r="DC8" s="133">
        <f t="shared" si="3"/>
        <v>3748.2441197632565</v>
      </c>
      <c r="DD8" s="133">
        <f t="shared" si="3"/>
        <v>3643.8048009447348</v>
      </c>
      <c r="DE8" s="133">
        <f t="shared" si="3"/>
        <v>3586.2360569092193</v>
      </c>
      <c r="DF8" s="133">
        <f t="shared" si="3"/>
        <v>3651.2852583554291</v>
      </c>
      <c r="DG8" s="133">
        <f t="shared" si="3"/>
        <v>3636.7311429880879</v>
      </c>
      <c r="DH8" s="133">
        <f t="shared" si="3"/>
        <v>3938.6073164685822</v>
      </c>
      <c r="DI8" s="133">
        <f t="shared" si="3"/>
        <v>4681.3175046041933</v>
      </c>
      <c r="DJ8" s="133">
        <f t="shared" si="3"/>
        <v>3872.4629002398328</v>
      </c>
      <c r="DK8" s="133">
        <f t="shared" si="3"/>
        <v>3698.8167815172374</v>
      </c>
      <c r="DM8">
        <v>2028</v>
      </c>
      <c r="DN8" s="219">
        <f t="shared" si="4"/>
        <v>0</v>
      </c>
      <c r="DO8" s="219">
        <f t="shared" si="4"/>
        <v>9.8655766709388928E-2</v>
      </c>
      <c r="DP8" s="219">
        <f t="shared" si="4"/>
        <v>6.804333693562685E-2</v>
      </c>
      <c r="DQ8" s="219">
        <f t="shared" si="4"/>
        <v>5.1169240533167702E-2</v>
      </c>
      <c r="DR8" s="219">
        <f t="shared" si="4"/>
        <v>7.0235949638879039E-2</v>
      </c>
      <c r="DS8" s="219">
        <f t="shared" si="4"/>
        <v>6.596996208129885E-2</v>
      </c>
      <c r="DT8" s="219">
        <f t="shared" si="4"/>
        <v>0.15445352617942834</v>
      </c>
      <c r="DU8" s="219">
        <f t="shared" si="4"/>
        <v>0.37215088129207846</v>
      </c>
      <c r="DV8" s="219">
        <f t="shared" si="4"/>
        <v>0.13506579635089958</v>
      </c>
      <c r="DW8" s="219">
        <f t="shared" si="4"/>
        <v>8.416801498832055E-2</v>
      </c>
    </row>
    <row r="9" spans="1:127" x14ac:dyDescent="0.25">
      <c r="A9">
        <v>2029</v>
      </c>
      <c r="B9" s="223">
        <f>'[7]WACOG Calc'!C56</f>
        <v>3.6962575059675138</v>
      </c>
      <c r="C9" s="223">
        <f>'[7]WACOG Calc'!D56</f>
        <v>3.6863635799039818</v>
      </c>
      <c r="D9" s="223">
        <f>'[7]WACOG Calc'!E56</f>
        <v>3.6882187891883529</v>
      </c>
      <c r="E9" s="223">
        <f>'[7]WACOG Calc'!F56</f>
        <v>3.6548791901235518</v>
      </c>
      <c r="F9" s="223">
        <f>'[7]WACOG Calc'!G56</f>
        <v>3.6873873260460148</v>
      </c>
      <c r="G9" s="223">
        <f>'[7]WACOG Calc'!H56</f>
        <v>3.6848995430987261</v>
      </c>
      <c r="H9" s="223">
        <f>'[7]WACOG Calc'!I56</f>
        <v>3.6009532844074661</v>
      </c>
      <c r="I9" s="223">
        <f>'[7]WACOG Calc'!J56</f>
        <v>3.6945520280632915</v>
      </c>
      <c r="J9" s="223">
        <f>'[7]WACOG Calc'!K56</f>
        <v>3.6945520280162993</v>
      </c>
      <c r="K9" s="223">
        <f>'[7]WACOG Calc'!L56</f>
        <v>3.6913775285126258</v>
      </c>
      <c r="M9">
        <v>2029</v>
      </c>
      <c r="N9" s="154">
        <v>1.8531918409867907</v>
      </c>
      <c r="O9" s="154">
        <v>2.105126404733292</v>
      </c>
      <c r="P9" s="154">
        <v>1.5893633946549373</v>
      </c>
      <c r="Q9" s="154">
        <v>1.6975974058774632</v>
      </c>
      <c r="R9" s="154">
        <v>1.8781292826084108</v>
      </c>
      <c r="S9" s="154">
        <v>1.0563539677393301</v>
      </c>
      <c r="T9" s="154">
        <v>0.73064331197905275</v>
      </c>
      <c r="U9" s="154">
        <v>1.7682400081532115</v>
      </c>
      <c r="V9" s="154">
        <v>2.5071588123831399</v>
      </c>
      <c r="W9" s="154">
        <v>1.7532934356652439</v>
      </c>
      <c r="Y9">
        <v>2029</v>
      </c>
      <c r="Z9" s="133">
        <v>507.31453653358295</v>
      </c>
      <c r="AA9" s="133">
        <v>507.31453653358295</v>
      </c>
      <c r="AB9" s="133">
        <v>507.31453653358295</v>
      </c>
      <c r="AC9" s="133">
        <v>507.31453653358295</v>
      </c>
      <c r="AD9" s="133">
        <v>524.10204301460942</v>
      </c>
      <c r="AE9" s="133">
        <v>641.09952922183754</v>
      </c>
      <c r="AF9" s="133">
        <v>759.30933577057624</v>
      </c>
      <c r="AG9" s="133">
        <v>507.31453653358295</v>
      </c>
      <c r="AH9" s="133">
        <v>507.31453653358295</v>
      </c>
      <c r="AI9" s="133">
        <v>507.31453653358295</v>
      </c>
      <c r="AJ9" s="133"/>
      <c r="AK9">
        <v>2029</v>
      </c>
      <c r="AL9" s="8">
        <f>[4]UPC!V9</f>
        <v>575.6523551320995</v>
      </c>
      <c r="AM9" s="8">
        <f>[4]UPC!W9</f>
        <v>546.91244986135007</v>
      </c>
      <c r="AN9" s="8">
        <f>[4]UPC!X9</f>
        <v>558.83752687598383</v>
      </c>
      <c r="AO9" s="8">
        <f>[4]UPC!Y9</f>
        <v>513.15831204596316</v>
      </c>
      <c r="AP9" s="8">
        <f>[4]UPC!Z9</f>
        <v>559.09992122830477</v>
      </c>
      <c r="AQ9" s="8">
        <f>[4]UPC!AA9</f>
        <v>597.44922620297552</v>
      </c>
      <c r="AR9" s="8">
        <f>[4]UPC!AB9</f>
        <v>587.42348438117313</v>
      </c>
      <c r="AS9" s="8">
        <f>[4]UPC!AC9</f>
        <v>557.21084203345549</v>
      </c>
      <c r="AT9" s="8">
        <f>[4]UPC!AD9</f>
        <v>557.21084203345549</v>
      </c>
      <c r="AU9" s="8">
        <f>[4]UPC!AE9</f>
        <v>559.10803705841136</v>
      </c>
      <c r="AW9">
        <v>2029</v>
      </c>
      <c r="AX9" s="133">
        <f t="shared" si="5"/>
        <v>758.25526531232276</v>
      </c>
      <c r="AY9" s="133">
        <f t="shared" si="0"/>
        <v>867.73342582638804</v>
      </c>
      <c r="AZ9" s="133">
        <f t="shared" si="0"/>
        <v>844.76465269040636</v>
      </c>
      <c r="BA9" s="133">
        <f t="shared" si="0"/>
        <v>823.42633212973101</v>
      </c>
      <c r="BB9" s="133">
        <f t="shared" si="0"/>
        <v>879.5393445004504</v>
      </c>
      <c r="BC9" s="133">
        <f t="shared" si="0"/>
        <v>973.35671707762504</v>
      </c>
      <c r="BD9" s="133">
        <f t="shared" si="0"/>
        <v>1067.4866394223066</v>
      </c>
      <c r="BE9" s="133">
        <f t="shared" si="0"/>
        <v>854.72771484212342</v>
      </c>
      <c r="BF9" s="133">
        <f t="shared" si="0"/>
        <v>898.08325966552388</v>
      </c>
      <c r="BG9" s="133">
        <f t="shared" si="0"/>
        <v>854.7521807555197</v>
      </c>
      <c r="BI9">
        <v>2029</v>
      </c>
      <c r="BJ9" s="219">
        <f t="shared" si="1"/>
        <v>0</v>
      </c>
      <c r="BK9" s="219">
        <f t="shared" si="1"/>
        <v>0.14438166871016925</v>
      </c>
      <c r="BL9" s="219">
        <f t="shared" si="1"/>
        <v>0.11409005823711713</v>
      </c>
      <c r="BM9" s="219">
        <f t="shared" si="1"/>
        <v>8.594871647948861E-2</v>
      </c>
      <c r="BN9" s="219">
        <f t="shared" si="1"/>
        <v>0.15995151598211604</v>
      </c>
      <c r="BO9" s="219">
        <f t="shared" si="1"/>
        <v>0.28367946996939442</v>
      </c>
      <c r="BP9" s="219">
        <f t="shared" si="1"/>
        <v>0.40781961993051569</v>
      </c>
      <c r="BQ9" s="219">
        <f t="shared" si="1"/>
        <v>0.12722951483899553</v>
      </c>
      <c r="BR9" s="219">
        <f t="shared" si="1"/>
        <v>0.1844075481567628</v>
      </c>
      <c r="BS9" s="219">
        <f t="shared" si="1"/>
        <v>0.12726178090362511</v>
      </c>
      <c r="BT9" s="219"/>
      <c r="BU9" s="224">
        <v>2012</v>
      </c>
      <c r="BV9" s="225">
        <v>912.74275686951137</v>
      </c>
      <c r="BW9" s="224">
        <v>631.76594941012047</v>
      </c>
      <c r="BX9" s="225"/>
      <c r="BY9" s="224">
        <v>2029</v>
      </c>
      <c r="BZ9" s="225">
        <v>973.35671707762504</v>
      </c>
      <c r="CA9" s="224">
        <v>597.44922620297552</v>
      </c>
      <c r="CB9" s="219">
        <f t="array" ref="CB9">INDEX($BK$2:$BS$30,BY9-2021,$BU$21)</f>
        <v>0.28367946996939442</v>
      </c>
      <c r="CC9">
        <v>2029</v>
      </c>
      <c r="CD9" s="133">
        <v>2081.4385970318058</v>
      </c>
      <c r="CE9" s="133">
        <v>2081.4385970318058</v>
      </c>
      <c r="CF9" s="133">
        <v>2081.4385970318058</v>
      </c>
      <c r="CG9" s="133">
        <v>2081.4385970318058</v>
      </c>
      <c r="CH9" s="133">
        <v>2081.4385970318058</v>
      </c>
      <c r="CI9" s="133">
        <v>2081.4385970318058</v>
      </c>
      <c r="CJ9" s="133">
        <v>2562.4864356980029</v>
      </c>
      <c r="CK9" s="133">
        <v>3247.151132212422</v>
      </c>
      <c r="CL9" s="133">
        <v>2081.4385970318058</v>
      </c>
      <c r="CM9" s="133">
        <v>2081.4385970318058</v>
      </c>
      <c r="CN9" s="133"/>
      <c r="CO9">
        <v>2029</v>
      </c>
      <c r="CP9" s="8">
        <f>[4]UPC!AZ9</f>
        <v>2894.2880014718194</v>
      </c>
      <c r="CQ9" s="8">
        <f>[4]UPC!BA9</f>
        <v>2483.7770184843653</v>
      </c>
      <c r="CR9" s="8">
        <f>[4]UPC!BB9</f>
        <v>2514.4705909694057</v>
      </c>
      <c r="CS9" s="8">
        <f>[4]UPC!BC9</f>
        <v>2310.4330036905289</v>
      </c>
      <c r="CT9" s="8">
        <f>[4]UPC!BD9</f>
        <v>2392.6870039806872</v>
      </c>
      <c r="CU9" s="8">
        <f>[4]UPC!BE9</f>
        <v>2753.533704174914</v>
      </c>
      <c r="CV9" s="8">
        <f>[4]UPC!BF9</f>
        <v>2732.0713423669695</v>
      </c>
      <c r="CW9" s="8">
        <f>[4]UPC!BG9</f>
        <v>2534.5598743662486</v>
      </c>
      <c r="CX9" s="8">
        <f>[4]UPC!BH9</f>
        <v>2534.5598743662486</v>
      </c>
      <c r="CY9" s="8">
        <f>[4]UPC!BI9</f>
        <v>2534.2349736590181</v>
      </c>
      <c r="DA9">
        <v>2029</v>
      </c>
      <c r="DB9" s="133">
        <f t="shared" si="2"/>
        <v>3318.2577965360051</v>
      </c>
      <c r="DC9" s="133">
        <f t="shared" si="3"/>
        <v>3706.4710948880438</v>
      </c>
      <c r="DD9" s="133">
        <f t="shared" si="3"/>
        <v>3589.1200854655949</v>
      </c>
      <c r="DE9" s="133">
        <f t="shared" si="3"/>
        <v>3493.9513550307533</v>
      </c>
      <c r="DF9" s="133">
        <f t="shared" si="3"/>
        <v>3593.9864267489229</v>
      </c>
      <c r="DG9" s="133">
        <f t="shared" si="3"/>
        <v>3566.4675440008045</v>
      </c>
      <c r="DH9" s="133">
        <f t="shared" si="3"/>
        <v>3944.4427334749025</v>
      </c>
      <c r="DI9" s="133">
        <f t="shared" si="3"/>
        <v>4877.2100914539742</v>
      </c>
      <c r="DJ9" s="133">
        <f t="shared" si="3"/>
        <v>3846.9242070013943</v>
      </c>
      <c r="DK9" s="133">
        <f t="shared" si="3"/>
        <v>3644.6922009836958</v>
      </c>
      <c r="DM9">
        <v>2029</v>
      </c>
      <c r="DN9" s="219">
        <f t="shared" si="4"/>
        <v>0</v>
      </c>
      <c r="DO9" s="219">
        <f t="shared" si="4"/>
        <v>0.11699310968463698</v>
      </c>
      <c r="DP9" s="219">
        <f t="shared" si="4"/>
        <v>8.1627861829285317E-2</v>
      </c>
      <c r="DQ9" s="219">
        <f t="shared" si="4"/>
        <v>5.2947531285290193E-2</v>
      </c>
      <c r="DR9" s="219">
        <f t="shared" si="4"/>
        <v>8.3094396855107625E-2</v>
      </c>
      <c r="DS9" s="219">
        <f t="shared" si="4"/>
        <v>7.4801224824638538E-2</v>
      </c>
      <c r="DT9" s="219">
        <f t="shared" si="4"/>
        <v>0.1887089476871219</v>
      </c>
      <c r="DU9" s="219">
        <f t="shared" si="4"/>
        <v>0.46981048203831244</v>
      </c>
      <c r="DV9" s="219">
        <f t="shared" si="4"/>
        <v>0.15932047564757459</v>
      </c>
      <c r="DW9" s="219">
        <f t="shared" si="4"/>
        <v>9.8375239195840056E-2</v>
      </c>
    </row>
    <row r="10" spans="1:127" x14ac:dyDescent="0.25">
      <c r="A10">
        <v>2030</v>
      </c>
      <c r="B10" s="223">
        <f>'[7]WACOG Calc'!C57</f>
        <v>3.4376019099532074</v>
      </c>
      <c r="C10" s="223">
        <f>'[7]WACOG Calc'!D57</f>
        <v>3.4249269062539764</v>
      </c>
      <c r="D10" s="223">
        <f>'[7]WACOG Calc'!E57</f>
        <v>3.4273067880587353</v>
      </c>
      <c r="E10" s="223">
        <f>'[7]WACOG Calc'!F57</f>
        <v>3.3904576012240195</v>
      </c>
      <c r="F10" s="223">
        <f>'[7]WACOG Calc'!G57</f>
        <v>3.4212597606255648</v>
      </c>
      <c r="G10" s="223">
        <f>'[7]WACOG Calc'!H57</f>
        <v>3.4161136097231943</v>
      </c>
      <c r="H10" s="223">
        <f>'[7]WACOG Calc'!I57</f>
        <v>3.3221934126550723</v>
      </c>
      <c r="I10" s="223">
        <f>'[7]WACOG Calc'!J57</f>
        <v>3.4326543329335286</v>
      </c>
      <c r="J10" s="223">
        <f>'[7]WACOG Calc'!K57</f>
        <v>3.4326543328665609</v>
      </c>
      <c r="K10" s="223">
        <f>'[7]WACOG Calc'!L57</f>
        <v>3.4305720124716506</v>
      </c>
      <c r="M10">
        <v>2030</v>
      </c>
      <c r="N10" s="154">
        <v>2.1077328489995475</v>
      </c>
      <c r="O10" s="154">
        <v>2.4237553136228289</v>
      </c>
      <c r="P10" s="154">
        <v>1.8539044994979772</v>
      </c>
      <c r="Q10" s="154">
        <v>1.9032972124395469</v>
      </c>
      <c r="R10" s="154">
        <v>2.0867893495016103</v>
      </c>
      <c r="S10" s="154">
        <v>1.2024128595598884</v>
      </c>
      <c r="T10" s="154">
        <v>0.78472094608046516</v>
      </c>
      <c r="U10" s="154">
        <v>2.0919239299091652</v>
      </c>
      <c r="V10" s="154">
        <v>2.8715960644998031</v>
      </c>
      <c r="W10" s="154">
        <v>1.9925535281690798</v>
      </c>
      <c r="Y10">
        <v>2030</v>
      </c>
      <c r="Z10" s="133">
        <v>506.09793653358292</v>
      </c>
      <c r="AA10" s="133">
        <v>506.09793653358292</v>
      </c>
      <c r="AB10" s="133">
        <v>506.09793653358292</v>
      </c>
      <c r="AC10" s="133">
        <v>506.09793653358292</v>
      </c>
      <c r="AD10" s="133">
        <v>526.58353852843118</v>
      </c>
      <c r="AE10" s="133">
        <v>668.0577968962923</v>
      </c>
      <c r="AF10" s="133">
        <v>819.48205630020266</v>
      </c>
      <c r="AG10" s="133">
        <v>506.09793653358292</v>
      </c>
      <c r="AH10" s="133">
        <v>506.09793653358292</v>
      </c>
      <c r="AI10" s="133">
        <v>506.09793653358292</v>
      </c>
      <c r="AJ10" s="133"/>
      <c r="AK10">
        <v>2030</v>
      </c>
      <c r="AL10" s="8">
        <f>[4]UPC!V10</f>
        <v>568.41993937912912</v>
      </c>
      <c r="AM10" s="8">
        <f>[4]UPC!W10</f>
        <v>532.75937248490629</v>
      </c>
      <c r="AN10" s="8">
        <f>[4]UPC!X10</f>
        <v>547.37760887120112</v>
      </c>
      <c r="AO10" s="8">
        <f>[4]UPC!Y10</f>
        <v>492.2772040234716</v>
      </c>
      <c r="AP10" s="8">
        <f>[4]UPC!Z10</f>
        <v>548.35726621221545</v>
      </c>
      <c r="AQ10" s="8">
        <f>[4]UPC!AA10</f>
        <v>595.21206285821143</v>
      </c>
      <c r="AR10" s="8">
        <f>[4]UPC!AB10</f>
        <v>584.23608505016125</v>
      </c>
      <c r="AS10" s="8">
        <f>[4]UPC!AC10</f>
        <v>543.15071584969132</v>
      </c>
      <c r="AT10" s="8">
        <f>[4]UPC!AD10</f>
        <v>543.15071584969132</v>
      </c>
      <c r="AU10" s="8">
        <f>[4]UPC!AE10</f>
        <v>546.74384125705296</v>
      </c>
      <c r="AW10">
        <v>2030</v>
      </c>
      <c r="AX10" s="133">
        <f t="shared" si="5"/>
        <v>738.67748188348639</v>
      </c>
      <c r="AY10" s="133">
        <f t="shared" si="0"/>
        <v>861.02963752980588</v>
      </c>
      <c r="AZ10" s="133">
        <f t="shared" si="0"/>
        <v>837.32413689709176</v>
      </c>
      <c r="BA10" s="133">
        <f t="shared" si="0"/>
        <v>807.33238155328957</v>
      </c>
      <c r="BB10" s="133">
        <f t="shared" si="0"/>
        <v>872.53834867625164</v>
      </c>
      <c r="BC10" s="133">
        <f t="shared" si="0"/>
        <v>992.93484098239969</v>
      </c>
      <c r="BD10" s="133">
        <f t="shared" si="0"/>
        <v>1115.5722220454024</v>
      </c>
      <c r="BE10" s="133">
        <f t="shared" si="0"/>
        <v>848.89258777555051</v>
      </c>
      <c r="BF10" s="133">
        <f t="shared" si="0"/>
        <v>893.48497680838068</v>
      </c>
      <c r="BG10" s="133">
        <f t="shared" si="0"/>
        <v>845.1419967362358</v>
      </c>
      <c r="BI10">
        <v>2030</v>
      </c>
      <c r="BJ10" s="219">
        <f t="shared" si="1"/>
        <v>0</v>
      </c>
      <c r="BK10" s="219">
        <f t="shared" si="1"/>
        <v>0.16563677470490218</v>
      </c>
      <c r="BL10" s="219">
        <f t="shared" si="1"/>
        <v>0.13354496032839022</v>
      </c>
      <c r="BM10" s="219">
        <f t="shared" si="1"/>
        <v>9.2942997930228352E-2</v>
      </c>
      <c r="BN10" s="219">
        <f t="shared" si="1"/>
        <v>0.18121693171348019</v>
      </c>
      <c r="BO10" s="219">
        <f t="shared" si="1"/>
        <v>0.34420618650863111</v>
      </c>
      <c r="BP10" s="219">
        <f t="shared" si="1"/>
        <v>0.51022909105189795</v>
      </c>
      <c r="BQ10" s="219">
        <f t="shared" si="1"/>
        <v>0.14920599124131503</v>
      </c>
      <c r="BR10" s="219">
        <f t="shared" si="1"/>
        <v>0.20957386507866027</v>
      </c>
      <c r="BS10" s="219">
        <f t="shared" si="1"/>
        <v>0.14412855063793908</v>
      </c>
      <c r="BT10" s="219"/>
      <c r="BU10" s="224">
        <v>2013</v>
      </c>
      <c r="BV10" s="225">
        <v>877.12734228683905</v>
      </c>
      <c r="BW10" s="224">
        <v>661.15795537305758</v>
      </c>
      <c r="BX10" s="225"/>
      <c r="BY10" s="224">
        <v>2030</v>
      </c>
      <c r="BZ10" s="225">
        <v>992.93484098239969</v>
      </c>
      <c r="CA10" s="224">
        <v>595.21206285821143</v>
      </c>
      <c r="CB10" s="219">
        <f t="array" ref="CB10">INDEX($BK$2:$BS$30,BY10-2021,$BU$21)</f>
        <v>0.34420618650863111</v>
      </c>
      <c r="CC10">
        <v>2030</v>
      </c>
      <c r="CD10" s="133">
        <v>2096.4385970318058</v>
      </c>
      <c r="CE10" s="133">
        <v>2096.4385970318058</v>
      </c>
      <c r="CF10" s="133">
        <v>2096.4385970318058</v>
      </c>
      <c r="CG10" s="133">
        <v>2096.4385970318058</v>
      </c>
      <c r="CH10" s="133">
        <v>2096.4385970318058</v>
      </c>
      <c r="CI10" s="133">
        <v>2096.4385970318058</v>
      </c>
      <c r="CJ10" s="133">
        <v>2670.7408369603149</v>
      </c>
      <c r="CK10" s="133">
        <v>3521.1702986505711</v>
      </c>
      <c r="CL10" s="133">
        <v>2096.4385970318058</v>
      </c>
      <c r="CM10" s="133">
        <v>2096.4385970318058</v>
      </c>
      <c r="CN10" s="133"/>
      <c r="CO10">
        <v>2030</v>
      </c>
      <c r="CP10" s="8">
        <f>[4]UPC!AZ10</f>
        <v>2906.0068157397977</v>
      </c>
      <c r="CQ10" s="8">
        <f>[4]UPC!BA10</f>
        <v>2438.6007825395754</v>
      </c>
      <c r="CR10" s="8">
        <f>[4]UPC!BB10</f>
        <v>2478.5274010614789</v>
      </c>
      <c r="CS10" s="8">
        <f>[4]UPC!BC10</f>
        <v>2229.7105084834207</v>
      </c>
      <c r="CT10" s="8">
        <f>[4]UPC!BD10</f>
        <v>2331.4486898462637</v>
      </c>
      <c r="CU10" s="8">
        <f>[4]UPC!BE10</f>
        <v>2746.5772897386528</v>
      </c>
      <c r="CV10" s="8">
        <f>[4]UPC!BF10</f>
        <v>2725.8266325229415</v>
      </c>
      <c r="CW10" s="8">
        <f>[4]UPC!BG10</f>
        <v>2489.8156624009234</v>
      </c>
      <c r="CX10" s="8">
        <f>[4]UPC!BH10</f>
        <v>2489.8156624009234</v>
      </c>
      <c r="CY10" s="8">
        <f>[4]UPC!BI10</f>
        <v>2493.7586248293601</v>
      </c>
      <c r="DA10">
        <v>2030</v>
      </c>
      <c r="DB10" s="133">
        <f t="shared" si="2"/>
        <v>3259.4646819615664</v>
      </c>
      <c r="DC10" s="133">
        <f t="shared" si="3"/>
        <v>3709.4017319987283</v>
      </c>
      <c r="DD10" s="133">
        <f t="shared" si="3"/>
        <v>3585.8875538760635</v>
      </c>
      <c r="DE10" s="133">
        <f t="shared" si="3"/>
        <v>3450.4626823185363</v>
      </c>
      <c r="DF10" s="133">
        <f t="shared" si="3"/>
        <v>3559.7844203874779</v>
      </c>
      <c r="DG10" s="133">
        <f t="shared" si="3"/>
        <v>3543.2950754701933</v>
      </c>
      <c r="DH10" s="133">
        <f t="shared" si="3"/>
        <v>3991.0958586160527</v>
      </c>
      <c r="DI10" s="133">
        <f t="shared" si="3"/>
        <v>5156.2129350586165</v>
      </c>
      <c r="DJ10" s="133">
        <f t="shared" si="3"/>
        <v>3860.3830138895109</v>
      </c>
      <c r="DK10" s="133">
        <f t="shared" si="3"/>
        <v>3631.6234720046896</v>
      </c>
      <c r="DM10">
        <v>2030</v>
      </c>
      <c r="DN10" s="219">
        <f t="shared" si="4"/>
        <v>0</v>
      </c>
      <c r="DO10" s="219">
        <f t="shared" si="4"/>
        <v>0.13804016730943286</v>
      </c>
      <c r="DP10" s="219">
        <f t="shared" si="4"/>
        <v>0.10014616011057798</v>
      </c>
      <c r="DQ10" s="219">
        <f t="shared" si="4"/>
        <v>5.859796592182312E-2</v>
      </c>
      <c r="DR10" s="219">
        <f t="shared" si="4"/>
        <v>9.2137748903349734E-2</v>
      </c>
      <c r="DS10" s="219">
        <f t="shared" si="4"/>
        <v>8.707883692662563E-2</v>
      </c>
      <c r="DT10" s="219">
        <f t="shared" si="4"/>
        <v>0.22446360002102742</v>
      </c>
      <c r="DU10" s="219">
        <f t="shared" si="4"/>
        <v>0.58192017345485547</v>
      </c>
      <c r="DV10" s="219">
        <f t="shared" si="4"/>
        <v>0.18436105022199784</v>
      </c>
      <c r="DW10" s="219">
        <f t="shared" si="4"/>
        <v>0.11417788697104571</v>
      </c>
    </row>
    <row r="11" spans="1:127" x14ac:dyDescent="0.25">
      <c r="A11">
        <v>2031</v>
      </c>
      <c r="B11" s="223">
        <f>'[7]WACOG Calc'!C58</f>
        <v>3.4580493151148923</v>
      </c>
      <c r="C11" s="223">
        <f>'[7]WACOG Calc'!D58</f>
        <v>3.4436634944844853</v>
      </c>
      <c r="D11" s="223">
        <f>'[7]WACOG Calc'!E58</f>
        <v>3.4468163318612302</v>
      </c>
      <c r="E11" s="223">
        <f>'[7]WACOG Calc'!F58</f>
        <v>3.4073896117918872</v>
      </c>
      <c r="F11" s="223">
        <f>'[7]WACOG Calc'!G58</f>
        <v>3.4365932437312909</v>
      </c>
      <c r="G11" s="223">
        <f>'[7]WACOG Calc'!H58</f>
        <v>3.4303589027195209</v>
      </c>
      <c r="H11" s="223">
        <f>'[7]WACOG Calc'!I58</f>
        <v>3.32714819813107</v>
      </c>
      <c r="I11" s="223">
        <f>'[7]WACOG Calc'!J58</f>
        <v>3.4500274809062472</v>
      </c>
      <c r="J11" s="223">
        <f>'[7]WACOG Calc'!K58</f>
        <v>3.4500274809127847</v>
      </c>
      <c r="K11" s="223">
        <f>'[7]WACOG Calc'!L58</f>
        <v>3.4491189181064241</v>
      </c>
      <c r="M11">
        <v>2031</v>
      </c>
      <c r="N11" s="154">
        <v>2.4394038401959124</v>
      </c>
      <c r="O11" s="154">
        <v>2.804932992538284</v>
      </c>
      <c r="P11" s="154">
        <v>2.1296693634929755</v>
      </c>
      <c r="Q11" s="154">
        <v>2.2979091155469922</v>
      </c>
      <c r="R11" s="154">
        <v>2.4819671661860201</v>
      </c>
      <c r="S11" s="154">
        <v>1.3704664891278346</v>
      </c>
      <c r="T11" s="154">
        <v>0.83778160118319756</v>
      </c>
      <c r="U11" s="154">
        <v>2.3213586794130223</v>
      </c>
      <c r="V11" s="154">
        <v>3.5395249597634422</v>
      </c>
      <c r="W11" s="154">
        <v>2.2540035331827788</v>
      </c>
      <c r="Y11">
        <v>2031</v>
      </c>
      <c r="Z11" s="133">
        <v>504.88133653358295</v>
      </c>
      <c r="AA11" s="133">
        <v>504.88133653358295</v>
      </c>
      <c r="AB11" s="133">
        <v>504.88133653358295</v>
      </c>
      <c r="AC11" s="133">
        <v>504.88133653358295</v>
      </c>
      <c r="AD11" s="133">
        <v>532.93348625848409</v>
      </c>
      <c r="AE11" s="133">
        <v>697.01462115776758</v>
      </c>
      <c r="AF11" s="133">
        <v>889.48757059228194</v>
      </c>
      <c r="AG11" s="133">
        <v>504.88133653358295</v>
      </c>
      <c r="AH11" s="133">
        <v>504.88133653358295</v>
      </c>
      <c r="AI11" s="133">
        <v>504.88133653358295</v>
      </c>
      <c r="AJ11" s="133"/>
      <c r="AK11">
        <v>2031</v>
      </c>
      <c r="AL11" s="8">
        <f>[4]UPC!V11</f>
        <v>561.34726871971623</v>
      </c>
      <c r="AM11" s="8">
        <f>[4]UPC!W11</f>
        <v>518.65794956674074</v>
      </c>
      <c r="AN11" s="8">
        <f>[4]UPC!X11</f>
        <v>535.58649135627218</v>
      </c>
      <c r="AO11" s="8">
        <f>[4]UPC!Y11</f>
        <v>472.10093123669259</v>
      </c>
      <c r="AP11" s="8">
        <f>[4]UPC!Z11</f>
        <v>537.65101219016037</v>
      </c>
      <c r="AQ11" s="8">
        <f>[4]UPC!AA11</f>
        <v>592.90325037858167</v>
      </c>
      <c r="AR11" s="8">
        <f>[4]UPC!AB11</f>
        <v>580.85738286861408</v>
      </c>
      <c r="AS11" s="8">
        <f>[4]UPC!AC11</f>
        <v>528.71955466079669</v>
      </c>
      <c r="AT11" s="8">
        <f>[4]UPC!AD11</f>
        <v>528.71955466079669</v>
      </c>
      <c r="AU11" s="8">
        <f>[4]UPC!AE11</f>
        <v>534.51232414139315</v>
      </c>
      <c r="AW11">
        <v>2031</v>
      </c>
      <c r="AX11" s="133">
        <f t="shared" si="5"/>
        <v>736.04488383577632</v>
      </c>
      <c r="AY11" s="133">
        <f t="shared" si="0"/>
        <v>872.90515801341428</v>
      </c>
      <c r="AZ11" s="133">
        <f t="shared" si="0"/>
        <v>846.13854729785089</v>
      </c>
      <c r="BA11" s="133">
        <f t="shared" si="0"/>
        <v>815.26315884933217</v>
      </c>
      <c r="BB11" s="133">
        <f t="shared" si="0"/>
        <v>896.25619651428246</v>
      </c>
      <c r="BC11" s="133">
        <f t="shared" si="0"/>
        <v>1033.6849464021911</v>
      </c>
      <c r="BD11" s="133">
        <f t="shared" si="0"/>
        <v>1191.3753543220157</v>
      </c>
      <c r="BE11" s="133">
        <f t="shared" si="0"/>
        <v>852.95717643424712</v>
      </c>
      <c r="BF11" s="133">
        <f t="shared" si="0"/>
        <v>920.77757192580157</v>
      </c>
      <c r="BG11" s="133">
        <f t="shared" si="0"/>
        <v>852.63543395241618</v>
      </c>
      <c r="BI11">
        <v>2031</v>
      </c>
      <c r="BJ11" s="219">
        <f t="shared" si="1"/>
        <v>0</v>
      </c>
      <c r="BK11" s="219">
        <f t="shared" si="1"/>
        <v>0.18594012020627498</v>
      </c>
      <c r="BL11" s="219">
        <f t="shared" si="1"/>
        <v>0.14957466029563257</v>
      </c>
      <c r="BM11" s="219">
        <f t="shared" si="1"/>
        <v>0.10762696236773348</v>
      </c>
      <c r="BN11" s="219">
        <f t="shared" si="1"/>
        <v>0.21766513998927803</v>
      </c>
      <c r="BO11" s="219">
        <f t="shared" si="1"/>
        <v>0.40437759857158823</v>
      </c>
      <c r="BP11" s="219">
        <f t="shared" si="1"/>
        <v>0.61861780509003728</v>
      </c>
      <c r="BQ11" s="219">
        <f t="shared" si="1"/>
        <v>0.15883853711366311</v>
      </c>
      <c r="BR11" s="219">
        <f t="shared" si="1"/>
        <v>0.25098019447852332</v>
      </c>
      <c r="BS11" s="219">
        <f t="shared" si="1"/>
        <v>0.15840141365978588</v>
      </c>
      <c r="BT11" s="219"/>
      <c r="BU11" s="224">
        <v>2014</v>
      </c>
      <c r="BV11" s="225">
        <v>797.05228157849047</v>
      </c>
      <c r="BW11" s="224">
        <v>593.78490645660429</v>
      </c>
      <c r="BX11" s="225"/>
      <c r="BY11" s="224">
        <v>2031</v>
      </c>
      <c r="BZ11" s="225">
        <v>1033.6849464021911</v>
      </c>
      <c r="CA11" s="224">
        <v>592.90325037858167</v>
      </c>
      <c r="CB11" s="219">
        <f t="array" ref="CB11">INDEX($BK$2:$BS$30,BY11-2021,$BU$21)</f>
        <v>0.40437759857158823</v>
      </c>
      <c r="CC11">
        <v>2031</v>
      </c>
      <c r="CD11" s="133">
        <v>2111.4385970318058</v>
      </c>
      <c r="CE11" s="133">
        <v>2111.4385970318058</v>
      </c>
      <c r="CF11" s="133">
        <v>2111.4385970318058</v>
      </c>
      <c r="CG11" s="133">
        <v>2111.4385970318058</v>
      </c>
      <c r="CH11" s="133">
        <v>2111.4385970318058</v>
      </c>
      <c r="CI11" s="133">
        <v>2111.4385970318058</v>
      </c>
      <c r="CJ11" s="133">
        <v>2787.6102846060567</v>
      </c>
      <c r="CK11" s="133">
        <v>3844.6565601219158</v>
      </c>
      <c r="CL11" s="133">
        <v>2111.4385970318058</v>
      </c>
      <c r="CM11" s="133">
        <v>2111.4385970318058</v>
      </c>
      <c r="CN11" s="133"/>
      <c r="CO11">
        <v>2031</v>
      </c>
      <c r="CP11" s="8">
        <f>[4]UPC!AZ11</f>
        <v>2916.8369068781894</v>
      </c>
      <c r="CQ11" s="8">
        <f>[4]UPC!BA11</f>
        <v>2395.2686251833834</v>
      </c>
      <c r="CR11" s="8">
        <f>[4]UPC!BB11</f>
        <v>2443.3143476878054</v>
      </c>
      <c r="CS11" s="8">
        <f>[4]UPC!BC11</f>
        <v>2153.6551136906887</v>
      </c>
      <c r="CT11" s="8">
        <f>[4]UPC!BD11</f>
        <v>2273.1751564793794</v>
      </c>
      <c r="CU11" s="8">
        <f>[4]UPC!BE11</f>
        <v>2739.3909602755721</v>
      </c>
      <c r="CV11" s="8">
        <f>[4]UPC!BF11</f>
        <v>2719.5167252937626</v>
      </c>
      <c r="CW11" s="8">
        <f>[4]UPC!BG11</f>
        <v>2444.9161796407807</v>
      </c>
      <c r="CX11" s="8">
        <f>[4]UPC!BH11</f>
        <v>2444.9161796407807</v>
      </c>
      <c r="CY11" s="8">
        <f>[4]UPC!BI11</f>
        <v>2455.3162187955131</v>
      </c>
      <c r="DA11">
        <v>2031</v>
      </c>
      <c r="DB11" s="133">
        <f t="shared" si="2"/>
        <v>3285.4602285887872</v>
      </c>
      <c r="DC11" s="133">
        <f t="shared" si="3"/>
        <v>3799.3770100731886</v>
      </c>
      <c r="DD11" s="133">
        <f t="shared" si="3"/>
        <v>3658.0686633863793</v>
      </c>
      <c r="DE11" s="133">
        <f t="shared" si="3"/>
        <v>3517.1918232312382</v>
      </c>
      <c r="DF11" s="133">
        <f t="shared" si="3"/>
        <v>3640.0430910446521</v>
      </c>
      <c r="DG11" s="133">
        <f t="shared" si="3"/>
        <v>3608.1807004088259</v>
      </c>
      <c r="DH11" s="133">
        <f t="shared" si="3"/>
        <v>4128.0442147003523</v>
      </c>
      <c r="DI11" s="133">
        <f t="shared" si="3"/>
        <v>5534.264841672617</v>
      </c>
      <c r="DJ11" s="133">
        <f t="shared" si="3"/>
        <v>4022.802837948675</v>
      </c>
      <c r="DK11" s="133">
        <f t="shared" si="3"/>
        <v>3697.8574838950758</v>
      </c>
      <c r="DM11">
        <v>2031</v>
      </c>
      <c r="DN11" s="219">
        <f t="shared" si="4"/>
        <v>0</v>
      </c>
      <c r="DO11" s="219">
        <f t="shared" si="4"/>
        <v>0.15642155001984165</v>
      </c>
      <c r="DP11" s="219">
        <f t="shared" si="4"/>
        <v>0.11341133627346923</v>
      </c>
      <c r="DQ11" s="219">
        <f t="shared" si="4"/>
        <v>7.0532460757252058E-2</v>
      </c>
      <c r="DR11" s="219">
        <f t="shared" si="4"/>
        <v>0.10792486829407454</v>
      </c>
      <c r="DS11" s="219">
        <f t="shared" si="4"/>
        <v>9.8226869104015221E-2</v>
      </c>
      <c r="DT11" s="219">
        <f t="shared" si="4"/>
        <v>0.25645843427953546</v>
      </c>
      <c r="DU11" s="219">
        <f t="shared" si="4"/>
        <v>0.68447171982652943</v>
      </c>
      <c r="DV11" s="219">
        <f t="shared" si="4"/>
        <v>0.22442597324533756</v>
      </c>
      <c r="DW11" s="219">
        <f t="shared" si="4"/>
        <v>0.12552191370870031</v>
      </c>
    </row>
    <row r="12" spans="1:127" x14ac:dyDescent="0.25">
      <c r="A12">
        <v>2032</v>
      </c>
      <c r="B12" s="223">
        <f>'[7]WACOG Calc'!C59</f>
        <v>3.5130185968887555</v>
      </c>
      <c r="C12" s="223">
        <f>'[7]WACOG Calc'!D59</f>
        <v>3.492729511996588</v>
      </c>
      <c r="D12" s="223">
        <f>'[7]WACOG Calc'!E59</f>
        <v>3.4954537487556894</v>
      </c>
      <c r="E12" s="223">
        <f>'[7]WACOG Calc'!F59</f>
        <v>3.4489126156594141</v>
      </c>
      <c r="F12" s="223">
        <f>'[7]WACOG Calc'!G59</f>
        <v>3.4796938215694704</v>
      </c>
      <c r="G12" s="223">
        <f>'[7]WACOG Calc'!H59</f>
        <v>3.4695740365617156</v>
      </c>
      <c r="H12" s="223">
        <f>'[7]WACOG Calc'!I59</f>
        <v>3.341678852263875</v>
      </c>
      <c r="I12" s="223">
        <f>'[7]WACOG Calc'!J59</f>
        <v>3.4993363988969715</v>
      </c>
      <c r="J12" s="223">
        <f>'[7]WACOG Calc'!K59</f>
        <v>3.4993363988802169</v>
      </c>
      <c r="K12" s="223">
        <f>'[7]WACOG Calc'!L59</f>
        <v>3.4997156045191238</v>
      </c>
      <c r="M12">
        <v>2032</v>
      </c>
      <c r="N12" s="154">
        <v>3.1066979186615082</v>
      </c>
      <c r="O12" s="154">
        <v>3.0888592685382164</v>
      </c>
      <c r="P12" s="154">
        <v>2.4598270231464126</v>
      </c>
      <c r="Q12" s="154">
        <v>2.5639800764232308</v>
      </c>
      <c r="R12" s="154">
        <v>2.7378873316812999</v>
      </c>
      <c r="S12" s="154">
        <v>1.5800680401450486</v>
      </c>
      <c r="T12" s="154">
        <v>0.88782196833415161</v>
      </c>
      <c r="U12" s="154">
        <v>2.5985184806483734</v>
      </c>
      <c r="V12" s="154">
        <v>3.8180588128886752</v>
      </c>
      <c r="W12" s="154">
        <v>2.7713300649653889</v>
      </c>
      <c r="Y12">
        <v>2032</v>
      </c>
      <c r="Z12" s="133">
        <v>503.66473653358292</v>
      </c>
      <c r="AA12" s="133">
        <v>503.66473653358292</v>
      </c>
      <c r="AB12" s="133">
        <v>503.66473653358292</v>
      </c>
      <c r="AC12" s="133">
        <v>503.66473653358292</v>
      </c>
      <c r="AD12" s="133">
        <v>539.19261660344887</v>
      </c>
      <c r="AE12" s="133">
        <v>728.18865101030383</v>
      </c>
      <c r="AF12" s="133">
        <v>971.90741464635244</v>
      </c>
      <c r="AG12" s="133">
        <v>503.66473653358292</v>
      </c>
      <c r="AH12" s="133">
        <v>503.66473653358292</v>
      </c>
      <c r="AI12" s="133">
        <v>503.66473653358292</v>
      </c>
      <c r="AJ12" s="133"/>
      <c r="AK12">
        <v>2032</v>
      </c>
      <c r="AL12" s="8">
        <f>[4]UPC!V12</f>
        <v>558.03645536109809</v>
      </c>
      <c r="AM12" s="8">
        <f>[4]UPC!W12</f>
        <v>508.01655000429128</v>
      </c>
      <c r="AN12" s="8">
        <f>[4]UPC!X12</f>
        <v>526.60972290992265</v>
      </c>
      <c r="AO12" s="8">
        <f>[4]UPC!Y12</f>
        <v>455.91503592534048</v>
      </c>
      <c r="AP12" s="8">
        <f>[4]UPC!Z12</f>
        <v>530.56784944999902</v>
      </c>
      <c r="AQ12" s="8">
        <f>[4]UPC!AA12</f>
        <v>594.38786575752135</v>
      </c>
      <c r="AR12" s="8">
        <f>[4]UPC!AB12</f>
        <v>581.07019876054073</v>
      </c>
      <c r="AS12" s="8">
        <f>[4]UPC!AC12</f>
        <v>517.75477351761651</v>
      </c>
      <c r="AT12" s="8">
        <f>[4]UPC!AD12</f>
        <v>517.75477351761651</v>
      </c>
      <c r="AU12" s="8">
        <f>[4]UPC!AE12</f>
        <v>525.67214787291778</v>
      </c>
      <c r="AW12">
        <v>2032</v>
      </c>
      <c r="AX12" s="133">
        <f t="shared" si="5"/>
        <v>736.78829207315937</v>
      </c>
      <c r="AY12" s="133">
        <f t="shared" si="0"/>
        <v>882.43541709020838</v>
      </c>
      <c r="AZ12" s="133">
        <f t="shared" si="0"/>
        <v>860.59121969693183</v>
      </c>
      <c r="BA12" s="133">
        <f t="shared" si="0"/>
        <v>819.02503773741853</v>
      </c>
      <c r="BB12" s="133">
        <f t="shared" si="0"/>
        <v>915.13858931422612</v>
      </c>
      <c r="BC12" s="133">
        <f t="shared" si="0"/>
        <v>1082.8349108722705</v>
      </c>
      <c r="BD12" s="133">
        <f t="shared" si="0"/>
        <v>1282.2076713480442</v>
      </c>
      <c r="BE12" s="133">
        <f t="shared" si="0"/>
        <v>862.81144018223415</v>
      </c>
      <c r="BF12" s="133">
        <f t="shared" si="0"/>
        <v>929.30026402391616</v>
      </c>
      <c r="BG12" s="133">
        <f t="shared" si="0"/>
        <v>877.48189666495273</v>
      </c>
      <c r="BI12">
        <v>2032</v>
      </c>
      <c r="BJ12" s="219">
        <f t="shared" si="1"/>
        <v>0</v>
      </c>
      <c r="BK12" s="219">
        <f t="shared" si="1"/>
        <v>0.19767839226547723</v>
      </c>
      <c r="BL12" s="219">
        <f t="shared" si="1"/>
        <v>0.16803053055500977</v>
      </c>
      <c r="BM12" s="219">
        <f t="shared" si="1"/>
        <v>0.11161516347234988</v>
      </c>
      <c r="BN12" s="219">
        <f t="shared" si="1"/>
        <v>0.24206451047047511</v>
      </c>
      <c r="BO12" s="219">
        <f t="shared" si="1"/>
        <v>0.4696689978954639</v>
      </c>
      <c r="BP12" s="219">
        <f t="shared" si="1"/>
        <v>0.74026607798041311</v>
      </c>
      <c r="BQ12" s="219">
        <f t="shared" si="1"/>
        <v>0.17104390700139047</v>
      </c>
      <c r="BR12" s="219">
        <f t="shared" si="1"/>
        <v>0.26128532988637843</v>
      </c>
      <c r="BS12" s="219">
        <f t="shared" si="1"/>
        <v>0.19095526639804855</v>
      </c>
      <c r="BT12" s="219"/>
      <c r="BU12" s="224">
        <v>2015</v>
      </c>
      <c r="BV12" s="225">
        <v>739.02947764403564</v>
      </c>
      <c r="BW12" s="224">
        <v>538.65107323769143</v>
      </c>
      <c r="BX12" s="225"/>
      <c r="BY12" s="224">
        <v>2032</v>
      </c>
      <c r="BZ12" s="225">
        <v>1082.8349108722705</v>
      </c>
      <c r="CA12" s="224">
        <v>594.38786575752135</v>
      </c>
      <c r="CB12" s="219">
        <f t="array" ref="CB12">INDEX($BK$2:$BS$30,BY12-2021,$BU$21)</f>
        <v>0.4696689978954639</v>
      </c>
      <c r="CC12">
        <v>2032</v>
      </c>
      <c r="CD12" s="133">
        <v>2126.4385970318058</v>
      </c>
      <c r="CE12" s="133">
        <v>2126.4385970318058</v>
      </c>
      <c r="CF12" s="133">
        <v>2126.4385970318058</v>
      </c>
      <c r="CG12" s="133">
        <v>2126.4385970318058</v>
      </c>
      <c r="CH12" s="133">
        <v>2126.4385970318058</v>
      </c>
      <c r="CI12" s="133">
        <v>2126.4385970318058</v>
      </c>
      <c r="CJ12" s="133">
        <v>2914.150877888012</v>
      </c>
      <c r="CK12" s="133">
        <v>4232.2748079110243</v>
      </c>
      <c r="CL12" s="133">
        <v>2126.4385970318058</v>
      </c>
      <c r="CM12" s="133">
        <v>2126.4385970318058</v>
      </c>
      <c r="CN12" s="133"/>
      <c r="CO12">
        <v>2032</v>
      </c>
      <c r="CP12" s="8">
        <f>[4]UPC!AZ12</f>
        <v>2943.7967069584715</v>
      </c>
      <c r="CQ12" s="8">
        <f>[4]UPC!BA12</f>
        <v>2369.4081817319466</v>
      </c>
      <c r="CR12" s="8">
        <f>[4]UPC!BB12</f>
        <v>2423.6991005719487</v>
      </c>
      <c r="CS12" s="8">
        <f>[4]UPC!BC12</f>
        <v>2097.4924403970285</v>
      </c>
      <c r="CT12" s="8">
        <f>[4]UPC!BD12</f>
        <v>2232.7070193744034</v>
      </c>
      <c r="CU12" s="8">
        <f>[4]UPC!BE12</f>
        <v>2748.8294119251018</v>
      </c>
      <c r="CV12" s="8">
        <f>[4]UPC!BF12</f>
        <v>2729.9676686490957</v>
      </c>
      <c r="CW12" s="8">
        <f>[4]UPC!BG12</f>
        <v>2417.5576482934321</v>
      </c>
      <c r="CX12" s="8">
        <f>[4]UPC!BH12</f>
        <v>2417.5576482934321</v>
      </c>
      <c r="CY12" s="8">
        <f>[4]UPC!BI12</f>
        <v>2434.1879848148205</v>
      </c>
      <c r="DA12">
        <v>2032</v>
      </c>
      <c r="DB12" s="133">
        <f t="shared" si="2"/>
        <v>3328.1116470331167</v>
      </c>
      <c r="DC12" s="133">
        <f t="shared" si="3"/>
        <v>3881.2375658325163</v>
      </c>
      <c r="DD12" s="133">
        <f t="shared" si="3"/>
        <v>3759.019893573462</v>
      </c>
      <c r="DE12" s="133">
        <f t="shared" si="3"/>
        <v>3567.1831232534582</v>
      </c>
      <c r="DF12" s="133">
        <f t="shared" si="3"/>
        <v>3700.9183476610733</v>
      </c>
      <c r="DG12" s="133">
        <f t="shared" si="3"/>
        <v>3700.7675133878761</v>
      </c>
      <c r="DH12" s="133">
        <f t="shared" si="3"/>
        <v>4284.4368465140342</v>
      </c>
      <c r="DI12" s="133">
        <f t="shared" si="3"/>
        <v>6008.9090961749453</v>
      </c>
      <c r="DJ12" s="133">
        <f t="shared" si="3"/>
        <v>4101.9205098811808</v>
      </c>
      <c r="DK12" s="133">
        <f t="shared" si="3"/>
        <v>3846.534236073599</v>
      </c>
      <c r="DM12">
        <v>2032</v>
      </c>
      <c r="DN12" s="219">
        <f t="shared" si="4"/>
        <v>0</v>
      </c>
      <c r="DO12" s="219">
        <f t="shared" si="4"/>
        <v>0.16619812598309017</v>
      </c>
      <c r="DP12" s="219">
        <f t="shared" si="4"/>
        <v>0.12947529777869182</v>
      </c>
      <c r="DQ12" s="219">
        <f t="shared" si="4"/>
        <v>7.1833971205102015E-2</v>
      </c>
      <c r="DR12" s="219">
        <f t="shared" si="4"/>
        <v>0.1120174862403728</v>
      </c>
      <c r="DS12" s="219">
        <f t="shared" si="4"/>
        <v>0.11197216496236469</v>
      </c>
      <c r="DT12" s="219">
        <f t="shared" si="4"/>
        <v>0.28734769169581331</v>
      </c>
      <c r="DU12" s="219">
        <f t="shared" si="4"/>
        <v>0.80550105689262441</v>
      </c>
      <c r="DV12" s="219">
        <f t="shared" si="4"/>
        <v>0.23250688225495225</v>
      </c>
      <c r="DW12" s="219">
        <f t="shared" si="4"/>
        <v>0.15577079257621543</v>
      </c>
    </row>
    <row r="13" spans="1:127" x14ac:dyDescent="0.25">
      <c r="A13">
        <v>2033</v>
      </c>
      <c r="B13" s="223">
        <f>'[7]WACOG Calc'!C60</f>
        <v>3.5368885437239772</v>
      </c>
      <c r="C13" s="223">
        <f>'[7]WACOG Calc'!D60</f>
        <v>3.513873892863991</v>
      </c>
      <c r="D13" s="223">
        <f>'[7]WACOG Calc'!E60</f>
        <v>3.5165476056867422</v>
      </c>
      <c r="E13" s="223">
        <f>'[7]WACOG Calc'!F60</f>
        <v>3.462958578355098</v>
      </c>
      <c r="F13" s="223">
        <f>'[7]WACOG Calc'!G60</f>
        <v>3.4964228484301119</v>
      </c>
      <c r="G13" s="223">
        <f>'[7]WACOG Calc'!H60</f>
        <v>3.4823297335228705</v>
      </c>
      <c r="H13" s="223">
        <f>'[7]WACOG Calc'!I60</f>
        <v>3.3320505083876251</v>
      </c>
      <c r="I13" s="223">
        <f>'[7]WACOG Calc'!J60</f>
        <v>3.5206274833370124</v>
      </c>
      <c r="J13" s="223">
        <f>'[7]WACOG Calc'!K60</f>
        <v>3.5206274833268072</v>
      </c>
      <c r="K13" s="223">
        <f>'[7]WACOG Calc'!L60</f>
        <v>3.5223651266000275</v>
      </c>
      <c r="M13">
        <v>2033</v>
      </c>
      <c r="N13" s="154">
        <v>3.3617168396156858</v>
      </c>
      <c r="O13" s="154">
        <v>3.5891912856928592</v>
      </c>
      <c r="P13" s="154">
        <v>2.726916393734494</v>
      </c>
      <c r="Q13" s="154">
        <v>2.776173085555401</v>
      </c>
      <c r="R13" s="154">
        <v>3.003933986992422</v>
      </c>
      <c r="S13" s="154">
        <v>1.7442251352165823</v>
      </c>
      <c r="T13" s="154">
        <v>0.94859720602526099</v>
      </c>
      <c r="U13" s="154">
        <v>2.7660736344224062</v>
      </c>
      <c r="V13" s="154">
        <v>4.0586923870975307</v>
      </c>
      <c r="W13" s="154">
        <v>3.105390818993925</v>
      </c>
      <c r="Y13">
        <v>2033</v>
      </c>
      <c r="Z13" s="133">
        <v>502.44813653358295</v>
      </c>
      <c r="AA13" s="133">
        <v>502.44813653358295</v>
      </c>
      <c r="AB13" s="133">
        <v>502.44813653358295</v>
      </c>
      <c r="AC13" s="133">
        <v>502.44813653358295</v>
      </c>
      <c r="AD13" s="133">
        <v>545.3941778300109</v>
      </c>
      <c r="AE13" s="133">
        <v>761.90677155009246</v>
      </c>
      <c r="AF13" s="133">
        <v>1070.3794860347052</v>
      </c>
      <c r="AG13" s="133">
        <v>502.44813653358295</v>
      </c>
      <c r="AH13" s="133">
        <v>502.44813653358295</v>
      </c>
      <c r="AI13" s="133">
        <v>502.44813653358295</v>
      </c>
      <c r="AJ13" s="133"/>
      <c r="AK13">
        <v>2033</v>
      </c>
      <c r="AL13" s="8">
        <f>[4]UPC!V13</f>
        <v>548.00000016814613</v>
      </c>
      <c r="AM13" s="8">
        <f>[4]UPC!W13</f>
        <v>490.58589763914455</v>
      </c>
      <c r="AN13" s="8">
        <f>[4]UPC!X13</f>
        <v>510.14943684062274</v>
      </c>
      <c r="AO13" s="8">
        <f>[4]UPC!Y13</f>
        <v>433.39312853983017</v>
      </c>
      <c r="AP13" s="8">
        <f>[4]UPC!Z13</f>
        <v>516.61811623606991</v>
      </c>
      <c r="AQ13" s="8">
        <f>[4]UPC!AA13</f>
        <v>588.48286530930022</v>
      </c>
      <c r="AR13" s="8">
        <f>[4]UPC!AB13</f>
        <v>573.83716474552716</v>
      </c>
      <c r="AS13" s="8">
        <f>[4]UPC!AC13</f>
        <v>499.99739223727789</v>
      </c>
      <c r="AT13" s="8">
        <f>[4]UPC!AD13</f>
        <v>499.99739223727789</v>
      </c>
      <c r="AU13" s="8">
        <f>[4]UPC!AE13</f>
        <v>509.76105524792382</v>
      </c>
      <c r="AW13">
        <v>2033</v>
      </c>
      <c r="AX13" s="133">
        <f t="shared" si="5"/>
        <v>733.17191911495206</v>
      </c>
      <c r="AY13" s="133">
        <f t="shared" si="0"/>
        <v>896.01296554607086</v>
      </c>
      <c r="AZ13" s="133">
        <f t="shared" si="0"/>
        <v>864.46888020297638</v>
      </c>
      <c r="BA13" s="133">
        <f t="shared" si="0"/>
        <v>813.80874988260018</v>
      </c>
      <c r="BB13" s="133">
        <f t="shared" si="0"/>
        <v>927.91875071967127</v>
      </c>
      <c r="BC13" s="133">
        <f t="shared" si="0"/>
        <v>1126.1630402471699</v>
      </c>
      <c r="BD13" s="133">
        <f t="shared" si="0"/>
        <v>1385.7679657287351</v>
      </c>
      <c r="BE13" s="133">
        <f t="shared" si="0"/>
        <v>860.07097530802264</v>
      </c>
      <c r="BF13" s="133">
        <f t="shared" si="0"/>
        <v>928.12699768606308</v>
      </c>
      <c r="BG13" s="133">
        <f t="shared" si="0"/>
        <v>884.84150512821418</v>
      </c>
      <c r="BI13">
        <v>2033</v>
      </c>
      <c r="BJ13" s="219">
        <f t="shared" si="1"/>
        <v>0</v>
      </c>
      <c r="BK13" s="219">
        <f t="shared" si="1"/>
        <v>0.22210485997294094</v>
      </c>
      <c r="BL13" s="219">
        <f t="shared" si="1"/>
        <v>0.17908072808696676</v>
      </c>
      <c r="BM13" s="219">
        <f t="shared" si="1"/>
        <v>0.10998352318919799</v>
      </c>
      <c r="BN13" s="219">
        <f t="shared" si="1"/>
        <v>0.26562232748876646</v>
      </c>
      <c r="BO13" s="219">
        <f t="shared" si="1"/>
        <v>0.53601496577585339</v>
      </c>
      <c r="BP13" s="219">
        <f t="shared" si="1"/>
        <v>0.89009962002031384</v>
      </c>
      <c r="BQ13" s="219">
        <f t="shared" si="1"/>
        <v>0.17308226472483654</v>
      </c>
      <c r="BR13" s="219">
        <f t="shared" si="1"/>
        <v>0.26590636314392796</v>
      </c>
      <c r="BS13" s="219">
        <f t="shared" si="1"/>
        <v>0.20686769645562797</v>
      </c>
      <c r="BT13" s="219"/>
      <c r="BU13" s="224">
        <v>2016</v>
      </c>
      <c r="BV13" s="225">
        <v>721.27643905182106</v>
      </c>
      <c r="BW13" s="224">
        <v>573.92952289021355</v>
      </c>
      <c r="BX13" s="225"/>
      <c r="BY13" s="224">
        <v>2033</v>
      </c>
      <c r="BZ13" s="225">
        <v>1126.1630402471699</v>
      </c>
      <c r="CA13" s="224">
        <v>588.48286530930022</v>
      </c>
      <c r="CB13" s="219">
        <f t="array" ref="CB13">INDEX($BK$2:$BS$30,BY13-2021,$BU$21)</f>
        <v>0.53601496577585339</v>
      </c>
      <c r="CC13">
        <v>2033</v>
      </c>
      <c r="CD13" s="133">
        <v>2141.4385970318058</v>
      </c>
      <c r="CE13" s="133">
        <v>2141.4385970318058</v>
      </c>
      <c r="CF13" s="133">
        <v>2141.4385970318058</v>
      </c>
      <c r="CG13" s="133">
        <v>2141.4385970318058</v>
      </c>
      <c r="CH13" s="133">
        <v>2141.4385970318058</v>
      </c>
      <c r="CI13" s="133">
        <v>2141.4385970318058</v>
      </c>
      <c r="CJ13" s="133">
        <v>3051.6018168480518</v>
      </c>
      <c r="CK13" s="133">
        <v>4705.1336090709383</v>
      </c>
      <c r="CL13" s="133">
        <v>2141.4385970318058</v>
      </c>
      <c r="CM13" s="133">
        <v>2141.4385970318058</v>
      </c>
      <c r="CN13" s="133"/>
      <c r="CO13">
        <v>2033</v>
      </c>
      <c r="CP13" s="8">
        <f>[4]UPC!AZ13</f>
        <v>2935.9188322741447</v>
      </c>
      <c r="CQ13" s="8">
        <f>[4]UPC!BA13</f>
        <v>2318.2998095311054</v>
      </c>
      <c r="CR13" s="8">
        <f>[4]UPC!BB13</f>
        <v>2377.6691089114638</v>
      </c>
      <c r="CS13" s="8">
        <f>[4]UPC!BC13</f>
        <v>2017.8033742967466</v>
      </c>
      <c r="CT13" s="8">
        <f>[4]UPC!BD13</f>
        <v>2169.4866302877736</v>
      </c>
      <c r="CU13" s="8">
        <f>[4]UPC!BE13</f>
        <v>2726.1869078475884</v>
      </c>
      <c r="CV13" s="8">
        <f>[4]UPC!BF13</f>
        <v>2708.6746727719619</v>
      </c>
      <c r="CW13" s="8">
        <f>[4]UPC!BG13</f>
        <v>2365.0637411348825</v>
      </c>
      <c r="CX13" s="8">
        <f>[4]UPC!BH13</f>
        <v>2365.0637411348825</v>
      </c>
      <c r="CY13" s="8">
        <f>[4]UPC!BI13</f>
        <v>2386.9684426076233</v>
      </c>
      <c r="DA13">
        <v>2033</v>
      </c>
      <c r="DB13" s="133">
        <f t="shared" si="2"/>
        <v>3348.3719047127033</v>
      </c>
      <c r="DC13" s="133">
        <f t="shared" si="3"/>
        <v>3988.9135913758664</v>
      </c>
      <c r="DD13" s="133">
        <f t="shared" si="3"/>
        <v>3818.1019159422913</v>
      </c>
      <c r="DE13" s="133">
        <f t="shared" si="3"/>
        <v>3580.5924419843568</v>
      </c>
      <c r="DF13" s="133">
        <f t="shared" si="3"/>
        <v>3739.9214847360936</v>
      </c>
      <c r="DG13" s="133">
        <f t="shared" si="3"/>
        <v>3755.3087852233616</v>
      </c>
      <c r="DH13" s="133">
        <f t="shared" si="3"/>
        <v>4434.2777926995095</v>
      </c>
      <c r="DI13" s="133">
        <f t="shared" si="3"/>
        <v>6520.1533558325054</v>
      </c>
      <c r="DJ13" s="133">
        <f t="shared" si="3"/>
        <v>4142.4978488972847</v>
      </c>
      <c r="DK13" s="133">
        <f t="shared" si="3"/>
        <v>3920.8065661416931</v>
      </c>
      <c r="DM13">
        <v>2033</v>
      </c>
      <c r="DN13" s="219">
        <f t="shared" si="4"/>
        <v>0</v>
      </c>
      <c r="DO13" s="219">
        <f t="shared" si="4"/>
        <v>0.19129944489189674</v>
      </c>
      <c r="DP13" s="219">
        <f t="shared" si="4"/>
        <v>0.14028609264355049</v>
      </c>
      <c r="DQ13" s="219">
        <f t="shared" si="4"/>
        <v>6.9353268955820613E-2</v>
      </c>
      <c r="DR13" s="219">
        <f t="shared" si="4"/>
        <v>0.11693730301353307</v>
      </c>
      <c r="DS13" s="219">
        <f t="shared" si="4"/>
        <v>0.12153276042542062</v>
      </c>
      <c r="DT13" s="219">
        <f t="shared" si="4"/>
        <v>0.32430862487480433</v>
      </c>
      <c r="DU13" s="219">
        <f t="shared" si="4"/>
        <v>0.94726080058659046</v>
      </c>
      <c r="DV13" s="219">
        <f t="shared" si="4"/>
        <v>0.23716778386142828</v>
      </c>
      <c r="DW13" s="219">
        <f t="shared" si="4"/>
        <v>0.17095910422116201</v>
      </c>
    </row>
    <row r="14" spans="1:127" x14ac:dyDescent="0.25">
      <c r="A14">
        <v>2034</v>
      </c>
      <c r="B14" s="223">
        <f>'[7]WACOG Calc'!C61</f>
        <v>3.5735793671440303</v>
      </c>
      <c r="C14" s="223">
        <f>'[7]WACOG Calc'!D61</f>
        <v>3.5461521680360977</v>
      </c>
      <c r="D14" s="223">
        <f>'[7]WACOG Calc'!E61</f>
        <v>3.548914548027295</v>
      </c>
      <c r="E14" s="223">
        <f>'[7]WACOG Calc'!F61</f>
        <v>3.4852088064565372</v>
      </c>
      <c r="F14" s="223">
        <f>'[7]WACOG Calc'!G61</f>
        <v>3.5256914837338891</v>
      </c>
      <c r="G14" s="223">
        <f>'[7]WACOG Calc'!H61</f>
        <v>3.5005296760916496</v>
      </c>
      <c r="H14" s="223">
        <f>'[7]WACOG Calc'!I61</f>
        <v>3.3471178950169649</v>
      </c>
      <c r="I14" s="223">
        <f>'[7]WACOG Calc'!J61</f>
        <v>3.5530873830242591</v>
      </c>
      <c r="J14" s="223">
        <f>'[7]WACOG Calc'!K61</f>
        <v>3.5530873830460212</v>
      </c>
      <c r="K14" s="223">
        <f>'[7]WACOG Calc'!L61</f>
        <v>3.5560019699488659</v>
      </c>
      <c r="M14">
        <v>2034</v>
      </c>
      <c r="N14" s="154">
        <v>3.6177796188212357</v>
      </c>
      <c r="O14" s="154">
        <v>3.826451532376888</v>
      </c>
      <c r="P14" s="154">
        <v>3.003110258629806</v>
      </c>
      <c r="Q14" s="154">
        <v>3.0999811441174394</v>
      </c>
      <c r="R14" s="154">
        <v>3.3442718707818786</v>
      </c>
      <c r="S14" s="154">
        <v>1.9503663754280116</v>
      </c>
      <c r="T14" s="154">
        <v>1.0102748536564365</v>
      </c>
      <c r="U14" s="154">
        <v>2.9760892209393877</v>
      </c>
      <c r="V14" s="154">
        <v>4.2972480193672551</v>
      </c>
      <c r="W14" s="154">
        <v>3.3368052342824286</v>
      </c>
      <c r="Y14">
        <v>2034</v>
      </c>
      <c r="Z14" s="133">
        <v>501.23153653358293</v>
      </c>
      <c r="AA14" s="133">
        <v>501.23153653358293</v>
      </c>
      <c r="AB14" s="133">
        <v>501.23153653358293</v>
      </c>
      <c r="AC14" s="133">
        <v>501.23153653358293</v>
      </c>
      <c r="AD14" s="133">
        <v>551.54377071248166</v>
      </c>
      <c r="AE14" s="133">
        <v>798.52105020666113</v>
      </c>
      <c r="AF14" s="133">
        <v>1190.215779028159</v>
      </c>
      <c r="AG14" s="133">
        <v>501.23153653358293</v>
      </c>
      <c r="AH14" s="133">
        <v>501.23153653358293</v>
      </c>
      <c r="AI14" s="133">
        <v>501.23153653358293</v>
      </c>
      <c r="AJ14" s="133"/>
      <c r="AK14">
        <v>2034</v>
      </c>
      <c r="AL14" s="8">
        <f>[4]UPC!V14</f>
        <v>541.60506561517002</v>
      </c>
      <c r="AM14" s="8">
        <f>[4]UPC!W14</f>
        <v>477.10753261929767</v>
      </c>
      <c r="AN14" s="8">
        <f>[4]UPC!X14</f>
        <v>497.10968734379315</v>
      </c>
      <c r="AO14" s="8">
        <f>[4]UPC!Y14</f>
        <v>415.30032137725476</v>
      </c>
      <c r="AP14" s="8">
        <f>[4]UPC!Z14</f>
        <v>506.17137703234226</v>
      </c>
      <c r="AQ14" s="8">
        <f>[4]UPC!AA14</f>
        <v>586.05192086459067</v>
      </c>
      <c r="AR14" s="8">
        <f>[4]UPC!AB14</f>
        <v>569.81825487821004</v>
      </c>
      <c r="AS14" s="8">
        <f>[4]UPC!AC14</f>
        <v>486.21478409371429</v>
      </c>
      <c r="AT14" s="8">
        <f>[4]UPC!AD14</f>
        <v>486.21478409371429</v>
      </c>
      <c r="AU14" s="8">
        <f>[4]UPC!AE14</f>
        <v>497.76413583013004</v>
      </c>
      <c r="AW14">
        <v>2034</v>
      </c>
      <c r="AX14" s="133">
        <f t="shared" si="5"/>
        <v>731.60166077657107</v>
      </c>
      <c r="AY14" s="133">
        <f t="shared" si="0"/>
        <v>898.19216524882199</v>
      </c>
      <c r="AZ14" s="133">
        <f t="shared" si="0"/>
        <v>870.76680579693391</v>
      </c>
      <c r="BA14" s="133">
        <f t="shared" si="0"/>
        <v>815.77456521508623</v>
      </c>
      <c r="BB14" s="133">
        <f t="shared" si="0"/>
        <v>946.94357939192071</v>
      </c>
      <c r="BC14" s="133">
        <f t="shared" si="0"/>
        <v>1177.2243689478046</v>
      </c>
      <c r="BD14" s="133">
        <f t="shared" si="0"/>
        <v>1514.7488947423565</v>
      </c>
      <c r="BE14" s="133">
        <f t="shared" si="0"/>
        <v>862.08031287232575</v>
      </c>
      <c r="BF14" s="133">
        <f t="shared" si="0"/>
        <v>929.72155164818651</v>
      </c>
      <c r="BG14" s="133">
        <f t="shared" si="0"/>
        <v>889.08028888937804</v>
      </c>
      <c r="BI14">
        <v>2034</v>
      </c>
      <c r="BJ14" s="219">
        <f t="shared" si="1"/>
        <v>0</v>
      </c>
      <c r="BK14" s="219">
        <f t="shared" si="1"/>
        <v>0.22770656957697524</v>
      </c>
      <c r="BL14" s="219">
        <f t="shared" si="1"/>
        <v>0.19021983202258402</v>
      </c>
      <c r="BM14" s="219">
        <f t="shared" si="1"/>
        <v>0.11505291602149781</v>
      </c>
      <c r="BN14" s="219">
        <f t="shared" si="1"/>
        <v>0.29434312435372451</v>
      </c>
      <c r="BO14" s="219">
        <f t="shared" si="1"/>
        <v>0.60910565415914952</v>
      </c>
      <c r="BP14" s="219">
        <f t="shared" si="1"/>
        <v>1.0704557902923573</v>
      </c>
      <c r="BQ14" s="219">
        <f t="shared" si="1"/>
        <v>0.17834657723064201</v>
      </c>
      <c r="BR14" s="219">
        <f t="shared" si="1"/>
        <v>0.27080295397541565</v>
      </c>
      <c r="BS14" s="219">
        <f t="shared" si="1"/>
        <v>0.21525187346574445</v>
      </c>
      <c r="BT14" s="219"/>
      <c r="BU14" s="224">
        <v>2017</v>
      </c>
      <c r="BV14" s="225">
        <v>808.39890220156258</v>
      </c>
      <c r="BW14" s="224">
        <v>691.68919255620392</v>
      </c>
      <c r="BX14" s="225"/>
      <c r="BY14" s="224">
        <v>2034</v>
      </c>
      <c r="BZ14" s="225">
        <v>1177.2243689478046</v>
      </c>
      <c r="CA14" s="224">
        <v>586.05192086459067</v>
      </c>
      <c r="CB14" s="219">
        <f t="array" ref="CB14">INDEX($BK$2:$BS$30,BY14-2021,$BU$21)</f>
        <v>0.60910565415914952</v>
      </c>
      <c r="CC14">
        <v>2034</v>
      </c>
      <c r="CD14" s="133">
        <v>2156.4385970318058</v>
      </c>
      <c r="CE14" s="133">
        <v>2156.4385970318058</v>
      </c>
      <c r="CF14" s="133">
        <v>2156.4385970318058</v>
      </c>
      <c r="CG14" s="133">
        <v>2156.4385970318058</v>
      </c>
      <c r="CH14" s="133">
        <v>2156.4385970318058</v>
      </c>
      <c r="CI14" s="133">
        <v>2156.4385970318058</v>
      </c>
      <c r="CJ14" s="133">
        <v>3201.8352847635729</v>
      </c>
      <c r="CK14" s="133">
        <v>5295.2796047199299</v>
      </c>
      <c r="CL14" s="133">
        <v>2156.4385970318058</v>
      </c>
      <c r="CM14" s="133">
        <v>2156.4385970318058</v>
      </c>
      <c r="CN14" s="133"/>
      <c r="CO14">
        <v>2034</v>
      </c>
      <c r="CP14" s="8">
        <f>[4]UPC!AZ14</f>
        <v>2943.2463398913528</v>
      </c>
      <c r="CQ14" s="8">
        <f>[4]UPC!BA14</f>
        <v>2285.7170108086884</v>
      </c>
      <c r="CR14" s="8">
        <f>[4]UPC!BB14</f>
        <v>2348.7755532837232</v>
      </c>
      <c r="CS14" s="8">
        <f>[4]UPC!BC14</f>
        <v>1958.6204312010957</v>
      </c>
      <c r="CT14" s="8">
        <f>[4]UPC!BD14</f>
        <v>2123.7237576752432</v>
      </c>
      <c r="CU14" s="8">
        <f>[4]UPC!BE14</f>
        <v>2718.9081026724884</v>
      </c>
      <c r="CV14" s="8">
        <f>[4]UPC!BF14</f>
        <v>2702.9820657106497</v>
      </c>
      <c r="CW14" s="8">
        <f>[4]UPC!BG14</f>
        <v>2331.2142569986013</v>
      </c>
      <c r="CX14" s="8">
        <f>[4]UPC!BH14</f>
        <v>2331.2142569986013</v>
      </c>
      <c r="CY14" s="8">
        <f>[4]UPC!BI14</f>
        <v>2358.2376418603244</v>
      </c>
      <c r="DA14">
        <v>2034</v>
      </c>
      <c r="DB14" s="133">
        <f t="shared" si="2"/>
        <v>3378.2672812213705</v>
      </c>
      <c r="DC14" s="133">
        <f t="shared" si="3"/>
        <v>4045.2123460405164</v>
      </c>
      <c r="DD14" s="133">
        <f t="shared" si="3"/>
        <v>3891.2163608720016</v>
      </c>
      <c r="DE14" s="133">
        <f t="shared" si="3"/>
        <v>3628.8774049047556</v>
      </c>
      <c r="DF14" s="133">
        <f t="shared" si="3"/>
        <v>3807.0467749776558</v>
      </c>
      <c r="DG14" s="133">
        <f t="shared" si="3"/>
        <v>3831.3269596436216</v>
      </c>
      <c r="DH14" s="133">
        <f t="shared" si="3"/>
        <v>4611.7511587487115</v>
      </c>
      <c r="DI14" s="133">
        <f t="shared" si="3"/>
        <v>7178.691203136058</v>
      </c>
      <c r="DJ14" s="133">
        <f t="shared" si="3"/>
        <v>4197.805537112491</v>
      </c>
      <c r="DK14" s="133">
        <f t="shared" si="3"/>
        <v>3982.3684336425704</v>
      </c>
      <c r="DM14">
        <v>2034</v>
      </c>
      <c r="DN14" s="219">
        <f t="shared" si="4"/>
        <v>0</v>
      </c>
      <c r="DO14" s="219">
        <f t="shared" si="4"/>
        <v>0.19742223136886322</v>
      </c>
      <c r="DP14" s="219">
        <f t="shared" si="4"/>
        <v>0.15183792072993726</v>
      </c>
      <c r="DQ14" s="219">
        <f t="shared" si="4"/>
        <v>7.4183036101507102E-2</v>
      </c>
      <c r="DR14" s="219">
        <f t="shared" si="4"/>
        <v>0.12692290398090272</v>
      </c>
      <c r="DS14" s="219">
        <f t="shared" si="4"/>
        <v>0.13411007499041139</v>
      </c>
      <c r="DT14" s="219">
        <f t="shared" si="4"/>
        <v>0.36512323473748065</v>
      </c>
      <c r="DU14" s="219">
        <f t="shared" si="4"/>
        <v>1.1249624750060307</v>
      </c>
      <c r="DV14" s="219">
        <f t="shared" si="4"/>
        <v>0.24259130130012291</v>
      </c>
      <c r="DW14" s="219">
        <f t="shared" si="4"/>
        <v>0.17881982156331772</v>
      </c>
    </row>
    <row r="15" spans="1:127" x14ac:dyDescent="0.25">
      <c r="A15">
        <v>2035</v>
      </c>
      <c r="B15" s="223">
        <f>'[7]WACOG Calc'!C62</f>
        <v>3.5839461624550752</v>
      </c>
      <c r="C15" s="223">
        <f>'[7]WACOG Calc'!D62</f>
        <v>3.5524950287718458</v>
      </c>
      <c r="D15" s="223">
        <f>'[7]WACOG Calc'!E62</f>
        <v>3.5548678815506913</v>
      </c>
      <c r="E15" s="223">
        <f>'[7]WACOG Calc'!F62</f>
        <v>3.4852168408508679</v>
      </c>
      <c r="F15" s="223">
        <f>'[7]WACOG Calc'!G62</f>
        <v>3.5285364301955675</v>
      </c>
      <c r="G15" s="223">
        <f>'[7]WACOG Calc'!H62</f>
        <v>3.4985802763702174</v>
      </c>
      <c r="H15" s="223">
        <f>'[7]WACOG Calc'!I62</f>
        <v>3.3701504017566677</v>
      </c>
      <c r="I15" s="223">
        <f>'[7]WACOG Calc'!J62</f>
        <v>3.559430903768162</v>
      </c>
      <c r="J15" s="223">
        <f>'[7]WACOG Calc'!K62</f>
        <v>3.5594309038306018</v>
      </c>
      <c r="K15" s="223">
        <f>'[7]WACOG Calc'!L62</f>
        <v>3.5636068996914942</v>
      </c>
      <c r="M15">
        <v>2035</v>
      </c>
      <c r="N15" s="154">
        <v>4.1148345855330488</v>
      </c>
      <c r="O15" s="154">
        <v>4.0923533658565301</v>
      </c>
      <c r="P15" s="154">
        <v>3.3293072486481607</v>
      </c>
      <c r="Q15" s="154">
        <v>3.3602907217566398</v>
      </c>
      <c r="R15" s="154">
        <v>3.6057591082921405</v>
      </c>
      <c r="S15" s="154">
        <v>2.17256851013041</v>
      </c>
      <c r="T15" s="154">
        <v>1.0795222707371379</v>
      </c>
      <c r="U15" s="154">
        <v>3.2335102142081142</v>
      </c>
      <c r="V15" s="154">
        <v>6.1568740244774176</v>
      </c>
      <c r="W15" s="154">
        <v>3.6013436391362932</v>
      </c>
      <c r="Y15">
        <v>2035</v>
      </c>
      <c r="Z15" s="133">
        <v>500.01493653358295</v>
      </c>
      <c r="AA15" s="133">
        <v>500.01493653358295</v>
      </c>
      <c r="AB15" s="133">
        <v>500.01493653358295</v>
      </c>
      <c r="AC15" s="133">
        <v>500.01493653358295</v>
      </c>
      <c r="AD15" s="133">
        <v>557.64614503144219</v>
      </c>
      <c r="AE15" s="133">
        <v>838.44854524604796</v>
      </c>
      <c r="AF15" s="133">
        <v>1339.2930964526176</v>
      </c>
      <c r="AG15" s="133">
        <v>500.01493653358295</v>
      </c>
      <c r="AH15" s="133">
        <v>500.01493653358295</v>
      </c>
      <c r="AI15" s="133">
        <v>500.01493653358295</v>
      </c>
      <c r="AJ15" s="133"/>
      <c r="AK15">
        <v>2035</v>
      </c>
      <c r="AL15" s="8">
        <f>[4]UPC!V15</f>
        <v>535.77528889476298</v>
      </c>
      <c r="AM15" s="8">
        <f>[4]UPC!W15</f>
        <v>464.65030385349854</v>
      </c>
      <c r="AN15" s="8">
        <f>[4]UPC!X15</f>
        <v>484.66450862612243</v>
      </c>
      <c r="AO15" s="8">
        <f>[4]UPC!Y15</f>
        <v>398.3962594800164</v>
      </c>
      <c r="AP15" s="8">
        <f>[4]UPC!Z15</f>
        <v>496.1443001008584</v>
      </c>
      <c r="AQ15" s="8">
        <f>[4]UPC!AA15</f>
        <v>583.80202566803655</v>
      </c>
      <c r="AR15" s="8">
        <f>[4]UPC!AB15</f>
        <v>565.72557023918739</v>
      </c>
      <c r="AS15" s="8">
        <f>[4]UPC!AC15</f>
        <v>473.49209299798815</v>
      </c>
      <c r="AT15" s="8">
        <f>[4]UPC!AD15</f>
        <v>473.49209299798815</v>
      </c>
      <c r="AU15" s="8">
        <f>[4]UPC!AE15</f>
        <v>486.73214601275612</v>
      </c>
      <c r="AW15">
        <v>2035</v>
      </c>
      <c r="AX15" s="133">
        <f t="shared" si="5"/>
        <v>728.71171311716239</v>
      </c>
      <c r="AY15" s="133">
        <f t="shared" si="0"/>
        <v>900.56040110389665</v>
      </c>
      <c r="AZ15" s="133">
        <f t="shared" si="0"/>
        <v>877.85079523816489</v>
      </c>
      <c r="BA15" s="133">
        <f t="shared" si="0"/>
        <v>813.69247930644281</v>
      </c>
      <c r="BB15" s="133">
        <f t="shared" si="0"/>
        <v>959.92548973694954</v>
      </c>
      <c r="BC15" s="133">
        <f t="shared" si="0"/>
        <v>1231.5165222784244</v>
      </c>
      <c r="BD15" s="133">
        <f t="shared" si="0"/>
        <v>1675.3466477001637</v>
      </c>
      <c r="BE15" s="133">
        <f t="shared" si="0"/>
        <v>865.20305963621308</v>
      </c>
      <c r="BF15" s="133">
        <f t="shared" si="0"/>
        <v>1010.9582296915555</v>
      </c>
      <c r="BG15" s="133">
        <f t="shared" si="0"/>
        <v>893.74018563849927</v>
      </c>
      <c r="BI15">
        <v>2035</v>
      </c>
      <c r="BJ15" s="219">
        <f t="shared" si="1"/>
        <v>0</v>
      </c>
      <c r="BK15" s="219">
        <f t="shared" si="1"/>
        <v>0.23582534065718305</v>
      </c>
      <c r="BL15" s="219">
        <f t="shared" si="1"/>
        <v>0.20466129394714958</v>
      </c>
      <c r="BM15" s="219">
        <f t="shared" si="1"/>
        <v>0.11661781286012785</v>
      </c>
      <c r="BN15" s="219">
        <f t="shared" si="1"/>
        <v>0.31729114882858012</v>
      </c>
      <c r="BO15" s="219">
        <f t="shared" si="1"/>
        <v>0.68999139180904179</v>
      </c>
      <c r="BP15" s="219">
        <f t="shared" si="1"/>
        <v>1.2990527221439092</v>
      </c>
      <c r="BQ15" s="219">
        <f t="shared" si="1"/>
        <v>0.18730499875621678</v>
      </c>
      <c r="BR15" s="219">
        <f t="shared" si="1"/>
        <v>0.38732260164591792</v>
      </c>
      <c r="BS15" s="219">
        <f t="shared" si="1"/>
        <v>0.226466062711419</v>
      </c>
      <c r="BT15" s="219"/>
      <c r="BU15" s="224">
        <v>2018</v>
      </c>
      <c r="BV15" s="225">
        <v>656.59939316963823</v>
      </c>
      <c r="BW15" s="224">
        <v>602.10823903367248</v>
      </c>
      <c r="BX15" s="225"/>
      <c r="BY15" s="224">
        <v>2035</v>
      </c>
      <c r="BZ15" s="225">
        <v>1231.5165222784244</v>
      </c>
      <c r="CA15" s="224">
        <v>583.80202566803655</v>
      </c>
      <c r="CB15" s="219">
        <f t="array" ref="CB15">INDEX($BK$2:$BS$30,BY15-2021,$BU$21)</f>
        <v>0.68999139180904179</v>
      </c>
      <c r="CC15">
        <v>2035</v>
      </c>
      <c r="CD15" s="133">
        <v>2171.4385970318058</v>
      </c>
      <c r="CE15" s="133">
        <v>2171.4385970318058</v>
      </c>
      <c r="CF15" s="133">
        <v>2171.4385970318058</v>
      </c>
      <c r="CG15" s="133">
        <v>2171.4385970318058</v>
      </c>
      <c r="CH15" s="133">
        <v>2171.4385970318058</v>
      </c>
      <c r="CI15" s="133">
        <v>2171.4385970318058</v>
      </c>
      <c r="CJ15" s="133">
        <v>3366.6594919656277</v>
      </c>
      <c r="CK15" s="133">
        <v>6052.2237046524788</v>
      </c>
      <c r="CL15" s="133">
        <v>2171.4385970318058</v>
      </c>
      <c r="CM15" s="133">
        <v>2171.4385970318058</v>
      </c>
      <c r="CN15" s="133"/>
      <c r="CO15">
        <v>2035</v>
      </c>
      <c r="CP15" s="8">
        <f>[4]UPC!AZ15</f>
        <v>2951.1841205234332</v>
      </c>
      <c r="CQ15" s="8">
        <f>[4]UPC!BA15</f>
        <v>2259.7268122254759</v>
      </c>
      <c r="CR15" s="8">
        <f>[4]UPC!BB15</f>
        <v>2325.7690267354942</v>
      </c>
      <c r="CS15" s="8">
        <f>[4]UPC!BC15</f>
        <v>1906.5746591340353</v>
      </c>
      <c r="CT15" s="8">
        <f>[4]UPC!BD15</f>
        <v>2083.6751913691019</v>
      </c>
      <c r="CU15" s="8">
        <f>[4]UPC!BE15</f>
        <v>2712.4723831122387</v>
      </c>
      <c r="CV15" s="8">
        <f>[4]UPC!BF15</f>
        <v>2698.483680954062</v>
      </c>
      <c r="CW15" s="8">
        <f>[4]UPC!BG15</f>
        <v>2304.1504844787228</v>
      </c>
      <c r="CX15" s="8">
        <f>[4]UPC!BH15</f>
        <v>2304.1504844787228</v>
      </c>
      <c r="CY15" s="8">
        <f>[4]UPC!BI15</f>
        <v>2335.9948322353507</v>
      </c>
      <c r="DA15">
        <v>2035</v>
      </c>
      <c r="DB15" s="133">
        <f t="shared" si="2"/>
        <v>3400.2708335375987</v>
      </c>
      <c r="DC15" s="133">
        <f t="shared" si="3"/>
        <v>4105.6106570800794</v>
      </c>
      <c r="DD15" s="133">
        <f t="shared" si="3"/>
        <v>3972.4832787683472</v>
      </c>
      <c r="DE15" s="133">
        <f t="shared" si="3"/>
        <v>3660.8447650655007</v>
      </c>
      <c r="DF15" s="133">
        <f t="shared" si="3"/>
        <v>3851.8677443123447</v>
      </c>
      <c r="DG15" s="133">
        <f t="shared" si="3"/>
        <v>3906.3373117235233</v>
      </c>
      <c r="DH15" s="133">
        <f t="shared" si="3"/>
        <v>4809.4684104602366</v>
      </c>
      <c r="DI15" s="133">
        <f t="shared" si="3"/>
        <v>8021.1427982116156</v>
      </c>
      <c r="DJ15" s="133">
        <f t="shared" si="3"/>
        <v>4643.9632056167757</v>
      </c>
      <c r="DK15" s="133">
        <f t="shared" si="3"/>
        <v>4048.9612092560465</v>
      </c>
      <c r="DM15">
        <v>2035</v>
      </c>
      <c r="DN15" s="219">
        <f t="shared" si="4"/>
        <v>0</v>
      </c>
      <c r="DO15" s="219">
        <f t="shared" si="4"/>
        <v>0.20743636553464009</v>
      </c>
      <c r="DP15" s="219">
        <f t="shared" si="4"/>
        <v>0.16828437299373175</v>
      </c>
      <c r="DQ15" s="219">
        <f t="shared" si="4"/>
        <v>7.6633287254005047E-2</v>
      </c>
      <c r="DR15" s="219">
        <f t="shared" si="4"/>
        <v>0.13281204141756858</v>
      </c>
      <c r="DS15" s="219">
        <f t="shared" si="4"/>
        <v>0.14883122638187599</v>
      </c>
      <c r="DT15" s="219">
        <f t="shared" si="4"/>
        <v>0.41443686280028658</v>
      </c>
      <c r="DU15" s="219">
        <f t="shared" si="4"/>
        <v>1.3589717381031441</v>
      </c>
      <c r="DV15" s="219">
        <f t="shared" si="4"/>
        <v>0.36576273860669362</v>
      </c>
      <c r="DW15" s="219">
        <f t="shared" si="4"/>
        <v>0.19077609033970935</v>
      </c>
    </row>
    <row r="16" spans="1:127" x14ac:dyDescent="0.25">
      <c r="A16">
        <v>2036</v>
      </c>
      <c r="B16" s="223">
        <f>'[7]WACOG Calc'!C63</f>
        <v>3.6443598663450714</v>
      </c>
      <c r="C16" s="223">
        <f>'[7]WACOG Calc'!D63</f>
        <v>3.6076033760143806</v>
      </c>
      <c r="D16" s="223">
        <f>'[7]WACOG Calc'!E63</f>
        <v>3.6085413082541513</v>
      </c>
      <c r="E16" s="223">
        <f>'[7]WACOG Calc'!F63</f>
        <v>3.5363660679696296</v>
      </c>
      <c r="F16" s="223">
        <f>'[7]WACOG Calc'!G63</f>
        <v>3.5806777786885995</v>
      </c>
      <c r="G16" s="223">
        <f>'[7]WACOG Calc'!H63</f>
        <v>3.5441647036519144</v>
      </c>
      <c r="H16" s="223">
        <f>'[7]WACOG Calc'!I63</f>
        <v>3.3896761975453114</v>
      </c>
      <c r="I16" s="223">
        <f>'[7]WACOG Calc'!J63</f>
        <v>3.6142335889470414</v>
      </c>
      <c r="J16" s="223">
        <f>'[7]WACOG Calc'!K63</f>
        <v>3.614233588913307</v>
      </c>
      <c r="K16" s="223">
        <f>'[7]WACOG Calc'!L63</f>
        <v>3.6197373919121594</v>
      </c>
      <c r="M16">
        <v>2036</v>
      </c>
      <c r="N16" s="154">
        <v>5.1504225405199033</v>
      </c>
      <c r="O16" s="154">
        <v>4.3570246530882635</v>
      </c>
      <c r="P16" s="154">
        <v>3.7364534649011318</v>
      </c>
      <c r="Q16" s="154">
        <v>3.60563881611237</v>
      </c>
      <c r="R16" s="154">
        <v>3.8317312632160894</v>
      </c>
      <c r="S16" s="154">
        <v>2.3375328841732239</v>
      </c>
      <c r="T16" s="154">
        <v>1.1505444255871033</v>
      </c>
      <c r="U16" s="154">
        <v>3.2588316593474249</v>
      </c>
      <c r="V16" s="154">
        <v>6.8160711406204451</v>
      </c>
      <c r="W16" s="154">
        <v>3.882413745927455</v>
      </c>
      <c r="Y16">
        <v>2036</v>
      </c>
      <c r="Z16" s="133">
        <v>498.79833653358293</v>
      </c>
      <c r="AA16" s="133">
        <v>498.79833653358293</v>
      </c>
      <c r="AB16" s="133">
        <v>498.79833653358293</v>
      </c>
      <c r="AC16" s="133">
        <v>498.79833653358293</v>
      </c>
      <c r="AD16" s="133">
        <v>563.6726200328693</v>
      </c>
      <c r="AE16" s="133">
        <v>882.14612937396032</v>
      </c>
      <c r="AF16" s="133">
        <v>1529.8938102120394</v>
      </c>
      <c r="AG16" s="133">
        <v>498.79833653358293</v>
      </c>
      <c r="AH16" s="133">
        <v>498.79833653358293</v>
      </c>
      <c r="AI16" s="133">
        <v>498.79833653358293</v>
      </c>
      <c r="AJ16" s="133"/>
      <c r="AK16">
        <v>2036</v>
      </c>
      <c r="AL16" s="8">
        <f>[4]UPC!V16</f>
        <v>533.21252076764483</v>
      </c>
      <c r="AM16" s="8">
        <f>[4]UPC!W16</f>
        <v>455.01774728850592</v>
      </c>
      <c r="AN16" s="8">
        <f>[4]UPC!X16</f>
        <v>474.42696199518275</v>
      </c>
      <c r="AO16" s="8">
        <f>[4]UPC!Y16</f>
        <v>384.81426488846347</v>
      </c>
      <c r="AP16" s="8">
        <f>[4]UPC!Z16</f>
        <v>489.28468053496152</v>
      </c>
      <c r="AQ16" s="8">
        <f>[4]UPC!AA16</f>
        <v>585.01418874111653</v>
      </c>
      <c r="AR16" s="8">
        <f>[4]UPC!AB16</f>
        <v>564.702532058207</v>
      </c>
      <c r="AS16" s="8">
        <f>[4]UPC!AC16</f>
        <v>463.59140055259866</v>
      </c>
      <c r="AT16" s="8">
        <f>[4]UPC!AD16</f>
        <v>463.59140055259866</v>
      </c>
      <c r="AU16" s="8">
        <f>[4]UPC!AE16</f>
        <v>478.52542742910259</v>
      </c>
      <c r="AW16">
        <v>2036</v>
      </c>
      <c r="AX16" s="133">
        <f t="shared" si="5"/>
        <v>729.8555365095591</v>
      </c>
      <c r="AY16" s="133">
        <f t="shared" si="0"/>
        <v>906.84680839928444</v>
      </c>
      <c r="AZ16" s="133">
        <f t="shared" si="0"/>
        <v>892.16972082704081</v>
      </c>
      <c r="BA16" s="133">
        <f t="shared" si="0"/>
        <v>814.63541470392443</v>
      </c>
      <c r="BB16" s="133">
        <f t="shared" si="0"/>
        <v>975.44701230822375</v>
      </c>
      <c r="BC16" s="133">
        <f t="shared" si="0"/>
        <v>1291.2241741836299</v>
      </c>
      <c r="BD16" s="133">
        <f t="shared" si="0"/>
        <v>1880.9541229863785</v>
      </c>
      <c r="BE16" s="133">
        <f t="shared" si="0"/>
        <v>860.75140073058037</v>
      </c>
      <c r="BF16" s="133">
        <f t="shared" si="0"/>
        <v>1034.4022239074586</v>
      </c>
      <c r="BG16" s="133">
        <f t="shared" si="0"/>
        <v>903.25849778042959</v>
      </c>
      <c r="BI16">
        <v>2036</v>
      </c>
      <c r="BJ16" s="219">
        <f t="shared" si="1"/>
        <v>0</v>
      </c>
      <c r="BK16" s="219">
        <f t="shared" si="1"/>
        <v>0.24250178704701411</v>
      </c>
      <c r="BL16" s="219">
        <f t="shared" si="1"/>
        <v>0.22239220804397616</v>
      </c>
      <c r="BM16" s="219">
        <f t="shared" si="1"/>
        <v>0.11615980691167223</v>
      </c>
      <c r="BN16" s="219">
        <f t="shared" si="1"/>
        <v>0.336493269576572</v>
      </c>
      <c r="BO16" s="219">
        <f t="shared" si="1"/>
        <v>0.76915034495558476</v>
      </c>
      <c r="BP16" s="219">
        <f t="shared" si="1"/>
        <v>1.5771594910162654</v>
      </c>
      <c r="BQ16" s="219">
        <f t="shared" si="1"/>
        <v>0.1793448945349021</v>
      </c>
      <c r="BR16" s="219">
        <f t="shared" si="1"/>
        <v>0.41726981870186963</v>
      </c>
      <c r="BS16" s="219">
        <f t="shared" si="1"/>
        <v>0.23758532010341116</v>
      </c>
      <c r="BT16" s="219"/>
      <c r="BU16" s="224">
        <v>2019</v>
      </c>
      <c r="BV16" s="225">
        <v>680.3485859851761</v>
      </c>
      <c r="BW16" s="224">
        <v>657.51837076888887</v>
      </c>
      <c r="BX16" s="225"/>
      <c r="BY16" s="224">
        <v>2036</v>
      </c>
      <c r="BZ16" s="225">
        <v>1291.2241741836299</v>
      </c>
      <c r="CA16" s="224">
        <v>585.01418874111653</v>
      </c>
      <c r="CB16" s="219">
        <f t="array" ref="CB16">INDEX($BK$2:$BS$30,BY16-2021,$BU$21)</f>
        <v>0.76915034495558476</v>
      </c>
      <c r="CC16">
        <v>2036</v>
      </c>
      <c r="CD16" s="133">
        <v>2186.4385970318058</v>
      </c>
      <c r="CE16" s="133">
        <v>2186.4385970318058</v>
      </c>
      <c r="CF16" s="133">
        <v>2186.4385970318058</v>
      </c>
      <c r="CG16" s="133">
        <v>2186.4385970318058</v>
      </c>
      <c r="CH16" s="133">
        <v>2186.4385970318058</v>
      </c>
      <c r="CI16" s="133">
        <v>2186.4385970318058</v>
      </c>
      <c r="CJ16" s="133">
        <v>3547.7293229439106</v>
      </c>
      <c r="CK16" s="133">
        <v>7057.132977489895</v>
      </c>
      <c r="CL16" s="133">
        <v>2186.4385970318058</v>
      </c>
      <c r="CM16" s="133">
        <v>2186.4385970318058</v>
      </c>
      <c r="CN16" s="133"/>
      <c r="CO16">
        <v>2036</v>
      </c>
      <c r="CP16" s="8">
        <f>[4]UPC!AZ16</f>
        <v>2974.8876181737432</v>
      </c>
      <c r="CQ16" s="8">
        <f>[4]UPC!BA16</f>
        <v>2248.8145710878998</v>
      </c>
      <c r="CR16" s="8">
        <f>[4]UPC!BB16</f>
        <v>2316.0438968010994</v>
      </c>
      <c r="CS16" s="8">
        <f>[4]UPC!BC16</f>
        <v>1871.4534527837593</v>
      </c>
      <c r="CT16" s="8">
        <f>[4]UPC!BD16</f>
        <v>2059.4502045178888</v>
      </c>
      <c r="CU16" s="8">
        <f>[4]UPC!BE16</f>
        <v>2721.3296257619609</v>
      </c>
      <c r="CV16" s="8">
        <f>[4]UPC!BF16</f>
        <v>2709.7480360807849</v>
      </c>
      <c r="CW16" s="8">
        <f>[4]UPC!BG16</f>
        <v>2292.1680674390464</v>
      </c>
      <c r="CX16" s="8">
        <f>[4]UPC!BH16</f>
        <v>2292.1680674390464</v>
      </c>
      <c r="CY16" s="8">
        <f>[4]UPC!BI16</f>
        <v>2328.8896920117868</v>
      </c>
      <c r="DA16">
        <v>2036</v>
      </c>
      <c r="DB16" s="133">
        <f t="shared" si="2"/>
        <v>3443.9362204559829</v>
      </c>
      <c r="DC16" s="133">
        <f t="shared" si="3"/>
        <v>4188.3451484838524</v>
      </c>
      <c r="DD16" s="133">
        <f t="shared" si="3"/>
        <v>4093.6129249916507</v>
      </c>
      <c r="DE16" s="133">
        <f t="shared" si="3"/>
        <v>3709.7522400964676</v>
      </c>
      <c r="DF16" s="133">
        <f t="shared" si="3"/>
        <v>3909.7756571883779</v>
      </c>
      <c r="DG16" s="133">
        <f t="shared" si="3"/>
        <v>3987.7556330728753</v>
      </c>
      <c r="DH16" s="133">
        <f t="shared" si="3"/>
        <v>5031.2494945101962</v>
      </c>
      <c r="DI16" s="133">
        <f t="shared" si="3"/>
        <v>9090.0804636975154</v>
      </c>
      <c r="DJ16" s="133">
        <f t="shared" si="3"/>
        <v>4819.8334467479508</v>
      </c>
      <c r="DK16" s="133">
        <f t="shared" si="3"/>
        <v>4142.0880049574034</v>
      </c>
      <c r="DM16">
        <v>2036</v>
      </c>
      <c r="DN16" s="219">
        <f t="shared" si="4"/>
        <v>0</v>
      </c>
      <c r="DO16" s="219">
        <f t="shared" si="4"/>
        <v>0.21615061382562667</v>
      </c>
      <c r="DP16" s="219">
        <f t="shared" si="4"/>
        <v>0.18864365160910254</v>
      </c>
      <c r="DQ16" s="219">
        <f t="shared" si="4"/>
        <v>7.7183781180851896E-2</v>
      </c>
      <c r="DR16" s="219">
        <f t="shared" si="4"/>
        <v>0.1352636654434666</v>
      </c>
      <c r="DS16" s="219">
        <f t="shared" si="4"/>
        <v>0.15790635418471535</v>
      </c>
      <c r="DT16" s="219">
        <f t="shared" si="4"/>
        <v>0.46090089143522245</v>
      </c>
      <c r="DU16" s="219">
        <f t="shared" si="4"/>
        <v>1.6394450657085553</v>
      </c>
      <c r="DV16" s="219">
        <f t="shared" si="4"/>
        <v>0.39951298114045697</v>
      </c>
      <c r="DW16" s="219">
        <f t="shared" si="4"/>
        <v>0.20271913874438244</v>
      </c>
    </row>
    <row r="17" spans="1:127" x14ac:dyDescent="0.25">
      <c r="A17">
        <v>2037</v>
      </c>
      <c r="B17" s="223">
        <f>'[7]WACOG Calc'!C64</f>
        <v>3.6693730545684771</v>
      </c>
      <c r="C17" s="223">
        <f>'[7]WACOG Calc'!D64</f>
        <v>3.6302435290696269</v>
      </c>
      <c r="D17" s="223">
        <f>'[7]WACOG Calc'!E64</f>
        <v>3.630446615382251</v>
      </c>
      <c r="E17" s="223">
        <f>'[7]WACOG Calc'!F64</f>
        <v>3.5468948328441838</v>
      </c>
      <c r="F17" s="223">
        <f>'[7]WACOG Calc'!G64</f>
        <v>3.5955730119406417</v>
      </c>
      <c r="G17" s="223">
        <f>'[7]WACOG Calc'!H64</f>
        <v>3.5568881684963229</v>
      </c>
      <c r="H17" s="223">
        <f>'[7]WACOG Calc'!I64</f>
        <v>3.3786095964175846</v>
      </c>
      <c r="I17" s="223">
        <f>'[7]WACOG Calc'!J64</f>
        <v>3.6372417030299138</v>
      </c>
      <c r="J17" s="223">
        <f>'[7]WACOG Calc'!K64</f>
        <v>3.637241703097585</v>
      </c>
      <c r="K17" s="223">
        <f>'[7]WACOG Calc'!L64</f>
        <v>3.6441779841577309</v>
      </c>
      <c r="M17">
        <v>2037</v>
      </c>
      <c r="N17" s="154">
        <v>5.3298640837245381</v>
      </c>
      <c r="O17" s="154">
        <v>4.5018976741585224</v>
      </c>
      <c r="P17" s="154">
        <v>4.0845011607407251</v>
      </c>
      <c r="Q17" s="154">
        <v>3.758315644082578</v>
      </c>
      <c r="R17" s="154">
        <v>3.9705923183576455</v>
      </c>
      <c r="S17" s="154">
        <v>2.4498229682661035</v>
      </c>
      <c r="T17" s="154">
        <v>1.2477068267966471</v>
      </c>
      <c r="U17" s="154">
        <v>3.3816369319217365</v>
      </c>
      <c r="V17" s="154">
        <v>6.9957979583348999</v>
      </c>
      <c r="W17" s="154">
        <v>4.0480199637334131</v>
      </c>
      <c r="Y17">
        <v>2037</v>
      </c>
      <c r="Z17" s="133">
        <v>497.58173653358295</v>
      </c>
      <c r="AA17" s="133">
        <v>497.58173653358295</v>
      </c>
      <c r="AB17" s="133">
        <v>497.58173653358295</v>
      </c>
      <c r="AC17" s="133">
        <v>497.58173653358295</v>
      </c>
      <c r="AD17" s="133">
        <v>569.62559897397887</v>
      </c>
      <c r="AE17" s="133">
        <v>930.20782340485562</v>
      </c>
      <c r="AF17" s="133">
        <v>1782.2251136857285</v>
      </c>
      <c r="AG17" s="133">
        <v>497.58173653358295</v>
      </c>
      <c r="AH17" s="133">
        <v>497.58173653358295</v>
      </c>
      <c r="AI17" s="133">
        <v>497.58173653358295</v>
      </c>
      <c r="AJ17" s="133"/>
      <c r="AK17">
        <v>2037</v>
      </c>
      <c r="AL17" s="8">
        <f>[4]UPC!V17</f>
        <v>524.26832926594852</v>
      </c>
      <c r="AM17" s="8">
        <f>[4]UPC!W17</f>
        <v>439.26264146324439</v>
      </c>
      <c r="AN17" s="8">
        <f>[4]UPC!X17</f>
        <v>457.6059771231113</v>
      </c>
      <c r="AO17" s="8">
        <f>[4]UPC!Y17</f>
        <v>365.29254362776464</v>
      </c>
      <c r="AP17" s="8">
        <f>[4]UPC!Z17</f>
        <v>476.11844420311542</v>
      </c>
      <c r="AQ17" s="8">
        <f>[4]UPC!AA17</f>
        <v>579.04056451674967</v>
      </c>
      <c r="AR17" s="8">
        <f>[4]UPC!AB17</f>
        <v>556.28237956073451</v>
      </c>
      <c r="AS17" s="8">
        <f>[4]UPC!AC17</f>
        <v>447.56312401142628</v>
      </c>
      <c r="AT17" s="8">
        <f>[4]UPC!AD17</f>
        <v>447.56312401142628</v>
      </c>
      <c r="AU17" s="8">
        <f>[4]UPC!AE17</f>
        <v>463.81993986552436</v>
      </c>
      <c r="AW17">
        <v>2037</v>
      </c>
      <c r="AX17" s="133">
        <f t="shared" si="5"/>
        <v>726.52297787516557</v>
      </c>
      <c r="AY17" s="133">
        <f t="shared" si="0"/>
        <v>900.10052401418625</v>
      </c>
      <c r="AZ17" s="133">
        <f t="shared" si="0"/>
        <v>895.70534306691229</v>
      </c>
      <c r="BA17" s="133">
        <f t="shared" si="0"/>
        <v>804.95071651445971</v>
      </c>
      <c r="BB17" s="133">
        <f t="shared" si="0"/>
        <v>979.14751387203626</v>
      </c>
      <c r="BC17" s="133">
        <f t="shared" si="0"/>
        <v>1345.7558646571649</v>
      </c>
      <c r="BD17" s="133">
        <f t="shared" si="0"/>
        <v>2147.6766285968083</v>
      </c>
      <c r="BE17" s="133">
        <f t="shared" si="0"/>
        <v>854.74206708071927</v>
      </c>
      <c r="BF17" s="133">
        <f t="shared" si="0"/>
        <v>1025.0716826082978</v>
      </c>
      <c r="BG17" s="133">
        <f t="shared" si="0"/>
        <v>899.64235991733119</v>
      </c>
      <c r="BI17">
        <v>2037</v>
      </c>
      <c r="BJ17" s="219">
        <f t="shared" si="1"/>
        <v>0</v>
      </c>
      <c r="BK17" s="219">
        <f t="shared" si="1"/>
        <v>0.23891542514825395</v>
      </c>
      <c r="BL17" s="219">
        <f t="shared" si="1"/>
        <v>0.23286581476961407</v>
      </c>
      <c r="BM17" s="219">
        <f t="shared" si="1"/>
        <v>0.107949426277843</v>
      </c>
      <c r="BN17" s="219">
        <f t="shared" si="1"/>
        <v>0.34771720054293698</v>
      </c>
      <c r="BO17" s="219">
        <f t="shared" si="1"/>
        <v>0.85232388463892295</v>
      </c>
      <c r="BP17" s="219">
        <f t="shared" si="1"/>
        <v>1.9561028267516569</v>
      </c>
      <c r="BQ17" s="219">
        <f t="shared" si="1"/>
        <v>0.17648318513001646</v>
      </c>
      <c r="BR17" s="219">
        <f t="shared" si="1"/>
        <v>0.41092809701117289</v>
      </c>
      <c r="BS17" s="219">
        <f t="shared" si="1"/>
        <v>0.23828479939957492</v>
      </c>
      <c r="BT17" s="219"/>
      <c r="BU17" s="224">
        <v>2020</v>
      </c>
      <c r="BV17" s="225">
        <v>665.9295822951367</v>
      </c>
      <c r="BW17" s="224">
        <v>615</v>
      </c>
      <c r="BX17" s="225"/>
      <c r="BY17" s="224">
        <v>2037</v>
      </c>
      <c r="BZ17" s="225">
        <v>1345.7558646571649</v>
      </c>
      <c r="CA17" s="224">
        <v>579.04056451674967</v>
      </c>
      <c r="CB17" s="219">
        <f t="array" ref="CB17">INDEX($BK$2:$BS$30,BY17-2021,$BU$21)</f>
        <v>0.85232388463892295</v>
      </c>
      <c r="CC17">
        <v>2037</v>
      </c>
      <c r="CD17" s="133">
        <v>2201.4385970318058</v>
      </c>
      <c r="CE17" s="133">
        <v>2201.4385970318058</v>
      </c>
      <c r="CF17" s="133">
        <v>2201.4385970318058</v>
      </c>
      <c r="CG17" s="133">
        <v>2201.4385970318058</v>
      </c>
      <c r="CH17" s="133">
        <v>2201.4385970318058</v>
      </c>
      <c r="CI17" s="133">
        <v>2201.4385970318058</v>
      </c>
      <c r="CJ17" s="133">
        <v>3747.5751571877327</v>
      </c>
      <c r="CK17" s="133">
        <v>8455.7030460621554</v>
      </c>
      <c r="CL17" s="133">
        <v>2201.4385970318058</v>
      </c>
      <c r="CM17" s="133">
        <v>2201.4385970318058</v>
      </c>
      <c r="CN17" s="133"/>
      <c r="CO17">
        <v>2037</v>
      </c>
      <c r="CP17" s="8">
        <f>[4]UPC!AZ17</f>
        <v>2963.8514807049473</v>
      </c>
      <c r="CQ17" s="8">
        <f>[4]UPC!BA17</f>
        <v>2208.8986840200487</v>
      </c>
      <c r="CR17" s="8">
        <f>[4]UPC!BB17</f>
        <v>2276.0253219325709</v>
      </c>
      <c r="CS17" s="8">
        <f>[4]UPC!BC17</f>
        <v>1809.0736555194612</v>
      </c>
      <c r="CT17" s="8">
        <f>[4]UPC!BD17</f>
        <v>2011.9906316133199</v>
      </c>
      <c r="CU17" s="8">
        <f>[4]UPC!BE17</f>
        <v>2698.9376012075081</v>
      </c>
      <c r="CV17" s="8">
        <f>[4]UPC!BF17</f>
        <v>2690.3212387617332</v>
      </c>
      <c r="CW17" s="8">
        <f>[4]UPC!BG17</f>
        <v>2251.1172571525549</v>
      </c>
      <c r="CX17" s="8">
        <f>[4]UPC!BH17</f>
        <v>2251.1172571525549</v>
      </c>
      <c r="CY17" s="8">
        <f>[4]UPC!BI17</f>
        <v>2291.5363506389035</v>
      </c>
      <c r="DA17">
        <v>2037</v>
      </c>
      <c r="DB17" s="133">
        <f t="shared" si="2"/>
        <v>3463.3025456121732</v>
      </c>
      <c r="DC17" s="133">
        <f t="shared" si="3"/>
        <v>4209.6267456930809</v>
      </c>
      <c r="DD17" s="133">
        <f t="shared" si="3"/>
        <v>4167.1213996867873</v>
      </c>
      <c r="DE17" s="133">
        <f t="shared" si="3"/>
        <v>3709.7242431135023</v>
      </c>
      <c r="DF17" s="133">
        <f t="shared" si="3"/>
        <v>3921.1024037917841</v>
      </c>
      <c r="DG17" s="133">
        <f t="shared" si="3"/>
        <v>4025.2109116314718</v>
      </c>
      <c r="DH17" s="133">
        <f t="shared" si="3"/>
        <v>5256.7896434314371</v>
      </c>
      <c r="DI17" s="133">
        <f t="shared" si="3"/>
        <v>10567.628879354648</v>
      </c>
      <c r="DJ17" s="133">
        <f t="shared" si="3"/>
        <v>4838.5987115708567</v>
      </c>
      <c r="DK17" s="133">
        <f t="shared" si="3"/>
        <v>4174.2328054984282</v>
      </c>
      <c r="DM17">
        <v>2037</v>
      </c>
      <c r="DN17" s="219">
        <f t="shared" si="4"/>
        <v>0</v>
      </c>
      <c r="DO17" s="219">
        <f t="shared" si="4"/>
        <v>0.21549494745310724</v>
      </c>
      <c r="DP17" s="219">
        <f t="shared" si="4"/>
        <v>0.20322187992681048</v>
      </c>
      <c r="DQ17" s="219">
        <f t="shared" si="4"/>
        <v>7.115222948498473E-2</v>
      </c>
      <c r="DR17" s="219">
        <f t="shared" si="4"/>
        <v>0.13218592720396891</v>
      </c>
      <c r="DS17" s="219">
        <f t="shared" si="4"/>
        <v>0.16224639881121786</v>
      </c>
      <c r="DT17" s="219">
        <f t="shared" si="4"/>
        <v>0.51785458365210402</v>
      </c>
      <c r="DU17" s="219">
        <f t="shared" si="4"/>
        <v>2.0513155406371566</v>
      </c>
      <c r="DV17" s="219">
        <f t="shared" si="4"/>
        <v>0.39710540671680944</v>
      </c>
      <c r="DW17" s="219">
        <f t="shared" si="4"/>
        <v>0.20527523960820784</v>
      </c>
    </row>
    <row r="18" spans="1:127" x14ac:dyDescent="0.25">
      <c r="A18">
        <v>2038</v>
      </c>
      <c r="B18" s="223">
        <f>'[7]WACOG Calc'!C65</f>
        <v>3.6913669387607637</v>
      </c>
      <c r="C18" s="223">
        <f>'[7]WACOG Calc'!D65</f>
        <v>3.6777971853943403</v>
      </c>
      <c r="D18" s="223">
        <f>'[7]WACOG Calc'!E65</f>
        <v>3.6768987549594927</v>
      </c>
      <c r="E18" s="223">
        <f>'[7]WACOG Calc'!F65</f>
        <v>3.5921133544448733</v>
      </c>
      <c r="F18" s="223">
        <f>'[7]WACOG Calc'!G65</f>
        <v>3.6429748265822033</v>
      </c>
      <c r="G18" s="223">
        <f>'[7]WACOG Calc'!H65</f>
        <v>3.5992180775086782</v>
      </c>
      <c r="H18" s="223">
        <f>'[7]WACOG Calc'!I65</f>
        <v>3.4207746062668902</v>
      </c>
      <c r="I18" s="223">
        <f>'[7]WACOG Calc'!J65</f>
        <v>3.6842547217797397</v>
      </c>
      <c r="J18" s="223">
        <f>'[7]WACOG Calc'!K65</f>
        <v>3.6842547217843937</v>
      </c>
      <c r="K18" s="223">
        <f>'[7]WACOG Calc'!L65</f>
        <v>3.691772247117278</v>
      </c>
      <c r="M18">
        <v>2038</v>
      </c>
      <c r="N18" s="154">
        <v>5.5115856543276625</v>
      </c>
      <c r="O18" s="154">
        <v>5.308104559663021</v>
      </c>
      <c r="P18" s="154">
        <v>4.4297221141963661</v>
      </c>
      <c r="Q18" s="154">
        <v>4.1879114939267472</v>
      </c>
      <c r="R18" s="154">
        <v>4.4775432729951969</v>
      </c>
      <c r="S18" s="154">
        <v>2.5833988835277908</v>
      </c>
      <c r="T18" s="154">
        <v>1.3515394495060697</v>
      </c>
      <c r="U18" s="154">
        <v>3.5147966274016063</v>
      </c>
      <c r="V18" s="154">
        <v>7.1625981913832444</v>
      </c>
      <c r="W18" s="154">
        <v>4.2178390266186598</v>
      </c>
      <c r="Y18">
        <v>2038</v>
      </c>
      <c r="Z18" s="133">
        <v>496.36513653358293</v>
      </c>
      <c r="AA18" s="133">
        <v>496.36513653358293</v>
      </c>
      <c r="AB18" s="133">
        <v>496.36513653358293</v>
      </c>
      <c r="AC18" s="133">
        <v>496.36513653358293</v>
      </c>
      <c r="AD18" s="133">
        <v>575.53994492251127</v>
      </c>
      <c r="AE18" s="133">
        <v>983.40262439057562</v>
      </c>
      <c r="AF18" s="133">
        <v>2132.2662155287362</v>
      </c>
      <c r="AG18" s="133">
        <v>496.36513653358293</v>
      </c>
      <c r="AH18" s="133">
        <v>496.36513653358293</v>
      </c>
      <c r="AI18" s="133">
        <v>496.36513653358293</v>
      </c>
      <c r="AJ18" s="133"/>
      <c r="AK18">
        <v>2038</v>
      </c>
      <c r="AL18" s="8">
        <f>[4]UPC!V18</f>
        <v>518.80922764480044</v>
      </c>
      <c r="AM18" s="8">
        <f>[4]UPC!W18</f>
        <v>427.21209565597377</v>
      </c>
      <c r="AN18" s="8">
        <f>[4]UPC!X18</f>
        <v>444.13151921559461</v>
      </c>
      <c r="AO18" s="8">
        <f>[4]UPC!Y18</f>
        <v>349.66095041771473</v>
      </c>
      <c r="AP18" s="8">
        <f>[4]UPC!Z18</f>
        <v>466.55043742643596</v>
      </c>
      <c r="AQ18" s="8">
        <f>[4]UPC!AA18</f>
        <v>576.66807225117191</v>
      </c>
      <c r="AR18" s="8">
        <f>[4]UPC!AB18</f>
        <v>550.88231891864291</v>
      </c>
      <c r="AS18" s="8">
        <f>[4]UPC!AC18</f>
        <v>435.25904341877703</v>
      </c>
      <c r="AT18" s="8">
        <f>[4]UPC!AD18</f>
        <v>435.25904341877703</v>
      </c>
      <c r="AU18" s="8">
        <f>[4]UPC!AE18</f>
        <v>452.74346827566075</v>
      </c>
      <c r="AW18">
        <v>2038</v>
      </c>
      <c r="AX18" s="133">
        <f t="shared" si="5"/>
        <v>724.33412253646088</v>
      </c>
      <c r="AY18" s="133">
        <f t="shared" ref="AY18:BG30" si="6">(AA18+(AM18*0.1*(C18+O18)))*1.053</f>
        <v>926.90717571040807</v>
      </c>
      <c r="AZ18" s="133">
        <f t="shared" si="6"/>
        <v>901.79522396647826</v>
      </c>
      <c r="BA18" s="133">
        <f t="shared" si="6"/>
        <v>809.12754272397035</v>
      </c>
      <c r="BB18" s="133">
        <f t="shared" si="6"/>
        <v>1004.9864348909988</v>
      </c>
      <c r="BC18" s="133">
        <f t="shared" si="6"/>
        <v>1410.9509282853639</v>
      </c>
      <c r="BD18" s="133">
        <f t="shared" si="6"/>
        <v>2522.1082805153401</v>
      </c>
      <c r="BE18" s="133">
        <f t="shared" si="6"/>
        <v>852.62500582656253</v>
      </c>
      <c r="BF18" s="133">
        <f t="shared" si="6"/>
        <v>1019.8138824411893</v>
      </c>
      <c r="BG18" s="133">
        <f t="shared" si="6"/>
        <v>899.7544045043627</v>
      </c>
      <c r="BI18">
        <v>2038</v>
      </c>
      <c r="BJ18" s="219">
        <f t="shared" ref="BJ18:BS30" si="7">(AX18-$AX18)/$AX18</f>
        <v>0</v>
      </c>
      <c r="BK18" s="219">
        <f t="shared" si="7"/>
        <v>0.27966796934069643</v>
      </c>
      <c r="BL18" s="219">
        <f t="shared" si="7"/>
        <v>0.24499895270512331</v>
      </c>
      <c r="BM18" s="219">
        <f t="shared" si="7"/>
        <v>0.11706395922724352</v>
      </c>
      <c r="BN18" s="219">
        <f t="shared" si="7"/>
        <v>0.38746250331511989</v>
      </c>
      <c r="BO18" s="219">
        <f t="shared" si="7"/>
        <v>0.94792828942604557</v>
      </c>
      <c r="BP18" s="219">
        <f t="shared" si="7"/>
        <v>2.4819680614844768</v>
      </c>
      <c r="BQ18" s="219">
        <f t="shared" si="7"/>
        <v>0.1771156146018012</v>
      </c>
      <c r="BR18" s="219">
        <f t="shared" si="7"/>
        <v>0.4079329562302304</v>
      </c>
      <c r="BS18" s="219">
        <f t="shared" si="7"/>
        <v>0.24218144156127569</v>
      </c>
      <c r="BT18" s="219"/>
      <c r="BU18" s="224">
        <v>2021</v>
      </c>
      <c r="BV18" s="225">
        <v>664</v>
      </c>
      <c r="BW18" s="224">
        <v>604</v>
      </c>
      <c r="BX18" s="225"/>
      <c r="BY18" s="224">
        <v>2038</v>
      </c>
      <c r="BZ18" s="225">
        <v>1410.9509282853639</v>
      </c>
      <c r="CA18" s="224">
        <v>576.66807225117191</v>
      </c>
      <c r="CB18" s="219">
        <f t="array" ref="CB18">INDEX($BK$2:$BS$30,BY18-2021,$BU$21)</f>
        <v>0.94792828942604557</v>
      </c>
      <c r="CC18">
        <v>2038</v>
      </c>
      <c r="CD18" s="133">
        <v>2216.4385970318058</v>
      </c>
      <c r="CE18" s="133">
        <v>2216.4385970318058</v>
      </c>
      <c r="CF18" s="133">
        <v>2216.4385970318058</v>
      </c>
      <c r="CG18" s="133">
        <v>2216.4385970318058</v>
      </c>
      <c r="CH18" s="133">
        <v>2216.4385970318058</v>
      </c>
      <c r="CI18" s="133">
        <v>2216.4385970318058</v>
      </c>
      <c r="CJ18" s="133">
        <v>3969.2863348935198</v>
      </c>
      <c r="CK18" s="133">
        <v>10535.619690959698</v>
      </c>
      <c r="CL18" s="133">
        <v>2216.4385970318058</v>
      </c>
      <c r="CM18" s="133">
        <v>2216.4385970318058</v>
      </c>
      <c r="CN18" s="133"/>
      <c r="CO18">
        <v>2038</v>
      </c>
      <c r="CP18" s="8">
        <f>[4]UPC!AZ18</f>
        <v>2968.6231442062317</v>
      </c>
      <c r="CQ18" s="8">
        <f>[4]UPC!BA18</f>
        <v>2181.9936186385112</v>
      </c>
      <c r="CR18" s="8">
        <f>[4]UPC!BB18</f>
        <v>2247.4810889083788</v>
      </c>
      <c r="CS18" s="8">
        <f>[4]UPC!BC18</f>
        <v>1762.0277256929337</v>
      </c>
      <c r="CT18" s="8">
        <f>[4]UPC!BD18</f>
        <v>1977.9762297749428</v>
      </c>
      <c r="CU18" s="8">
        <f>[4]UPC!BE18</f>
        <v>2692.4174983921102</v>
      </c>
      <c r="CV18" s="8">
        <f>[4]UPC!BF18</f>
        <v>2687.5203216181512</v>
      </c>
      <c r="CW18" s="8">
        <f>[4]UPC!BG18</f>
        <v>2223.1168969227369</v>
      </c>
      <c r="CX18" s="8">
        <f>[4]UPC!BH18</f>
        <v>2223.1168969227369</v>
      </c>
      <c r="CY18" s="8">
        <f>[4]UPC!BI18</f>
        <v>2267.2556513034829</v>
      </c>
      <c r="DA18">
        <v>2038</v>
      </c>
      <c r="DB18" s="133">
        <f t="shared" si="2"/>
        <v>3487.816445330046</v>
      </c>
      <c r="DC18" s="133">
        <f t="shared" ref="DC18:DK30" si="8">(CE18+(CQ18*0.1*(C18+O18)))*1.053</f>
        <v>4398.5459246240416</v>
      </c>
      <c r="DD18" s="133">
        <f t="shared" si="8"/>
        <v>4252.4207811336737</v>
      </c>
      <c r="DE18" s="133">
        <f t="shared" si="8"/>
        <v>3777.4274749094443</v>
      </c>
      <c r="DF18" s="133">
        <f t="shared" si="8"/>
        <v>4025.2586365210527</v>
      </c>
      <c r="DG18" s="133">
        <f t="shared" si="8"/>
        <v>4086.7532381358128</v>
      </c>
      <c r="DH18" s="133">
        <f t="shared" si="8"/>
        <v>5530.2037735782314</v>
      </c>
      <c r="DI18" s="133">
        <f t="shared" si="8"/>
        <v>12779.263767488261</v>
      </c>
      <c r="DJ18" s="133">
        <f t="shared" si="8"/>
        <v>4873.0952981897526</v>
      </c>
      <c r="DK18" s="133">
        <f t="shared" si="8"/>
        <v>4222.2664162316005</v>
      </c>
      <c r="DM18">
        <v>2038</v>
      </c>
      <c r="DN18" s="219">
        <f t="shared" ref="DN18:DW30" si="9">(DB18-$DB18)/$DB18</f>
        <v>0</v>
      </c>
      <c r="DO18" s="219">
        <f t="shared" si="9"/>
        <v>0.26111737632105086</v>
      </c>
      <c r="DP18" s="219">
        <f t="shared" si="9"/>
        <v>0.21922149510688327</v>
      </c>
      <c r="DQ18" s="219">
        <f t="shared" si="9"/>
        <v>8.303505477393118E-2</v>
      </c>
      <c r="DR18" s="219">
        <f t="shared" si="9"/>
        <v>0.15409130601199097</v>
      </c>
      <c r="DS18" s="219">
        <f t="shared" si="9"/>
        <v>0.17172256688212573</v>
      </c>
      <c r="DT18" s="219">
        <f t="shared" si="9"/>
        <v>0.58557764155932179</v>
      </c>
      <c r="DU18" s="219">
        <f t="shared" si="9"/>
        <v>2.6639725650123718</v>
      </c>
      <c r="DV18" s="219">
        <f t="shared" si="9"/>
        <v>0.39717653568452627</v>
      </c>
      <c r="DW18" s="219">
        <f t="shared" si="9"/>
        <v>0.21057586671022613</v>
      </c>
    </row>
    <row r="19" spans="1:127" x14ac:dyDescent="0.25">
      <c r="A19">
        <v>2039</v>
      </c>
      <c r="B19" s="223">
        <f>'[7]WACOG Calc'!C66</f>
        <v>3.7708942216689927</v>
      </c>
      <c r="C19" s="223">
        <f>'[7]WACOG Calc'!D66</f>
        <v>3.7522485656750741</v>
      </c>
      <c r="D19" s="223">
        <f>'[7]WACOG Calc'!E66</f>
        <v>3.7500807654465431</v>
      </c>
      <c r="E19" s="223">
        <f>'[7]WACOG Calc'!F66</f>
        <v>3.6635342671312476</v>
      </c>
      <c r="F19" s="223">
        <f>'[7]WACOG Calc'!G66</f>
        <v>3.7161757254011638</v>
      </c>
      <c r="G19" s="223">
        <f>'[7]WACOG Calc'!H66</f>
        <v>3.667307554817576</v>
      </c>
      <c r="H19" s="223">
        <f>'[7]WACOG Calc'!I66</f>
        <v>3.4787879827793655</v>
      </c>
      <c r="I19" s="223">
        <f>'[7]WACOG Calc'!J66</f>
        <v>3.7587766331561037</v>
      </c>
      <c r="J19" s="223">
        <f>'[7]WACOG Calc'!K66</f>
        <v>3.7587766331748491</v>
      </c>
      <c r="K19" s="223">
        <f>'[7]WACOG Calc'!L66</f>
        <v>3.7666941066810478</v>
      </c>
      <c r="M19">
        <v>2039</v>
      </c>
      <c r="N19" s="154">
        <v>5.6959376232653067</v>
      </c>
      <c r="O19" s="154">
        <v>5.4796162485097426</v>
      </c>
      <c r="P19" s="154">
        <v>4.7896742776675154</v>
      </c>
      <c r="Q19" s="154">
        <v>4.3863827598582761</v>
      </c>
      <c r="R19" s="154">
        <v>4.6482947404414476</v>
      </c>
      <c r="S19" s="154">
        <v>2.7388528481597834</v>
      </c>
      <c r="T19" s="154">
        <v>1.4732233608623466</v>
      </c>
      <c r="U19" s="154">
        <v>3.6706100285945613</v>
      </c>
      <c r="V19" s="154">
        <v>7.3510917937816806</v>
      </c>
      <c r="W19" s="154">
        <v>4.4084444054733263</v>
      </c>
      <c r="Y19">
        <v>2039</v>
      </c>
      <c r="Z19" s="133">
        <v>495.14853653358296</v>
      </c>
      <c r="AA19" s="133">
        <v>495.14853653358296</v>
      </c>
      <c r="AB19" s="133">
        <v>495.14853653358296</v>
      </c>
      <c r="AC19" s="133">
        <v>495.14853653358296</v>
      </c>
      <c r="AD19" s="133">
        <v>581.41798028559026</v>
      </c>
      <c r="AE19" s="133">
        <v>1042.6289451215011</v>
      </c>
      <c r="AF19" s="133">
        <v>2650.776730037483</v>
      </c>
      <c r="AG19" s="133">
        <v>495.14853653358296</v>
      </c>
      <c r="AH19" s="133">
        <v>495.14853653358296</v>
      </c>
      <c r="AI19" s="133">
        <v>495.14853653358296</v>
      </c>
      <c r="AJ19" s="133"/>
      <c r="AK19">
        <v>2039</v>
      </c>
      <c r="AL19" s="8">
        <f>[4]UPC!V19</f>
        <v>513.47743823737699</v>
      </c>
      <c r="AM19" s="8">
        <f>[4]UPC!W19</f>
        <v>415.83343814260542</v>
      </c>
      <c r="AN19" s="8">
        <f>[4]UPC!X19</f>
        <v>431.12146825017555</v>
      </c>
      <c r="AO19" s="8">
        <f>[4]UPC!Y19</f>
        <v>334.73764111086246</v>
      </c>
      <c r="AP19" s="8">
        <f>[4]UPC!Z19</f>
        <v>457.27797359505126</v>
      </c>
      <c r="AQ19" s="8">
        <f>[4]UPC!AA19</f>
        <v>574.26055833220698</v>
      </c>
      <c r="AR19" s="8">
        <f>[4]UPC!AB19</f>
        <v>544.80736532826222</v>
      </c>
      <c r="AS19" s="8">
        <f>[4]UPC!AC19</f>
        <v>423.64678479927807</v>
      </c>
      <c r="AT19" s="8">
        <f>[4]UPC!AD19</f>
        <v>423.64678479927807</v>
      </c>
      <c r="AU19" s="8">
        <f>[4]UPC!AE19</f>
        <v>442.18164814777674</v>
      </c>
      <c r="AW19">
        <v>2039</v>
      </c>
      <c r="AX19" s="133">
        <f t="shared" si="5"/>
        <v>725.28054570601068</v>
      </c>
      <c r="AY19" s="133">
        <f t="shared" si="6"/>
        <v>925.62948344148072</v>
      </c>
      <c r="AZ19" s="133">
        <f t="shared" si="6"/>
        <v>909.07144242150639</v>
      </c>
      <c r="BA19" s="133">
        <f t="shared" si="6"/>
        <v>805.1338668999158</v>
      </c>
      <c r="BB19" s="133">
        <f t="shared" si="6"/>
        <v>1014.9938506778686</v>
      </c>
      <c r="BC19" s="133">
        <f t="shared" si="6"/>
        <v>1485.2664720147172</v>
      </c>
      <c r="BD19" s="133">
        <f t="shared" si="6"/>
        <v>3075.3559509919673</v>
      </c>
      <c r="BE19" s="133">
        <f t="shared" si="6"/>
        <v>852.81639579108491</v>
      </c>
      <c r="BF19" s="133">
        <f t="shared" si="6"/>
        <v>1017.0027110368802</v>
      </c>
      <c r="BG19" s="133">
        <f t="shared" si="6"/>
        <v>902.03998105598737</v>
      </c>
      <c r="BI19">
        <v>2039</v>
      </c>
      <c r="BJ19" s="219">
        <f t="shared" si="7"/>
        <v>0</v>
      </c>
      <c r="BK19" s="219">
        <f t="shared" si="7"/>
        <v>0.27623647004131918</v>
      </c>
      <c r="BL19" s="219">
        <f t="shared" si="7"/>
        <v>0.25340662699919508</v>
      </c>
      <c r="BM19" s="219">
        <f t="shared" si="7"/>
        <v>0.11009990777592608</v>
      </c>
      <c r="BN19" s="219">
        <f t="shared" si="7"/>
        <v>0.39944998757665834</v>
      </c>
      <c r="BO19" s="219">
        <f t="shared" si="7"/>
        <v>1.0478509740929458</v>
      </c>
      <c r="BP19" s="219">
        <f t="shared" si="7"/>
        <v>3.2402294797502393</v>
      </c>
      <c r="BQ19" s="219">
        <f t="shared" si="7"/>
        <v>0.1758434730397006</v>
      </c>
      <c r="BR19" s="219">
        <f t="shared" si="7"/>
        <v>0.40221975766204798</v>
      </c>
      <c r="BS19" s="219">
        <f t="shared" si="7"/>
        <v>0.24371181110050807</v>
      </c>
      <c r="BT19" s="219"/>
      <c r="BU19" s="224">
        <v>2022</v>
      </c>
      <c r="BV19" s="225">
        <f>AX2</f>
        <v>841.11827103329449</v>
      </c>
      <c r="BW19" s="224">
        <f>AL2</f>
        <v>627.75040502933007</v>
      </c>
      <c r="BX19" s="219"/>
      <c r="BY19" s="224">
        <v>2039</v>
      </c>
      <c r="BZ19" s="225">
        <v>1485.2664720147172</v>
      </c>
      <c r="CA19" s="224">
        <v>574.26055833220698</v>
      </c>
      <c r="CB19" s="219">
        <f t="array" ref="CB19">INDEX($BK$2:$BS$30,BY19-2021,$BU$21)</f>
        <v>1.0478509740929458</v>
      </c>
      <c r="CC19">
        <v>2039</v>
      </c>
      <c r="CD19" s="133">
        <v>2231.4385970318058</v>
      </c>
      <c r="CE19" s="133">
        <v>2231.4385970318058</v>
      </c>
      <c r="CF19" s="133">
        <v>2231.4385970318058</v>
      </c>
      <c r="CG19" s="133">
        <v>2231.4385970318058</v>
      </c>
      <c r="CH19" s="133">
        <v>2231.4385970318058</v>
      </c>
      <c r="CI19" s="133">
        <v>2231.4385970318058</v>
      </c>
      <c r="CJ19" s="133">
        <v>4217.2899184244252</v>
      </c>
      <c r="CK19" s="133">
        <v>13956.829224789562</v>
      </c>
      <c r="CL19" s="133">
        <v>2231.4385970318058</v>
      </c>
      <c r="CM19" s="133">
        <v>2231.4385970318058</v>
      </c>
      <c r="CN19" s="133"/>
      <c r="CO19">
        <v>2039</v>
      </c>
      <c r="CP19" s="8">
        <f>[4]UPC!AZ19</f>
        <v>2972.4558914498639</v>
      </c>
      <c r="CQ19" s="8">
        <f>[4]UPC!BA19</f>
        <v>2158.0382720481398</v>
      </c>
      <c r="CR19" s="8">
        <f>[4]UPC!BB19</f>
        <v>2221.7457342509483</v>
      </c>
      <c r="CS19" s="8">
        <f>[4]UPC!BC19</f>
        <v>1718.7279380874145</v>
      </c>
      <c r="CT19" s="8">
        <f>[4]UPC!BD19</f>
        <v>1945.3899532287578</v>
      </c>
      <c r="CU19" s="8">
        <f>[4]UPC!BE19</f>
        <v>2685.9774846471569</v>
      </c>
      <c r="CV19" s="8">
        <f>[4]UPC!BF19</f>
        <v>2685.7494123079755</v>
      </c>
      <c r="CW19" s="8">
        <f>[4]UPC!BG19</f>
        <v>2198.1968553664324</v>
      </c>
      <c r="CX19" s="8">
        <f>[4]UPC!BH19</f>
        <v>2198.1968553664324</v>
      </c>
      <c r="CY19" s="8">
        <f>[4]UPC!BI19</f>
        <v>2245.829562474567</v>
      </c>
      <c r="DA19">
        <v>2039</v>
      </c>
      <c r="DB19" s="133">
        <f t="shared" si="2"/>
        <v>3529.9932459476577</v>
      </c>
      <c r="DC19" s="133">
        <f t="shared" si="8"/>
        <v>4447.5670050473764</v>
      </c>
      <c r="DD19" s="133">
        <f t="shared" si="8"/>
        <v>4347.5790475276699</v>
      </c>
      <c r="DE19" s="133">
        <f t="shared" si="8"/>
        <v>3806.5953436876725</v>
      </c>
      <c r="DF19" s="133">
        <f t="shared" si="8"/>
        <v>4063.162954591523</v>
      </c>
      <c r="DG19" s="133">
        <f t="shared" si="8"/>
        <v>4161.5811570268334</v>
      </c>
      <c r="DH19" s="133">
        <f t="shared" si="8"/>
        <v>5841.2817059401541</v>
      </c>
      <c r="DI19" s="133">
        <f t="shared" si="8"/>
        <v>16416.222261724528</v>
      </c>
      <c r="DJ19" s="133">
        <f t="shared" si="8"/>
        <v>4921.3075191918115</v>
      </c>
      <c r="DK19" s="133">
        <f t="shared" si="8"/>
        <v>4283.0094465305347</v>
      </c>
      <c r="DM19">
        <v>2039</v>
      </c>
      <c r="DN19" s="219">
        <f t="shared" si="9"/>
        <v>0</v>
      </c>
      <c r="DO19" s="219">
        <f t="shared" si="9"/>
        <v>0.25993640643734089</v>
      </c>
      <c r="DP19" s="219">
        <f t="shared" si="9"/>
        <v>0.23161115181129027</v>
      </c>
      <c r="DQ19" s="219">
        <f t="shared" si="9"/>
        <v>7.8357684694594532E-2</v>
      </c>
      <c r="DR19" s="219">
        <f t="shared" si="9"/>
        <v>0.15103986650850693</v>
      </c>
      <c r="DS19" s="219">
        <f t="shared" si="9"/>
        <v>0.17892043045810996</v>
      </c>
      <c r="DT19" s="219">
        <f t="shared" si="9"/>
        <v>0.65475719044102898</v>
      </c>
      <c r="DU19" s="219">
        <f t="shared" si="9"/>
        <v>3.6504967907714647</v>
      </c>
      <c r="DV19" s="219">
        <f t="shared" si="9"/>
        <v>0.39414077487013527</v>
      </c>
      <c r="DW19" s="219">
        <f t="shared" si="9"/>
        <v>0.21331944514265583</v>
      </c>
    </row>
    <row r="20" spans="1:127" x14ac:dyDescent="0.25">
      <c r="A20">
        <v>2040</v>
      </c>
      <c r="B20" s="223">
        <f>'[7]WACOG Calc'!C67</f>
        <v>3.9774988820562851</v>
      </c>
      <c r="C20" s="223">
        <f>'[7]WACOG Calc'!D67</f>
        <v>3.9465795547343978</v>
      </c>
      <c r="D20" s="223">
        <f>'[7]WACOG Calc'!E67</f>
        <v>3.9398616853366497</v>
      </c>
      <c r="E20" s="223">
        <f>'[7]WACOG Calc'!F67</f>
        <v>3.8519584780295224</v>
      </c>
      <c r="F20" s="223">
        <f>'[7]WACOG Calc'!G67</f>
        <v>3.9054419504073348</v>
      </c>
      <c r="G20" s="223">
        <f>'[7]WACOG Calc'!H67</f>
        <v>3.8457142998643183</v>
      </c>
      <c r="H20" s="223">
        <f>'[7]WACOG Calc'!I67</f>
        <v>3.6368114618504688</v>
      </c>
      <c r="I20" s="223">
        <f>'[7]WACOG Calc'!J67</f>
        <v>3.9525347897047305</v>
      </c>
      <c r="J20" s="223">
        <f>'[7]WACOG Calc'!K67</f>
        <v>3.9525347896991141</v>
      </c>
      <c r="K20" s="223">
        <f>'[7]WACOG Calc'!L67</f>
        <v>3.9612203296690587</v>
      </c>
      <c r="M20">
        <v>2040</v>
      </c>
      <c r="N20" s="154">
        <v>5.879283806474314</v>
      </c>
      <c r="O20" s="154">
        <v>5.6578472413314476</v>
      </c>
      <c r="P20" s="154">
        <v>5.0797280619474225</v>
      </c>
      <c r="Q20" s="154">
        <v>4.5985576593159747</v>
      </c>
      <c r="R20" s="154">
        <v>4.8295846562129139</v>
      </c>
      <c r="S20" s="154">
        <v>2.8992473370376697</v>
      </c>
      <c r="T20" s="154">
        <v>1.6072459175406426</v>
      </c>
      <c r="U20" s="154">
        <v>3.7590002487273155</v>
      </c>
      <c r="V20" s="154">
        <v>7.5357112076099328</v>
      </c>
      <c r="W20" s="154">
        <v>4.6123297885713601</v>
      </c>
      <c r="Y20">
        <v>2040</v>
      </c>
      <c r="Z20" s="133">
        <v>493.93193653358293</v>
      </c>
      <c r="AA20" s="133">
        <v>493.93193653358293</v>
      </c>
      <c r="AB20" s="133">
        <v>493.93193653358293</v>
      </c>
      <c r="AC20" s="133">
        <v>493.93193653358293</v>
      </c>
      <c r="AD20" s="133">
        <v>587.26161512431042</v>
      </c>
      <c r="AE20" s="133">
        <v>1109.0055529125661</v>
      </c>
      <c r="AF20" s="133">
        <v>3498.2789415930192</v>
      </c>
      <c r="AG20" s="133">
        <v>493.93193653358293</v>
      </c>
      <c r="AH20" s="133">
        <v>493.93193653358293</v>
      </c>
      <c r="AI20" s="133">
        <v>493.93193653358293</v>
      </c>
      <c r="AJ20" s="133"/>
      <c r="AK20">
        <v>2040</v>
      </c>
      <c r="AL20" s="8">
        <f>[4]UPC!V20</f>
        <v>511.26570300774637</v>
      </c>
      <c r="AM20" s="8">
        <f>[4]UPC!W20</f>
        <v>406.62983826815594</v>
      </c>
      <c r="AN20" s="8">
        <f>[4]UPC!X20</f>
        <v>420.58307635830795</v>
      </c>
      <c r="AO20" s="8">
        <f>[4]UPC!Y20</f>
        <v>320.13000976418692</v>
      </c>
      <c r="AP20" s="8">
        <f>[4]UPC!Z20</f>
        <v>450.37034841640445</v>
      </c>
      <c r="AQ20" s="8">
        <f>[4]UPC!AA20</f>
        <v>575.33525643722169</v>
      </c>
      <c r="AR20" s="8">
        <f>[4]UPC!AB20</f>
        <v>541.21545056179889</v>
      </c>
      <c r="AS20" s="8">
        <f>[4]UPC!AC20</f>
        <v>414.36675414951043</v>
      </c>
      <c r="AT20" s="8">
        <f>[4]UPC!AD20</f>
        <v>414.36675414951043</v>
      </c>
      <c r="AU20" s="8">
        <f>[4]UPC!AE20</f>
        <v>433.81911987563899</v>
      </c>
      <c r="AW20">
        <v>2040</v>
      </c>
      <c r="AX20" s="133">
        <f t="shared" si="5"/>
        <v>734.24406682394522</v>
      </c>
      <c r="AY20" s="133">
        <f t="shared" si="6"/>
        <v>931.35384717225838</v>
      </c>
      <c r="AZ20" s="133">
        <f t="shared" si="6"/>
        <v>919.56448956815541</v>
      </c>
      <c r="BA20" s="133">
        <f t="shared" si="6"/>
        <v>804.97460873781847</v>
      </c>
      <c r="BB20" s="133">
        <f t="shared" si="6"/>
        <v>1032.636362325037</v>
      </c>
      <c r="BC20" s="133">
        <f t="shared" si="6"/>
        <v>1576.411525954594</v>
      </c>
      <c r="BD20" s="133">
        <f t="shared" si="6"/>
        <v>3982.5464870833607</v>
      </c>
      <c r="BE20" s="133">
        <f t="shared" si="6"/>
        <v>856.58634334833562</v>
      </c>
      <c r="BF20" s="133">
        <f t="shared" si="6"/>
        <v>1021.3748898327815</v>
      </c>
      <c r="BG20" s="133">
        <f t="shared" si="6"/>
        <v>911.7599866428119</v>
      </c>
      <c r="BI20">
        <v>2040</v>
      </c>
      <c r="BJ20" s="219">
        <f t="shared" si="7"/>
        <v>0</v>
      </c>
      <c r="BK20" s="219">
        <f t="shared" si="7"/>
        <v>0.26845267024210839</v>
      </c>
      <c r="BL20" s="219">
        <f t="shared" si="7"/>
        <v>0.25239621417144625</v>
      </c>
      <c r="BM20" s="219">
        <f t="shared" si="7"/>
        <v>9.6331104478414267E-2</v>
      </c>
      <c r="BN20" s="219">
        <f t="shared" si="7"/>
        <v>0.40639388043245755</v>
      </c>
      <c r="BO20" s="219">
        <f t="shared" si="7"/>
        <v>1.1469857193038526</v>
      </c>
      <c r="BP20" s="219">
        <f t="shared" si="7"/>
        <v>4.4240090823073466</v>
      </c>
      <c r="BQ20" s="219">
        <f t="shared" si="7"/>
        <v>0.16662344587079278</v>
      </c>
      <c r="BR20" s="219">
        <f t="shared" si="7"/>
        <v>0.39105637482486272</v>
      </c>
      <c r="BS20" s="219">
        <f t="shared" si="7"/>
        <v>0.24176691081309193</v>
      </c>
      <c r="BT20" s="219"/>
      <c r="BU20" s="219" t="s">
        <v>79</v>
      </c>
      <c r="BV20" s="219"/>
      <c r="BW20" s="219"/>
      <c r="BX20" s="219"/>
      <c r="BY20" s="224">
        <v>2040</v>
      </c>
      <c r="BZ20" s="225">
        <v>1576.411525954594</v>
      </c>
      <c r="CA20" s="224">
        <v>575.33525643722169</v>
      </c>
      <c r="CB20" s="219">
        <f t="array" ref="CB20">INDEX($BK$2:$BS$30,BY20-2021,$BU$21)</f>
        <v>1.1469857193038526</v>
      </c>
      <c r="CC20">
        <v>2040</v>
      </c>
      <c r="CD20" s="133">
        <v>2246.4385970318058</v>
      </c>
      <c r="CE20" s="133">
        <v>2246.4385970318058</v>
      </c>
      <c r="CF20" s="133">
        <v>2246.4385970318058</v>
      </c>
      <c r="CG20" s="133">
        <v>2246.4385970318058</v>
      </c>
      <c r="CH20" s="133">
        <v>2246.4385970318058</v>
      </c>
      <c r="CI20" s="133">
        <v>2246.4385970318058</v>
      </c>
      <c r="CJ20" s="133">
        <v>4496.4713652529454</v>
      </c>
      <c r="CK20" s="133">
        <v>13985.582583141773</v>
      </c>
      <c r="CL20" s="133">
        <v>2246.4385970318058</v>
      </c>
      <c r="CM20" s="133">
        <v>2246.4385970318058</v>
      </c>
      <c r="CN20" s="133"/>
      <c r="CO20">
        <v>2040</v>
      </c>
      <c r="CP20" s="8">
        <f>[4]UPC!AZ20</f>
        <v>2992.8774390720064</v>
      </c>
      <c r="CQ20" s="8">
        <f>[4]UPC!BA20</f>
        <v>2147.1042440383835</v>
      </c>
      <c r="CR20" s="8">
        <f>[4]UPC!BB20</f>
        <v>2211.6116494373414</v>
      </c>
      <c r="CS20" s="8">
        <f>[4]UPC!BC20</f>
        <v>1679.0548309685419</v>
      </c>
      <c r="CT20" s="8">
        <f>[4]UPC!BD20</f>
        <v>1923.1858758573901</v>
      </c>
      <c r="CU20" s="8">
        <f>[4]UPC!BE20</f>
        <v>2694.9679130299091</v>
      </c>
      <c r="CV20" s="8">
        <f>[4]UPC!BF20</f>
        <v>2700.8626193773648</v>
      </c>
      <c r="CW20" s="8">
        <f>[4]UPC!BG20</f>
        <v>2187.1855447601397</v>
      </c>
      <c r="CX20" s="8">
        <f>[4]UPC!BH20</f>
        <v>2187.1855447601397</v>
      </c>
      <c r="CY20" s="8">
        <f>[4]UPC!BI20</f>
        <v>2238.3672371902971</v>
      </c>
      <c r="DA20">
        <v>2040</v>
      </c>
      <c r="DB20" s="133">
        <f t="shared" si="2"/>
        <v>3619.0085928191438</v>
      </c>
      <c r="DC20" s="133">
        <f t="shared" si="8"/>
        <v>4536.9654355509474</v>
      </c>
      <c r="DD20" s="133">
        <f t="shared" si="8"/>
        <v>4466.0063162170645</v>
      </c>
      <c r="DE20" s="133">
        <f t="shared" si="8"/>
        <v>3859.5889008395634</v>
      </c>
      <c r="DF20" s="133">
        <f t="shared" si="8"/>
        <v>4134.4429450975285</v>
      </c>
      <c r="DG20" s="133">
        <f t="shared" si="8"/>
        <v>4279.5858737675098</v>
      </c>
      <c r="DH20" s="133">
        <f t="shared" si="8"/>
        <v>6226.1986389123967</v>
      </c>
      <c r="DI20" s="133">
        <f t="shared" si="8"/>
        <v>16502.867013654315</v>
      </c>
      <c r="DJ20" s="133">
        <f t="shared" si="8"/>
        <v>5011.3651062445833</v>
      </c>
      <c r="DK20" s="133">
        <f t="shared" si="8"/>
        <v>4386.2862063450411</v>
      </c>
      <c r="DM20">
        <v>2040</v>
      </c>
      <c r="DN20" s="219">
        <f t="shared" si="9"/>
        <v>0</v>
      </c>
      <c r="DO20" s="219">
        <f t="shared" si="9"/>
        <v>0.2536487049390318</v>
      </c>
      <c r="DP20" s="219">
        <f t="shared" si="9"/>
        <v>0.2340413684229814</v>
      </c>
      <c r="DQ20" s="219">
        <f t="shared" si="9"/>
        <v>6.6476854599842705E-2</v>
      </c>
      <c r="DR20" s="219">
        <f t="shared" si="9"/>
        <v>0.14242418581185806</v>
      </c>
      <c r="DS20" s="219">
        <f t="shared" si="9"/>
        <v>0.18252990121634058</v>
      </c>
      <c r="DT20" s="219">
        <f t="shared" si="9"/>
        <v>0.72041554454069368</v>
      </c>
      <c r="DU20" s="219">
        <f t="shared" si="9"/>
        <v>3.5600519010646705</v>
      </c>
      <c r="DV20" s="219">
        <f t="shared" si="9"/>
        <v>0.38473423804192142</v>
      </c>
      <c r="DW20" s="219">
        <f t="shared" si="9"/>
        <v>0.21201320578468194</v>
      </c>
    </row>
    <row r="21" spans="1:127" x14ac:dyDescent="0.25">
      <c r="A21">
        <v>2041</v>
      </c>
      <c r="B21" s="223">
        <f>'[7]WACOG Calc'!C68</f>
        <v>4.0656028225976177</v>
      </c>
      <c r="C21" s="223">
        <f>'[7]WACOG Calc'!D68</f>
        <v>4.0353142940278097</v>
      </c>
      <c r="D21" s="223">
        <f>'[7]WACOG Calc'!E68</f>
        <v>4.0253063473642063</v>
      </c>
      <c r="E21" s="223">
        <f>'[7]WACOG Calc'!F68</f>
        <v>3.9381892319914629</v>
      </c>
      <c r="F21" s="223">
        <f>'[7]WACOG Calc'!G68</f>
        <v>3.9943416547984647</v>
      </c>
      <c r="G21" s="223">
        <f>'[7]WACOG Calc'!H68</f>
        <v>3.9307865199006957</v>
      </c>
      <c r="H21" s="223">
        <f>'[7]WACOG Calc'!I68</f>
        <v>3.7136714735098275</v>
      </c>
      <c r="I21" s="223">
        <f>'[7]WACOG Calc'!J68</f>
        <v>4.0415770987456101</v>
      </c>
      <c r="J21" s="223">
        <f>'[7]WACOG Calc'!K68</f>
        <v>4.0415770987385971</v>
      </c>
      <c r="K21" s="223">
        <f>'[7]WACOG Calc'!L68</f>
        <v>4.0508486773403325</v>
      </c>
      <c r="M21">
        <v>2041</v>
      </c>
      <c r="N21" s="154">
        <v>6.6065827795684262</v>
      </c>
      <c r="O21" s="154">
        <v>6.0820343102739631</v>
      </c>
      <c r="P21" s="154">
        <v>5.2399211424115801</v>
      </c>
      <c r="Q21" s="154">
        <v>5.1411541350299013</v>
      </c>
      <c r="R21" s="154">
        <v>5.3785006342741779</v>
      </c>
      <c r="S21" s="154">
        <v>3.1629532787930819</v>
      </c>
      <c r="T21" s="154">
        <v>1.7919513845478592</v>
      </c>
      <c r="U21" s="154">
        <v>3.9772244307506028</v>
      </c>
      <c r="V21" s="154">
        <v>8.5676337715903017</v>
      </c>
      <c r="W21" s="154">
        <v>5.2792615716253586</v>
      </c>
      <c r="Y21">
        <v>2041</v>
      </c>
      <c r="Z21" s="133">
        <v>492.71533653358296</v>
      </c>
      <c r="AA21" s="133">
        <v>492.71533653358296</v>
      </c>
      <c r="AB21" s="133">
        <v>492.71533653358296</v>
      </c>
      <c r="AC21" s="133">
        <v>492.71533653358296</v>
      </c>
      <c r="AD21" s="133">
        <v>593.04241358545596</v>
      </c>
      <c r="AE21" s="133">
        <v>1183.895351222244</v>
      </c>
      <c r="AF21" s="133">
        <v>3503.6149275500115</v>
      </c>
      <c r="AG21" s="133">
        <v>492.71533653358296</v>
      </c>
      <c r="AH21" s="133">
        <v>492.71533653358296</v>
      </c>
      <c r="AI21" s="133">
        <v>492.71533653358296</v>
      </c>
      <c r="AJ21" s="133"/>
      <c r="AK21">
        <v>2041</v>
      </c>
      <c r="AL21" s="8">
        <f>[4]UPC!V21</f>
        <v>502.98213655839754</v>
      </c>
      <c r="AM21" s="8">
        <f>[4]UPC!W21</f>
        <v>393.73088187980005</v>
      </c>
      <c r="AN21" s="8">
        <f>[4]UPC!X21</f>
        <v>405.54915711259787</v>
      </c>
      <c r="AO21" s="8">
        <f>[4]UPC!Y21</f>
        <v>304.70347614578264</v>
      </c>
      <c r="AP21" s="8">
        <f>[4]UPC!Z21</f>
        <v>439.04280077929684</v>
      </c>
      <c r="AQ21" s="8">
        <f>[4]UPC!AA21</f>
        <v>569.41913242716043</v>
      </c>
      <c r="AR21" s="8">
        <f>[4]UPC!AB21</f>
        <v>529.77861459811731</v>
      </c>
      <c r="AS21" s="8">
        <f>[4]UPC!AC21</f>
        <v>401.17602739748452</v>
      </c>
      <c r="AT21" s="8">
        <f>[4]UPC!AD21</f>
        <v>401.17602739748452</v>
      </c>
      <c r="AU21" s="8">
        <f>[4]UPC!AE21</f>
        <v>421.20241582437939</v>
      </c>
      <c r="AW21">
        <v>2041</v>
      </c>
      <c r="AX21" s="133">
        <f t="shared" si="5"/>
        <v>734.15991442943539</v>
      </c>
      <c r="AY21" s="133">
        <f t="shared" si="6"/>
        <v>938.29312491333565</v>
      </c>
      <c r="AZ21" s="133">
        <f t="shared" si="6"/>
        <v>914.49454681772261</v>
      </c>
      <c r="BA21" s="133">
        <f t="shared" si="6"/>
        <v>810.14248754589789</v>
      </c>
      <c r="BB21" s="133">
        <f t="shared" si="6"/>
        <v>1057.7914728194364</v>
      </c>
      <c r="BC21" s="133">
        <f t="shared" si="6"/>
        <v>1671.9812701783781</v>
      </c>
      <c r="BD21" s="133">
        <f t="shared" si="6"/>
        <v>3996.4414783605948</v>
      </c>
      <c r="BE21" s="133">
        <f t="shared" si="6"/>
        <v>857.5741835721675</v>
      </c>
      <c r="BF21" s="133">
        <f t="shared" si="6"/>
        <v>1051.4906814929868</v>
      </c>
      <c r="BG21" s="133">
        <f t="shared" si="6"/>
        <v>932.64403142397032</v>
      </c>
      <c r="BI21">
        <v>2041</v>
      </c>
      <c r="BJ21" s="219">
        <f t="shared" si="7"/>
        <v>0</v>
      </c>
      <c r="BK21" s="219">
        <f t="shared" si="7"/>
        <v>0.27805006303367269</v>
      </c>
      <c r="BL21" s="219">
        <f t="shared" si="7"/>
        <v>0.2456339945070922</v>
      </c>
      <c r="BM21" s="219">
        <f t="shared" si="7"/>
        <v>0.10349594362627879</v>
      </c>
      <c r="BN21" s="219">
        <f t="shared" si="7"/>
        <v>0.44081888976670253</v>
      </c>
      <c r="BO21" s="219">
        <f t="shared" si="7"/>
        <v>1.2774074657532701</v>
      </c>
      <c r="BP21" s="219">
        <f t="shared" si="7"/>
        <v>4.4435571866743713</v>
      </c>
      <c r="BQ21" s="219">
        <f t="shared" si="7"/>
        <v>0.16810270721283599</v>
      </c>
      <c r="BR21" s="219">
        <f t="shared" si="7"/>
        <v>0.43223657520197128</v>
      </c>
      <c r="BS21" s="219">
        <f t="shared" si="7"/>
        <v>0.27035542678571628</v>
      </c>
      <c r="BT21" s="219"/>
      <c r="BU21" s="224">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V21" s="219"/>
      <c r="BW21" s="219"/>
      <c r="BX21" s="219"/>
      <c r="BY21" s="224">
        <v>2041</v>
      </c>
      <c r="BZ21" s="225">
        <v>1671.9812701783781</v>
      </c>
      <c r="CA21" s="224">
        <v>569.41913242716043</v>
      </c>
      <c r="CB21" s="219">
        <f t="array" ref="CB21">INDEX($BK$2:$BS$30,BY21-2021,$BU$21)</f>
        <v>1.2774074657532701</v>
      </c>
      <c r="CC21">
        <v>2041</v>
      </c>
      <c r="CD21" s="133">
        <v>2261.4385970318058</v>
      </c>
      <c r="CE21" s="133">
        <v>2261.4385970318058</v>
      </c>
      <c r="CF21" s="133">
        <v>2261.4385970318058</v>
      </c>
      <c r="CG21" s="133">
        <v>2261.4385970318058</v>
      </c>
      <c r="CH21" s="133">
        <v>2261.4385970318058</v>
      </c>
      <c r="CI21" s="133">
        <v>2261.4385970318058</v>
      </c>
      <c r="CJ21" s="133">
        <v>4812.3975776364232</v>
      </c>
      <c r="CK21" s="133">
        <v>14014.21369256519</v>
      </c>
      <c r="CL21" s="133">
        <v>2261.4385970318058</v>
      </c>
      <c r="CM21" s="133">
        <v>2261.4385970318058</v>
      </c>
      <c r="CN21" s="133"/>
      <c r="CO21">
        <v>2041</v>
      </c>
      <c r="CP21" s="8">
        <f>[4]UPC!AZ21</f>
        <v>2980.0540006766923</v>
      </c>
      <c r="CQ21" s="8">
        <f>[4]UPC!BA21</f>
        <v>2118.7838657305056</v>
      </c>
      <c r="CR21" s="8">
        <f>[4]UPC!BB21</f>
        <v>2181.0981352202484</v>
      </c>
      <c r="CS21" s="8">
        <f>[4]UPC!BC21</f>
        <v>1635.7835217049417</v>
      </c>
      <c r="CT21" s="8">
        <f>[4]UPC!BD21</f>
        <v>1884.3428432069834</v>
      </c>
      <c r="CU21" s="8">
        <f>[4]UPC!BE21</f>
        <v>2673.4737837962525</v>
      </c>
      <c r="CV21" s="8">
        <f>[4]UPC!BF21</f>
        <v>2687.0916118097275</v>
      </c>
      <c r="CW21" s="8">
        <f>[4]UPC!BG21</f>
        <v>2157.737859846844</v>
      </c>
      <c r="CX21" s="8">
        <f>[4]UPC!BH21</f>
        <v>2157.737859846844</v>
      </c>
      <c r="CY21" s="8">
        <f>[4]UPC!BI21</f>
        <v>2211.7295330425372</v>
      </c>
      <c r="DA21">
        <v>2041</v>
      </c>
      <c r="DB21" s="133">
        <f t="shared" si="2"/>
        <v>3657.0797329091556</v>
      </c>
      <c r="DC21" s="133">
        <f t="shared" si="8"/>
        <v>4638.5556587809142</v>
      </c>
      <c r="DD21" s="133">
        <f t="shared" si="8"/>
        <v>4509.2362458304351</v>
      </c>
      <c r="DE21" s="133">
        <f t="shared" si="8"/>
        <v>3945.1936228606278</v>
      </c>
      <c r="DF21" s="133">
        <f t="shared" si="8"/>
        <v>4241.0664073926564</v>
      </c>
      <c r="DG21" s="133">
        <f t="shared" si="8"/>
        <v>4378.3016958811468</v>
      </c>
      <c r="DH21" s="133">
        <f t="shared" si="8"/>
        <v>6625.2747481168999</v>
      </c>
      <c r="DI21" s="133">
        <f t="shared" si="8"/>
        <v>16578.917283099516</v>
      </c>
      <c r="DJ21" s="133">
        <f t="shared" si="8"/>
        <v>5246.2310803364107</v>
      </c>
      <c r="DK21" s="133">
        <f t="shared" si="8"/>
        <v>4554.2319871286745</v>
      </c>
      <c r="DM21">
        <v>2041</v>
      </c>
      <c r="DN21" s="219">
        <f t="shared" si="9"/>
        <v>0</v>
      </c>
      <c r="DO21" s="219">
        <f t="shared" si="9"/>
        <v>0.268376955809768</v>
      </c>
      <c r="DP21" s="219">
        <f t="shared" si="9"/>
        <v>0.23301556847474061</v>
      </c>
      <c r="DQ21" s="219">
        <f t="shared" si="9"/>
        <v>7.8782501611547207E-2</v>
      </c>
      <c r="DR21" s="219">
        <f t="shared" si="9"/>
        <v>0.15968661258007288</v>
      </c>
      <c r="DS21" s="219">
        <f t="shared" si="9"/>
        <v>0.19721253449354501</v>
      </c>
      <c r="DT21" s="219">
        <f t="shared" si="9"/>
        <v>0.81162983363411301</v>
      </c>
      <c r="DU21" s="219">
        <f t="shared" si="9"/>
        <v>3.5333759430810168</v>
      </c>
      <c r="DV21" s="219">
        <f t="shared" si="9"/>
        <v>0.4345410719725018</v>
      </c>
      <c r="DW21" s="219">
        <f t="shared" si="9"/>
        <v>0.24531930385500425</v>
      </c>
    </row>
    <row r="22" spans="1:127" x14ac:dyDescent="0.25">
      <c r="A22">
        <v>2042</v>
      </c>
      <c r="B22" s="223">
        <f>'[7]WACOG Calc'!C69</f>
        <v>4.0862996979427164</v>
      </c>
      <c r="C22" s="223">
        <f>'[7]WACOG Calc'!D69</f>
        <v>4.050301626310806</v>
      </c>
      <c r="D22" s="223">
        <f>'[7]WACOG Calc'!E69</f>
        <v>4.0388178200702454</v>
      </c>
      <c r="E22" s="223">
        <f>'[7]WACOG Calc'!F69</f>
        <v>3.9426671501188828</v>
      </c>
      <c r="F22" s="223">
        <f>'[7]WACOG Calc'!G69</f>
        <v>4.0065660028635657</v>
      </c>
      <c r="G22" s="223">
        <f>'[7]WACOG Calc'!H69</f>
        <v>3.9368884553694725</v>
      </c>
      <c r="H22" s="223">
        <f>'[7]WACOG Calc'!I69</f>
        <v>3.6747959230689853</v>
      </c>
      <c r="I22" s="223">
        <f>'[7]WACOG Calc'!J69</f>
        <v>4.056796848106778</v>
      </c>
      <c r="J22" s="223">
        <f>'[7]WACOG Calc'!K69</f>
        <v>4.0567968482037848</v>
      </c>
      <c r="K22" s="223">
        <f>'[7]WACOG Calc'!L69</f>
        <v>4.0674208141921637</v>
      </c>
      <c r="M22">
        <v>2042</v>
      </c>
      <c r="N22" s="154">
        <v>6.7920427769887137</v>
      </c>
      <c r="O22" s="154">
        <v>6.2239489040491671</v>
      </c>
      <c r="P22" s="154">
        <v>5.5098178881611899</v>
      </c>
      <c r="Q22" s="154">
        <v>5.3173246786803876</v>
      </c>
      <c r="R22" s="154">
        <v>5.5952014038824496</v>
      </c>
      <c r="S22" s="154">
        <v>3.3633197925688201</v>
      </c>
      <c r="T22" s="154">
        <v>2.006798154634466</v>
      </c>
      <c r="U22" s="154">
        <v>4.102604177293693</v>
      </c>
      <c r="V22" s="154">
        <v>8.7245654456302919</v>
      </c>
      <c r="W22" s="154">
        <v>5.4390153426732972</v>
      </c>
      <c r="Y22">
        <v>2042</v>
      </c>
      <c r="Z22" s="133">
        <v>491.49873653358293</v>
      </c>
      <c r="AA22" s="133">
        <v>491.49873653358293</v>
      </c>
      <c r="AB22" s="133">
        <v>491.49873653358293</v>
      </c>
      <c r="AC22" s="133">
        <v>491.49873653358293</v>
      </c>
      <c r="AD22" s="133">
        <v>598.7607849837002</v>
      </c>
      <c r="AE22" s="133">
        <v>1269.0948425174395</v>
      </c>
      <c r="AF22" s="133">
        <v>3508.5201196929079</v>
      </c>
      <c r="AG22" s="133">
        <v>491.49873653358293</v>
      </c>
      <c r="AH22" s="133">
        <v>491.49873653358293</v>
      </c>
      <c r="AI22" s="133">
        <v>491.49873653358293</v>
      </c>
      <c r="AJ22" s="133"/>
      <c r="AK22">
        <v>2042</v>
      </c>
      <c r="AL22" s="8">
        <f>[4]UPC!V22</f>
        <v>497.87630810630833</v>
      </c>
      <c r="AM22" s="8">
        <f>[4]UPC!W22</f>
        <v>384.34959889908447</v>
      </c>
      <c r="AN22" s="8">
        <f>[4]UPC!X22</f>
        <v>394.38773579606914</v>
      </c>
      <c r="AO22" s="8">
        <f>[4]UPC!Y22</f>
        <v>291.7373114010345</v>
      </c>
      <c r="AP22" s="8">
        <f>[4]UPC!Z22</f>
        <v>430.68208990809211</v>
      </c>
      <c r="AQ22" s="8">
        <f>[4]UPC!AA22</f>
        <v>566.92729554456378</v>
      </c>
      <c r="AR22" s="8">
        <f>[4]UPC!AB22</f>
        <v>519.97692479206626</v>
      </c>
      <c r="AS22" s="8">
        <f>[4]UPC!AC22</f>
        <v>391.60362627948928</v>
      </c>
      <c r="AT22" s="8">
        <f>[4]UPC!AD22</f>
        <v>391.60362627948928</v>
      </c>
      <c r="AU22" s="8">
        <f>[4]UPC!AE22</f>
        <v>412.16192245290125</v>
      </c>
      <c r="AW22">
        <v>2042</v>
      </c>
      <c r="AX22" s="133">
        <f t="shared" si="5"/>
        <v>731.77805089199364</v>
      </c>
      <c r="AY22" s="133">
        <f t="shared" si="6"/>
        <v>933.36776817588145</v>
      </c>
      <c r="AZ22" s="133">
        <f t="shared" si="6"/>
        <v>914.09373479057956</v>
      </c>
      <c r="BA22" s="133">
        <f t="shared" si="6"/>
        <v>802.01455267737367</v>
      </c>
      <c r="BB22" s="133">
        <f t="shared" si="6"/>
        <v>1065.9431709865223</v>
      </c>
      <c r="BC22" s="133">
        <f t="shared" si="6"/>
        <v>1772.1606438526946</v>
      </c>
      <c r="BD22" s="133">
        <f t="shared" si="6"/>
        <v>4005.559246107875</v>
      </c>
      <c r="BE22" s="133">
        <f t="shared" si="6"/>
        <v>854.00810300942521</v>
      </c>
      <c r="BF22" s="133">
        <f t="shared" si="6"/>
        <v>1044.5986593378025</v>
      </c>
      <c r="BG22" s="133">
        <f t="shared" si="6"/>
        <v>930.13368208988072</v>
      </c>
      <c r="BI22">
        <v>2042</v>
      </c>
      <c r="BJ22" s="219">
        <f t="shared" si="7"/>
        <v>0</v>
      </c>
      <c r="BK22" s="219">
        <f t="shared" si="7"/>
        <v>0.27547931649242829</v>
      </c>
      <c r="BL22" s="219">
        <f t="shared" si="7"/>
        <v>0.24914068367636064</v>
      </c>
      <c r="BM22" s="219">
        <f t="shared" si="7"/>
        <v>9.5980607370999907E-2</v>
      </c>
      <c r="BN22" s="219">
        <f t="shared" si="7"/>
        <v>0.45664818682003566</v>
      </c>
      <c r="BO22" s="219">
        <f t="shared" si="7"/>
        <v>1.4217187734621677</v>
      </c>
      <c r="BP22" s="219">
        <f t="shared" si="7"/>
        <v>4.4737351594863197</v>
      </c>
      <c r="BQ22" s="219">
        <f t="shared" si="7"/>
        <v>0.16703159102468357</v>
      </c>
      <c r="BR22" s="219">
        <f t="shared" si="7"/>
        <v>0.42748017389220577</v>
      </c>
      <c r="BS22" s="219">
        <f t="shared" si="7"/>
        <v>0.27105982607172141</v>
      </c>
      <c r="BT22" s="219"/>
      <c r="BU22" s="219"/>
      <c r="BV22" s="219"/>
      <c r="BW22" s="219"/>
      <c r="BX22" s="219"/>
      <c r="BY22" s="224">
        <v>2042</v>
      </c>
      <c r="BZ22" s="225">
        <v>1772.1606438526946</v>
      </c>
      <c r="CA22" s="224">
        <v>566.92729554456378</v>
      </c>
      <c r="CB22" s="219">
        <f t="array" ref="CB22">INDEX($BK$2:$BS$30,BY22-2021,$BU$21)</f>
        <v>1.4217187734621677</v>
      </c>
      <c r="CC22">
        <v>2042</v>
      </c>
      <c r="CD22" s="133">
        <v>2276.4385970318058</v>
      </c>
      <c r="CE22" s="133">
        <v>2276.4385970318058</v>
      </c>
      <c r="CF22" s="133">
        <v>2276.4385970318058</v>
      </c>
      <c r="CG22" s="133">
        <v>2276.4385970318058</v>
      </c>
      <c r="CH22" s="133">
        <v>2276.4385970318058</v>
      </c>
      <c r="CI22" s="133">
        <v>2276.4385970318058</v>
      </c>
      <c r="CJ22" s="133">
        <v>5172.8546093726554</v>
      </c>
      <c r="CK22" s="133">
        <v>14042.667980433831</v>
      </c>
      <c r="CL22" s="133">
        <v>2276.4385970318058</v>
      </c>
      <c r="CM22" s="133">
        <v>2276.4385970318058</v>
      </c>
      <c r="CN22" s="133"/>
      <c r="CO22">
        <v>2042</v>
      </c>
      <c r="CP22" s="8">
        <f>[4]UPC!AZ22</f>
        <v>2983.6432845236181</v>
      </c>
      <c r="CQ22" s="8">
        <f>[4]UPC!BA22</f>
        <v>2104.9504531004923</v>
      </c>
      <c r="CR22" s="8">
        <f>[4]UPC!BB22</f>
        <v>2166.4456989093719</v>
      </c>
      <c r="CS22" s="8">
        <f>[4]UPC!BC22</f>
        <v>1602.5806053241643</v>
      </c>
      <c r="CT22" s="8">
        <f>[4]UPC!BD22</f>
        <v>1858.5101479320333</v>
      </c>
      <c r="CU22" s="8">
        <f>[4]UPC!BE22</f>
        <v>2667.2845799941474</v>
      </c>
      <c r="CV22" s="8">
        <f>[4]UPC!BF22</f>
        <v>2691.3582647591088</v>
      </c>
      <c r="CW22" s="8">
        <f>[4]UPC!BG22</f>
        <v>2143.2125693185826</v>
      </c>
      <c r="CX22" s="8">
        <f>[4]UPC!BH22</f>
        <v>2143.2125693185826</v>
      </c>
      <c r="CY22" s="8">
        <f>[4]UPC!BI22</f>
        <v>2200.2365052913206</v>
      </c>
      <c r="DA22">
        <v>2042</v>
      </c>
      <c r="DB22" s="133">
        <f t="shared" si="2"/>
        <v>3680.9138293635424</v>
      </c>
      <c r="DC22" s="133">
        <f t="shared" si="8"/>
        <v>4674.3906516279021</v>
      </c>
      <c r="DD22" s="133">
        <f t="shared" si="8"/>
        <v>4575.3889027604528</v>
      </c>
      <c r="DE22" s="133">
        <f t="shared" si="8"/>
        <v>3959.7295552484443</v>
      </c>
      <c r="DF22" s="133">
        <f t="shared" si="8"/>
        <v>4276.1664644932016</v>
      </c>
      <c r="DG22" s="133">
        <f t="shared" si="8"/>
        <v>4447.4633160411822</v>
      </c>
      <c r="DH22" s="133">
        <f t="shared" si="8"/>
        <v>7057.1798089163422</v>
      </c>
      <c r="DI22" s="133">
        <f t="shared" si="8"/>
        <v>16628.345320401215</v>
      </c>
      <c r="DJ22" s="133">
        <f t="shared" si="8"/>
        <v>5281.5913092926166</v>
      </c>
      <c r="DK22" s="133">
        <f t="shared" si="8"/>
        <v>4599.5875911282128</v>
      </c>
      <c r="DM22">
        <v>2042</v>
      </c>
      <c r="DN22" s="219">
        <f t="shared" si="9"/>
        <v>0</v>
      </c>
      <c r="DO22" s="219">
        <f t="shared" si="9"/>
        <v>0.26989950548126235</v>
      </c>
      <c r="DP22" s="219">
        <f t="shared" si="9"/>
        <v>0.24300353522580881</v>
      </c>
      <c r="DQ22" s="219">
        <f t="shared" si="9"/>
        <v>7.5746333331881133E-2</v>
      </c>
      <c r="DR22" s="219">
        <f t="shared" si="9"/>
        <v>0.16171327630144031</v>
      </c>
      <c r="DS22" s="219">
        <f t="shared" si="9"/>
        <v>0.20824977769451941</v>
      </c>
      <c r="DT22" s="219">
        <f t="shared" si="9"/>
        <v>0.91723581047171143</v>
      </c>
      <c r="DU22" s="219">
        <f t="shared" si="9"/>
        <v>3.5174503102335271</v>
      </c>
      <c r="DV22" s="219">
        <f t="shared" si="9"/>
        <v>0.43485872099479261</v>
      </c>
      <c r="DW22" s="219">
        <f t="shared" si="9"/>
        <v>0.24957763325948762</v>
      </c>
    </row>
    <row r="23" spans="1:127" x14ac:dyDescent="0.25">
      <c r="A23">
        <v>2043</v>
      </c>
      <c r="B23" s="223">
        <f>'[7]WACOG Calc'!C70</f>
        <v>4.0551099828426675</v>
      </c>
      <c r="C23" s="223">
        <f>'[7]WACOG Calc'!D70</f>
        <v>4.0142092699353515</v>
      </c>
      <c r="D23" s="223">
        <f>'[7]WACOG Calc'!E70</f>
        <v>4.0028781361893131</v>
      </c>
      <c r="E23" s="223">
        <f>'[7]WACOG Calc'!F70</f>
        <v>3.8980709236047906</v>
      </c>
      <c r="F23" s="223">
        <f>'[7]WACOG Calc'!G70</f>
        <v>3.9690714779283374</v>
      </c>
      <c r="G23" s="223">
        <f>'[7]WACOG Calc'!H70</f>
        <v>3.8886971426475867</v>
      </c>
      <c r="H23" s="223">
        <f>'[7]WACOG Calc'!I70</f>
        <v>3.5976862719205824</v>
      </c>
      <c r="I23" s="223">
        <f>'[7]WACOG Calc'!J70</f>
        <v>4.0220427757261756</v>
      </c>
      <c r="J23" s="223">
        <f>'[7]WACOG Calc'!K70</f>
        <v>4.0220427757785133</v>
      </c>
      <c r="K23" s="223">
        <f>'[7]WACOG Calc'!L70</f>
        <v>4.0341502993365976</v>
      </c>
      <c r="M23">
        <v>2043</v>
      </c>
      <c r="N23" s="154">
        <v>6.9804912169324176</v>
      </c>
      <c r="O23" s="154">
        <v>6.4665549815815142</v>
      </c>
      <c r="P23" s="154">
        <v>5.8644369882375287</v>
      </c>
      <c r="Q23" s="154">
        <v>5.5740101469749472</v>
      </c>
      <c r="R23" s="154">
        <v>5.8320242818795798</v>
      </c>
      <c r="S23" s="154">
        <v>3.5769022625353428</v>
      </c>
      <c r="T23" s="154">
        <v>2.2784101086333832</v>
      </c>
      <c r="U23" s="154">
        <v>4.3279686480578308</v>
      </c>
      <c r="V23" s="154">
        <v>8.9811403985978089</v>
      </c>
      <c r="W23" s="154">
        <v>5.6668380256784223</v>
      </c>
      <c r="Y23">
        <v>2043</v>
      </c>
      <c r="Z23" s="133">
        <v>490.28213653358296</v>
      </c>
      <c r="AA23" s="133">
        <v>490.28213653358296</v>
      </c>
      <c r="AB23" s="133">
        <v>490.28213653358296</v>
      </c>
      <c r="AC23" s="133">
        <v>490.28213653358296</v>
      </c>
      <c r="AD23" s="133">
        <v>604.44714960757824</v>
      </c>
      <c r="AE23" s="133">
        <v>1366.9978415675128</v>
      </c>
      <c r="AF23" s="133">
        <v>3513.003884710432</v>
      </c>
      <c r="AG23" s="133">
        <v>490.28213653358296</v>
      </c>
      <c r="AH23" s="133">
        <v>490.28213653358296</v>
      </c>
      <c r="AI23" s="133">
        <v>490.28213653358296</v>
      </c>
      <c r="AJ23" s="133"/>
      <c r="AK23">
        <v>2043</v>
      </c>
      <c r="AL23" s="8">
        <f>[4]UPC!V23</f>
        <v>492.78627518434189</v>
      </c>
      <c r="AM23" s="8">
        <f>[4]UPC!W23</f>
        <v>375.20727027301348</v>
      </c>
      <c r="AN23" s="8">
        <f>[4]UPC!X23</f>
        <v>384.02053211369372</v>
      </c>
      <c r="AO23" s="8">
        <f>[4]UPC!Y23</f>
        <v>277.8084292492448</v>
      </c>
      <c r="AP23" s="8">
        <f>[4]UPC!Z23</f>
        <v>422.03175999447751</v>
      </c>
      <c r="AQ23" s="8">
        <f>[4]UPC!AA23</f>
        <v>564.29185520104215</v>
      </c>
      <c r="AR23" s="8">
        <f>[4]UPC!AB23</f>
        <v>507.62491917752442</v>
      </c>
      <c r="AS23" s="8">
        <f>[4]UPC!AC23</f>
        <v>382.36046770113387</v>
      </c>
      <c r="AT23" s="8">
        <f>[4]UPC!AD23</f>
        <v>382.36046770113387</v>
      </c>
      <c r="AU23" s="8">
        <f>[4]UPC!AE23</f>
        <v>403.34342690492542</v>
      </c>
      <c r="AW23">
        <v>2043</v>
      </c>
      <c r="AX23" s="133">
        <f t="shared" si="5"/>
        <v>726.68834764336248</v>
      </c>
      <c r="AY23" s="133">
        <f t="shared" si="6"/>
        <v>930.35501669801465</v>
      </c>
      <c r="AZ23" s="133">
        <f t="shared" si="6"/>
        <v>915.27528373591645</v>
      </c>
      <c r="BA23" s="133">
        <f t="shared" si="6"/>
        <v>793.35603317266714</v>
      </c>
      <c r="BB23" s="133">
        <f t="shared" si="6"/>
        <v>1072.0429984503412</v>
      </c>
      <c r="BC23" s="133">
        <f t="shared" si="6"/>
        <v>1883.0541387986921</v>
      </c>
      <c r="BD23" s="133">
        <f t="shared" si="6"/>
        <v>4013.2875062622575</v>
      </c>
      <c r="BE23" s="133">
        <f t="shared" si="6"/>
        <v>852.45990274918086</v>
      </c>
      <c r="BF23" s="133">
        <f t="shared" si="6"/>
        <v>1039.8084967465049</v>
      </c>
      <c r="BG23" s="133">
        <f t="shared" si="6"/>
        <v>928.28807564698002</v>
      </c>
      <c r="BI23">
        <v>2043</v>
      </c>
      <c r="BJ23" s="219">
        <f t="shared" si="7"/>
        <v>0</v>
      </c>
      <c r="BK23" s="219">
        <f t="shared" si="7"/>
        <v>0.28026687054380273</v>
      </c>
      <c r="BL23" s="219">
        <f t="shared" si="7"/>
        <v>0.25951556358945083</v>
      </c>
      <c r="BM23" s="219">
        <f t="shared" si="7"/>
        <v>9.1741784143789834E-2</v>
      </c>
      <c r="BN23" s="219">
        <f t="shared" si="7"/>
        <v>0.47524451427762365</v>
      </c>
      <c r="BO23" s="219">
        <f t="shared" si="7"/>
        <v>1.5912815925911066</v>
      </c>
      <c r="BP23" s="219">
        <f t="shared" si="7"/>
        <v>4.5227079383855235</v>
      </c>
      <c r="BQ23" s="219">
        <f t="shared" si="7"/>
        <v>0.17307495780508014</v>
      </c>
      <c r="BR23" s="219">
        <f t="shared" si="7"/>
        <v>0.43088643174007896</v>
      </c>
      <c r="BS23" s="219">
        <f t="shared" si="7"/>
        <v>0.27742254111738812</v>
      </c>
      <c r="BT23" s="219"/>
      <c r="BU23" s="219"/>
      <c r="BV23" s="219"/>
      <c r="BW23" s="219"/>
      <c r="BX23" s="219"/>
      <c r="BY23" s="224">
        <v>2043</v>
      </c>
      <c r="BZ23" s="225">
        <v>1883.0541387986921</v>
      </c>
      <c r="CA23" s="224">
        <v>564.29185520104215</v>
      </c>
      <c r="CB23" s="219">
        <f t="array" ref="CB23">INDEX($BK$2:$BS$30,BY23-2021,$BU$21)</f>
        <v>1.5912815925911066</v>
      </c>
      <c r="CC23">
        <v>2043</v>
      </c>
      <c r="CD23" s="133">
        <v>2291.4385970318058</v>
      </c>
      <c r="CE23" s="133">
        <v>2291.4385970318058</v>
      </c>
      <c r="CF23" s="133">
        <v>2291.4385970318058</v>
      </c>
      <c r="CG23" s="133">
        <v>2291.4385970318058</v>
      </c>
      <c r="CH23" s="133">
        <v>2291.4385970318058</v>
      </c>
      <c r="CI23" s="133">
        <v>2291.4385970318058</v>
      </c>
      <c r="CJ23" s="133">
        <v>5588.0027904251992</v>
      </c>
      <c r="CK23" s="133">
        <v>14070.892025390496</v>
      </c>
      <c r="CL23" s="133">
        <v>2291.4385970318058</v>
      </c>
      <c r="CM23" s="133">
        <v>2291.4385970318058</v>
      </c>
      <c r="CN23" s="133"/>
      <c r="CO23">
        <v>2043</v>
      </c>
      <c r="CP23" s="8">
        <f>[4]UPC!AZ23</f>
        <v>2986.6612410725402</v>
      </c>
      <c r="CQ23" s="8">
        <f>[4]UPC!BA23</f>
        <v>2091.307249554085</v>
      </c>
      <c r="CR23" s="8">
        <f>[4]UPC!BB23</f>
        <v>2153.9249799527079</v>
      </c>
      <c r="CS23" s="8">
        <f>[4]UPC!BC23</f>
        <v>1564.1521442209107</v>
      </c>
      <c r="CT23" s="8">
        <f>[4]UPC!BD23</f>
        <v>1832.7552282412612</v>
      </c>
      <c r="CU23" s="8">
        <f>[4]UPC!BE23</f>
        <v>2660.6639659754069</v>
      </c>
      <c r="CV23" s="8">
        <f>[4]UPC!BF23</f>
        <v>2699.2122813165256</v>
      </c>
      <c r="CW23" s="8">
        <f>[4]UPC!BG23</f>
        <v>2129.2692778686701</v>
      </c>
      <c r="CX23" s="8">
        <f>[4]UPC!BH23</f>
        <v>2129.2692778686701</v>
      </c>
      <c r="CY23" s="8">
        <f>[4]UPC!BI23</f>
        <v>2189.0197708270366</v>
      </c>
      <c r="DA23">
        <v>2043</v>
      </c>
      <c r="DB23" s="133">
        <f t="shared" si="2"/>
        <v>3688.1983950931694</v>
      </c>
      <c r="DC23" s="133">
        <f t="shared" si="8"/>
        <v>4720.9027094592839</v>
      </c>
      <c r="DD23" s="133">
        <f t="shared" si="8"/>
        <v>4650.8738154486155</v>
      </c>
      <c r="DE23" s="133">
        <f t="shared" si="8"/>
        <v>3972.9860467115936</v>
      </c>
      <c r="DF23" s="133">
        <f t="shared" si="8"/>
        <v>4304.389742632904</v>
      </c>
      <c r="DG23" s="133">
        <f t="shared" si="8"/>
        <v>4504.5062668576784</v>
      </c>
      <c r="DH23" s="133">
        <f t="shared" si="8"/>
        <v>7554.312497014751</v>
      </c>
      <c r="DI23" s="133">
        <f t="shared" si="8"/>
        <v>16688.822522998697</v>
      </c>
      <c r="DJ23" s="133">
        <f t="shared" si="8"/>
        <v>5328.3552632171231</v>
      </c>
      <c r="DK23" s="133">
        <f t="shared" si="8"/>
        <v>4648.9993394486119</v>
      </c>
      <c r="DM23">
        <v>2043</v>
      </c>
      <c r="DN23" s="219">
        <f t="shared" si="9"/>
        <v>0</v>
      </c>
      <c r="DO23" s="219">
        <f t="shared" si="9"/>
        <v>0.28000237615743195</v>
      </c>
      <c r="DP23" s="219">
        <f t="shared" si="9"/>
        <v>0.2610150857492381</v>
      </c>
      <c r="DQ23" s="219">
        <f t="shared" si="9"/>
        <v>7.7215925259690385E-2</v>
      </c>
      <c r="DR23" s="219">
        <f t="shared" si="9"/>
        <v>0.16707109583896684</v>
      </c>
      <c r="DS23" s="219">
        <f t="shared" si="9"/>
        <v>0.22132970743941982</v>
      </c>
      <c r="DT23" s="219">
        <f t="shared" si="9"/>
        <v>1.0482391910004389</v>
      </c>
      <c r="DU23" s="219">
        <f t="shared" si="9"/>
        <v>3.524925379611286</v>
      </c>
      <c r="DV23" s="219">
        <f t="shared" si="9"/>
        <v>0.44470407836683656</v>
      </c>
      <c r="DW23" s="219">
        <f t="shared" si="9"/>
        <v>0.26050684953220127</v>
      </c>
    </row>
    <row r="24" spans="1:127" x14ac:dyDescent="0.25">
      <c r="A24">
        <v>2044</v>
      </c>
      <c r="B24" s="223">
        <f>'[7]WACOG Calc'!C71</f>
        <v>4.2603572813758426</v>
      </c>
      <c r="C24" s="223">
        <f>'[7]WACOG Calc'!D71</f>
        <v>4.2128591811741734</v>
      </c>
      <c r="D24" s="223">
        <f>'[7]WACOG Calc'!E71</f>
        <v>4.2005549395140545</v>
      </c>
      <c r="E24" s="223">
        <f>'[7]WACOG Calc'!F71</f>
        <v>4.0895701751765321</v>
      </c>
      <c r="F24" s="223">
        <f>'[7]WACOG Calc'!G71</f>
        <v>4.1620732694661999</v>
      </c>
      <c r="G24" s="223">
        <f>'[7]WACOG Calc'!H71</f>
        <v>4.0812959528142665</v>
      </c>
      <c r="H24" s="223">
        <f>'[7]WACOG Calc'!I71</f>
        <v>3.8107794940566229</v>
      </c>
      <c r="I24" s="223">
        <f>'[7]WACOG Calc'!J71</f>
        <v>4.2222931680153177</v>
      </c>
      <c r="J24" s="223">
        <f>'[7]WACOG Calc'!K71</f>
        <v>4.2222931679908982</v>
      </c>
      <c r="K24" s="223">
        <f>'[7]WACOG Calc'!L71</f>
        <v>4.2360061900379415</v>
      </c>
      <c r="M24">
        <v>2044</v>
      </c>
      <c r="N24" s="154">
        <v>7.2192693025118162</v>
      </c>
      <c r="O24" s="154">
        <v>6.8515059397060449</v>
      </c>
      <c r="P24" s="154">
        <v>6.4850573753264653</v>
      </c>
      <c r="Q24" s="154">
        <v>5.9256013453094507</v>
      </c>
      <c r="R24" s="154">
        <v>6.1862997043602368</v>
      </c>
      <c r="S24" s="154">
        <v>3.9908366132212048</v>
      </c>
      <c r="T24" s="154">
        <v>2.6145948473280725</v>
      </c>
      <c r="U24" s="154">
        <v>4.5308746615126214</v>
      </c>
      <c r="V24" s="154">
        <v>9.2527524663719838</v>
      </c>
      <c r="W24" s="154">
        <v>5.9539333830759382</v>
      </c>
      <c r="Y24">
        <v>2044</v>
      </c>
      <c r="Z24" s="133">
        <v>489.06553653358293</v>
      </c>
      <c r="AA24" s="133">
        <v>489.06553653358293</v>
      </c>
      <c r="AB24" s="133">
        <v>489.06553653358293</v>
      </c>
      <c r="AC24" s="133">
        <v>489.06553653358293</v>
      </c>
      <c r="AD24" s="133">
        <v>610.10222910401876</v>
      </c>
      <c r="AE24" s="133">
        <v>1480.719299946757</v>
      </c>
      <c r="AF24" s="133">
        <v>3517.1834080589406</v>
      </c>
      <c r="AG24" s="133">
        <v>489.06553653358293</v>
      </c>
      <c r="AH24" s="133">
        <v>489.06553653358293</v>
      </c>
      <c r="AI24" s="133">
        <v>489.06553653358293</v>
      </c>
      <c r="AJ24" s="133"/>
      <c r="AK24">
        <v>2044</v>
      </c>
      <c r="AL24" s="8">
        <f>[4]UPC!V24</f>
        <v>490.86520526035451</v>
      </c>
      <c r="AM24" s="8">
        <f>[4]UPC!W24</f>
        <v>368.06408320088462</v>
      </c>
      <c r="AN24" s="8">
        <f>[4]UPC!X24</f>
        <v>375.9424408489599</v>
      </c>
      <c r="AO24" s="8">
        <f>[4]UPC!Y24</f>
        <v>264.92053107340462</v>
      </c>
      <c r="AP24" s="8">
        <f>[4]UPC!Z24</f>
        <v>415.79705163066325</v>
      </c>
      <c r="AQ24" s="8">
        <f>[4]UPC!AA24</f>
        <v>565.21886096603191</v>
      </c>
      <c r="AR24" s="8">
        <f>[4]UPC!AB24</f>
        <v>494.71301807638037</v>
      </c>
      <c r="AS24" s="8">
        <f>[4]UPC!AC24</f>
        <v>375.17940882661554</v>
      </c>
      <c r="AT24" s="8">
        <f>[4]UPC!AD24</f>
        <v>375.17940882661554</v>
      </c>
      <c r="AU24" s="8">
        <f>[4]UPC!AE24</f>
        <v>396.64190745835327</v>
      </c>
      <c r="AW24">
        <v>2044</v>
      </c>
      <c r="AX24" s="133">
        <f t="shared" si="5"/>
        <v>735.19580921280908</v>
      </c>
      <c r="AY24" s="133">
        <f t="shared" si="6"/>
        <v>943.80924605493306</v>
      </c>
      <c r="AZ24" s="133">
        <f t="shared" si="6"/>
        <v>937.99455596126404</v>
      </c>
      <c r="BA24" s="133">
        <f t="shared" si="6"/>
        <v>794.37055592709271</v>
      </c>
      <c r="BB24" s="133">
        <f t="shared" si="6"/>
        <v>1095.5249061656436</v>
      </c>
      <c r="BC24" s="133">
        <f t="shared" si="6"/>
        <v>2039.6309446431424</v>
      </c>
      <c r="BD24" s="133">
        <f t="shared" si="6"/>
        <v>4038.3129585190541</v>
      </c>
      <c r="BE24" s="133">
        <f t="shared" si="6"/>
        <v>860.79208729181187</v>
      </c>
      <c r="BF24" s="133">
        <f t="shared" si="6"/>
        <v>1047.3364416426193</v>
      </c>
      <c r="BG24" s="133">
        <f t="shared" si="6"/>
        <v>940.58302935296331</v>
      </c>
      <c r="BI24">
        <v>2044</v>
      </c>
      <c r="BJ24" s="219">
        <f t="shared" si="7"/>
        <v>0</v>
      </c>
      <c r="BK24" s="219">
        <f t="shared" si="7"/>
        <v>0.28375221162575875</v>
      </c>
      <c r="BL24" s="219">
        <f t="shared" si="7"/>
        <v>0.2758431756644481</v>
      </c>
      <c r="BM24" s="219">
        <f t="shared" si="7"/>
        <v>8.0488416790138365E-2</v>
      </c>
      <c r="BN24" s="219">
        <f t="shared" si="7"/>
        <v>0.49011309971781142</v>
      </c>
      <c r="BO24" s="219">
        <f t="shared" si="7"/>
        <v>1.7742690030116217</v>
      </c>
      <c r="BP24" s="219">
        <f t="shared" si="7"/>
        <v>4.4928400133876822</v>
      </c>
      <c r="BQ24" s="219">
        <f t="shared" si="7"/>
        <v>0.17083377857319615</v>
      </c>
      <c r="BR24" s="219">
        <f t="shared" si="7"/>
        <v>0.42456802462465931</v>
      </c>
      <c r="BS24" s="219">
        <f t="shared" si="7"/>
        <v>0.27936397020552528</v>
      </c>
      <c r="BT24" s="219"/>
      <c r="BU24" s="219"/>
      <c r="BV24" s="219"/>
      <c r="BW24" s="219"/>
      <c r="BX24" s="219"/>
      <c r="BY24" s="224">
        <v>2044</v>
      </c>
      <c r="BZ24" s="225">
        <v>2039.6309446431424</v>
      </c>
      <c r="CA24" s="224">
        <v>565.21886096603191</v>
      </c>
      <c r="CB24" s="219">
        <f t="array" ref="CB24">INDEX($BK$2:$BS$30,BY24-2021,$BU$21)</f>
        <v>1.7742690030116217</v>
      </c>
      <c r="CC24">
        <v>2044</v>
      </c>
      <c r="CD24" s="133">
        <v>2306.4385970318058</v>
      </c>
      <c r="CE24" s="133">
        <v>2306.4385970318058</v>
      </c>
      <c r="CF24" s="133">
        <v>2306.4385970318058</v>
      </c>
      <c r="CG24" s="133">
        <v>2306.4385970318058</v>
      </c>
      <c r="CH24" s="133">
        <v>2306.4385970318058</v>
      </c>
      <c r="CI24" s="133">
        <v>2306.4385970318058</v>
      </c>
      <c r="CJ24" s="133">
        <v>6072.1341820049256</v>
      </c>
      <c r="CK24" s="133">
        <v>14100.247289102101</v>
      </c>
      <c r="CL24" s="133">
        <v>2306.4385970318058</v>
      </c>
      <c r="CM24" s="133">
        <v>2306.4385970318058</v>
      </c>
      <c r="CN24" s="133"/>
      <c r="CO24">
        <v>2044</v>
      </c>
      <c r="CP24" s="8">
        <f>[4]UPC!AZ24</f>
        <v>3006.8868322653448</v>
      </c>
      <c r="CQ24" s="8">
        <f>[4]UPC!BA24</f>
        <v>2088.2870670719531</v>
      </c>
      <c r="CR24" s="8">
        <f>[4]UPC!BB24</f>
        <v>2153.0176094282851</v>
      </c>
      <c r="CS24" s="8">
        <f>[4]UPC!BC24</f>
        <v>1530.8820461508449</v>
      </c>
      <c r="CT24" s="8">
        <f>[4]UPC!BD24</f>
        <v>1817.0613845156663</v>
      </c>
      <c r="CU24" s="8">
        <f>[4]UPC!BE24</f>
        <v>2670.0935546588853</v>
      </c>
      <c r="CV24" s="8">
        <f>[4]UPC!BF24</f>
        <v>2729.8221815628663</v>
      </c>
      <c r="CW24" s="8">
        <f>[4]UPC!BG24</f>
        <v>2126.2940220129335</v>
      </c>
      <c r="CX24" s="8">
        <f>[4]UPC!BH24</f>
        <v>2126.2940220129335</v>
      </c>
      <c r="CY24" s="8">
        <f>[4]UPC!BI24</f>
        <v>2189.0547629898838</v>
      </c>
      <c r="DA24">
        <v>2044</v>
      </c>
      <c r="DB24" s="133">
        <f t="shared" si="2"/>
        <v>3777.6162483995804</v>
      </c>
      <c r="DC24" s="133">
        <f t="shared" si="8"/>
        <v>4861.6964255167777</v>
      </c>
      <c r="DD24" s="133">
        <f t="shared" si="8"/>
        <v>4851.2444416633189</v>
      </c>
      <c r="DE24" s="133">
        <f t="shared" si="8"/>
        <v>4043.1443148879325</v>
      </c>
      <c r="DF24" s="133">
        <f t="shared" si="8"/>
        <v>4408.7019682985674</v>
      </c>
      <c r="DG24" s="133">
        <f t="shared" si="8"/>
        <v>4698.2475067925252</v>
      </c>
      <c r="DH24" s="133">
        <f t="shared" si="8"/>
        <v>8240.9329196772414</v>
      </c>
      <c r="DI24" s="133">
        <f t="shared" si="8"/>
        <v>16807.383823061515</v>
      </c>
      <c r="DJ24" s="133">
        <f t="shared" si="8"/>
        <v>5445.7258581313145</v>
      </c>
      <c r="DK24" s="133">
        <f t="shared" si="8"/>
        <v>4777.5369978975468</v>
      </c>
      <c r="DM24">
        <v>2044</v>
      </c>
      <c r="DN24" s="219">
        <f t="shared" si="9"/>
        <v>0</v>
      </c>
      <c r="DO24" s="219">
        <f t="shared" si="9"/>
        <v>0.28697467022397449</v>
      </c>
      <c r="DP24" s="219">
        <f t="shared" si="9"/>
        <v>0.28420785031263834</v>
      </c>
      <c r="DQ24" s="219">
        <f t="shared" si="9"/>
        <v>7.0289846566825145E-2</v>
      </c>
      <c r="DR24" s="219">
        <f t="shared" si="9"/>
        <v>0.1670592454080935</v>
      </c>
      <c r="DS24" s="219">
        <f t="shared" si="9"/>
        <v>0.24370692994106485</v>
      </c>
      <c r="DT24" s="219">
        <f t="shared" si="9"/>
        <v>1.1815166967180915</v>
      </c>
      <c r="DU24" s="219">
        <f t="shared" si="9"/>
        <v>3.4492036029816711</v>
      </c>
      <c r="DV24" s="219">
        <f t="shared" si="9"/>
        <v>0.44157730696929393</v>
      </c>
      <c r="DW24" s="219">
        <f t="shared" si="9"/>
        <v>0.26469622210080007</v>
      </c>
    </row>
    <row r="25" spans="1:127" x14ac:dyDescent="0.25">
      <c r="A25">
        <v>2045</v>
      </c>
      <c r="B25" s="223">
        <f>'[7]WACOG Calc'!C72</f>
        <v>4.361266263937603</v>
      </c>
      <c r="C25" s="223">
        <f>'[7]WACOG Calc'!D72</f>
        <v>4.3111906933630815</v>
      </c>
      <c r="D25" s="223">
        <f>'[7]WACOG Calc'!E72</f>
        <v>4.2972988216551604</v>
      </c>
      <c r="E25" s="223">
        <f>'[7]WACOG Calc'!F72</f>
        <v>4.1898558544861659</v>
      </c>
      <c r="F25" s="223">
        <f>'[7]WACOG Calc'!G72</f>
        <v>4.2588054329416494</v>
      </c>
      <c r="G25" s="223">
        <f>'[7]WACOG Calc'!H72</f>
        <v>4.1851255186607172</v>
      </c>
      <c r="H25" s="223">
        <f>'[7]WACOG Calc'!I72</f>
        <v>3.8699902899238041</v>
      </c>
      <c r="I25" s="223">
        <f>'[7]WACOG Calc'!J72</f>
        <v>4.3182871457929402</v>
      </c>
      <c r="J25" s="223">
        <f>'[7]WACOG Calc'!K72</f>
        <v>4.3182871457750798</v>
      </c>
      <c r="K25" s="223">
        <f>'[7]WACOG Calc'!L72</f>
        <v>4.3336338162789287</v>
      </c>
      <c r="M25">
        <v>2045</v>
      </c>
      <c r="N25" s="154">
        <v>7.5324314484904704</v>
      </c>
      <c r="O25" s="154">
        <v>7.1552894945499785</v>
      </c>
      <c r="P25" s="154">
        <v>6.9351985331370889</v>
      </c>
      <c r="Q25" s="154">
        <v>6.2441222938257495</v>
      </c>
      <c r="R25" s="154">
        <v>6.5139918594260671</v>
      </c>
      <c r="S25" s="154">
        <v>4.2361116865548203</v>
      </c>
      <c r="T25" s="154">
        <v>3.11002555617041</v>
      </c>
      <c r="U25" s="154">
        <v>4.626813377027184</v>
      </c>
      <c r="V25" s="154">
        <v>9.9781216443234992</v>
      </c>
      <c r="W25" s="154">
        <v>6.2679230346919272</v>
      </c>
      <c r="Y25">
        <v>2045</v>
      </c>
      <c r="Z25" s="133">
        <v>487.84893653358296</v>
      </c>
      <c r="AA25" s="133">
        <v>487.84893653358296</v>
      </c>
      <c r="AB25" s="133">
        <v>487.84893653358296</v>
      </c>
      <c r="AC25" s="133">
        <v>487.84893653358296</v>
      </c>
      <c r="AD25" s="133">
        <v>615.72654351411791</v>
      </c>
      <c r="AE25" s="133">
        <v>1614.4810395909726</v>
      </c>
      <c r="AF25" s="133">
        <v>3521.0664415706915</v>
      </c>
      <c r="AG25" s="133">
        <v>487.84893653358296</v>
      </c>
      <c r="AH25" s="133">
        <v>487.84893653358296</v>
      </c>
      <c r="AI25" s="133">
        <v>487.84893653358296</v>
      </c>
      <c r="AJ25" s="133"/>
      <c r="AK25">
        <v>2045</v>
      </c>
      <c r="AL25" s="8">
        <f>[4]UPC!V25</f>
        <v>483.01803819994808</v>
      </c>
      <c r="AM25" s="8">
        <f>[4]UPC!W25</f>
        <v>356.19786832950462</v>
      </c>
      <c r="AN25" s="8">
        <f>[4]UPC!X25</f>
        <v>363.21979625940173</v>
      </c>
      <c r="AO25" s="8">
        <f>[4]UPC!Y25</f>
        <v>248.38690142810415</v>
      </c>
      <c r="AP25" s="8">
        <f>[4]UPC!Z25</f>
        <v>404.30043905200625</v>
      </c>
      <c r="AQ25" s="8">
        <f>[4]UPC!AA25</f>
        <v>559.13692398868875</v>
      </c>
      <c r="AR25" s="8">
        <f>[4]UPC!AB25</f>
        <v>469.04874771671268</v>
      </c>
      <c r="AS25" s="8">
        <f>[4]UPC!AC25</f>
        <v>363.20458700243842</v>
      </c>
      <c r="AT25" s="8">
        <f>[4]UPC!AD25</f>
        <v>363.20458700243842</v>
      </c>
      <c r="AU25" s="8">
        <f>[4]UPC!AE25</f>
        <v>384.82351380881238</v>
      </c>
      <c r="AW25">
        <v>2045</v>
      </c>
      <c r="AX25" s="133">
        <f t="shared" si="5"/>
        <v>735.52678011417481</v>
      </c>
      <c r="AY25" s="133">
        <f t="shared" si="6"/>
        <v>943.78548992851449</v>
      </c>
      <c r="AZ25" s="133">
        <f t="shared" si="6"/>
        <v>943.31475686272097</v>
      </c>
      <c r="BA25" s="133">
        <f t="shared" si="6"/>
        <v>786.60709691232432</v>
      </c>
      <c r="BB25" s="133">
        <f t="shared" si="6"/>
        <v>1106.9885852107686</v>
      </c>
      <c r="BC25" s="133">
        <f t="shared" si="6"/>
        <v>2195.8667121352732</v>
      </c>
      <c r="BD25" s="133">
        <f t="shared" si="6"/>
        <v>4052.4317609050304</v>
      </c>
      <c r="BE25" s="133">
        <f t="shared" si="6"/>
        <v>855.81426244623742</v>
      </c>
      <c r="BF25" s="133">
        <f t="shared" si="6"/>
        <v>1060.4774178186378</v>
      </c>
      <c r="BG25" s="133">
        <f t="shared" si="6"/>
        <v>943.30032639725493</v>
      </c>
      <c r="BI25">
        <v>2045</v>
      </c>
      <c r="BJ25" s="219">
        <f t="shared" si="7"/>
        <v>0</v>
      </c>
      <c r="BK25" s="219">
        <f t="shared" si="7"/>
        <v>0.28314225320526326</v>
      </c>
      <c r="BL25" s="219">
        <f t="shared" si="7"/>
        <v>0.28250225874344304</v>
      </c>
      <c r="BM25" s="219">
        <f t="shared" si="7"/>
        <v>6.9447256278310332E-2</v>
      </c>
      <c r="BN25" s="219">
        <f t="shared" si="7"/>
        <v>0.50502825340898172</v>
      </c>
      <c r="BO25" s="219">
        <f t="shared" si="7"/>
        <v>1.985434074602167</v>
      </c>
      <c r="BP25" s="219">
        <f t="shared" si="7"/>
        <v>4.5095638533731934</v>
      </c>
      <c r="BQ25" s="219">
        <f t="shared" si="7"/>
        <v>0.16353922873262419</v>
      </c>
      <c r="BR25" s="219">
        <f t="shared" si="7"/>
        <v>0.44179307469134077</v>
      </c>
      <c r="BS25" s="219">
        <f t="shared" si="7"/>
        <v>0.28248263951834318</v>
      </c>
      <c r="BT25" s="219"/>
      <c r="BU25" s="219"/>
      <c r="BV25" s="219"/>
      <c r="BW25" s="219"/>
      <c r="BX25" s="219"/>
      <c r="BY25" s="224">
        <v>2045</v>
      </c>
      <c r="BZ25" s="225">
        <v>2195.8667121352732</v>
      </c>
      <c r="CA25" s="224">
        <v>559.13692398868875</v>
      </c>
      <c r="CB25" s="219">
        <f t="array" ref="CB25">INDEX($BK$2:$BS$30,BY25-2021,$BU$21)</f>
        <v>1.985434074602167</v>
      </c>
      <c r="CC25">
        <v>2045</v>
      </c>
      <c r="CD25" s="133">
        <v>2321.4385970318058</v>
      </c>
      <c r="CE25" s="133">
        <v>2321.4385970318058</v>
      </c>
      <c r="CF25" s="133">
        <v>2321.4385970318058</v>
      </c>
      <c r="CG25" s="133">
        <v>2321.4385970318058</v>
      </c>
      <c r="CH25" s="133">
        <v>2321.4385970318058</v>
      </c>
      <c r="CI25" s="133">
        <v>2321.4385970318058</v>
      </c>
      <c r="CJ25" s="133">
        <v>6643.851173370077</v>
      </c>
      <c r="CK25" s="133">
        <v>14130.710058273662</v>
      </c>
      <c r="CL25" s="133">
        <v>2321.4385970318058</v>
      </c>
      <c r="CM25" s="133">
        <v>2321.4385970318058</v>
      </c>
      <c r="CN25" s="133"/>
      <c r="CO25">
        <v>2045</v>
      </c>
      <c r="CP25" s="8">
        <f>[4]UPC!AZ25</f>
        <v>2993.2411499234131</v>
      </c>
      <c r="CQ25" s="8">
        <f>[4]UPC!BA25</f>
        <v>2061.4802579560592</v>
      </c>
      <c r="CR25" s="8">
        <f>[4]UPC!BB25</f>
        <v>2128.0165173323785</v>
      </c>
      <c r="CS25" s="8">
        <f>[4]UPC!BC25</f>
        <v>1478.8897890560977</v>
      </c>
      <c r="CT25" s="8">
        <f>[4]UPC!BD25</f>
        <v>1781.1413098255275</v>
      </c>
      <c r="CU25" s="8">
        <f>[4]UPC!BE25</f>
        <v>2648.7754564902807</v>
      </c>
      <c r="CV25" s="8">
        <f>[4]UPC!BF25</f>
        <v>2739.9643772255436</v>
      </c>
      <c r="CW25" s="8">
        <f>[4]UPC!BG25</f>
        <v>2099.1647621868965</v>
      </c>
      <c r="CX25" s="8">
        <f>[4]UPC!BH25</f>
        <v>2099.1647621868965</v>
      </c>
      <c r="CY25" s="8">
        <f>[4]UPC!BI25</f>
        <v>2163.6466644338147</v>
      </c>
      <c r="DA25">
        <v>2045</v>
      </c>
      <c r="DB25" s="133">
        <f t="shared" si="2"/>
        <v>3819.0949121026201</v>
      </c>
      <c r="DC25" s="133">
        <f t="shared" si="8"/>
        <v>4933.5480856760196</v>
      </c>
      <c r="DD25" s="133">
        <f t="shared" si="8"/>
        <v>4961.4544143435251</v>
      </c>
      <c r="DE25" s="133">
        <f t="shared" si="8"/>
        <v>4069.3279467884822</v>
      </c>
      <c r="DF25" s="133">
        <f t="shared" si="8"/>
        <v>4464.9580043387714</v>
      </c>
      <c r="DG25" s="133">
        <f t="shared" si="8"/>
        <v>4793.2931069592896</v>
      </c>
      <c r="DH25" s="133">
        <f t="shared" si="8"/>
        <v>9009.8372349205565</v>
      </c>
      <c r="DI25" s="133">
        <f t="shared" si="8"/>
        <v>16856.881043536661</v>
      </c>
      <c r="DJ25" s="133">
        <f t="shared" si="8"/>
        <v>5604.5823415312534</v>
      </c>
      <c r="DK25" s="133">
        <f t="shared" si="8"/>
        <v>4859.8486770429108</v>
      </c>
      <c r="DM25">
        <v>2045</v>
      </c>
      <c r="DN25" s="219">
        <f t="shared" si="9"/>
        <v>0</v>
      </c>
      <c r="DO25" s="219">
        <f t="shared" si="9"/>
        <v>0.2918108083781118</v>
      </c>
      <c r="DP25" s="219">
        <f t="shared" si="9"/>
        <v>0.29911786130813223</v>
      </c>
      <c r="DQ25" s="219">
        <f t="shared" si="9"/>
        <v>6.5521554306723198E-2</v>
      </c>
      <c r="DR25" s="219">
        <f t="shared" si="9"/>
        <v>0.16911417681436158</v>
      </c>
      <c r="DS25" s="219">
        <f t="shared" si="9"/>
        <v>0.25508614404147401</v>
      </c>
      <c r="DT25" s="219">
        <f t="shared" si="9"/>
        <v>1.359155098860884</v>
      </c>
      <c r="DU25" s="219">
        <f t="shared" si="9"/>
        <v>3.4138418739260996</v>
      </c>
      <c r="DV25" s="219">
        <f t="shared" si="9"/>
        <v>0.46751585664196676</v>
      </c>
      <c r="DW25" s="219">
        <f t="shared" si="9"/>
        <v>0.27251319720862843</v>
      </c>
    </row>
    <row r="26" spans="1:127" x14ac:dyDescent="0.25">
      <c r="A26">
        <v>2046</v>
      </c>
      <c r="B26" s="223">
        <f>'[7]WACOG Calc'!C73</f>
        <v>4.4064987112551979</v>
      </c>
      <c r="C26" s="223">
        <f>'[7]WACOG Calc'!D73</f>
        <v>4.352288148720068</v>
      </c>
      <c r="D26" s="223">
        <f>'[7]WACOG Calc'!E73</f>
        <v>4.3359938619759797</v>
      </c>
      <c r="E26" s="223">
        <f>'[7]WACOG Calc'!F73</f>
        <v>4.2296845518592372</v>
      </c>
      <c r="F26" s="223">
        <f>'[7]WACOG Calc'!G73</f>
        <v>4.2965526131007721</v>
      </c>
      <c r="G26" s="223">
        <f>'[7]WACOG Calc'!H73</f>
        <v>4.2099040279003344</v>
      </c>
      <c r="H26" s="223">
        <f>'[7]WACOG Calc'!I73</f>
        <v>3.9288948654356974</v>
      </c>
      <c r="I26" s="223">
        <f>'[7]WACOG Calc'!J73</f>
        <v>4.3592178027611101</v>
      </c>
      <c r="J26" s="223">
        <f>'[7]WACOG Calc'!K73</f>
        <v>4.3592178027890007</v>
      </c>
      <c r="K26" s="223">
        <f>'[7]WACOG Calc'!L73</f>
        <v>4.3753000146760277</v>
      </c>
      <c r="M26">
        <v>2046</v>
      </c>
      <c r="N26" s="154">
        <v>7.7240632232544177</v>
      </c>
      <c r="O26" s="154">
        <v>7.3970178184927011</v>
      </c>
      <c r="P26" s="154">
        <v>7.3011929700668441</v>
      </c>
      <c r="Q26" s="154">
        <v>6.5157056922416441</v>
      </c>
      <c r="R26" s="154">
        <v>6.767178090387838</v>
      </c>
      <c r="S26" s="154">
        <v>4.5144588314527461</v>
      </c>
      <c r="T26" s="154">
        <v>3.7386318233290337</v>
      </c>
      <c r="U26" s="154">
        <v>4.8081744592405551</v>
      </c>
      <c r="V26" s="154">
        <v>10.235021129549873</v>
      </c>
      <c r="W26" s="154">
        <v>6.4946734964960893</v>
      </c>
      <c r="Y26">
        <v>2046</v>
      </c>
      <c r="Z26" s="133">
        <v>486.63233653358293</v>
      </c>
      <c r="AA26" s="133">
        <v>486.63233653358293</v>
      </c>
      <c r="AB26" s="133">
        <v>486.63233653358293</v>
      </c>
      <c r="AC26" s="133">
        <v>486.63233653358293</v>
      </c>
      <c r="AD26" s="133">
        <v>621.3204378897716</v>
      </c>
      <c r="AE26" s="133">
        <v>1774.1516892952343</v>
      </c>
      <c r="AF26" s="133">
        <v>3524.6598783084933</v>
      </c>
      <c r="AG26" s="133">
        <v>486.63233653358293</v>
      </c>
      <c r="AH26" s="133">
        <v>486.63233653358293</v>
      </c>
      <c r="AI26" s="133">
        <v>486.63233653358293</v>
      </c>
      <c r="AJ26" s="133"/>
      <c r="AK26">
        <v>2046</v>
      </c>
      <c r="AL26" s="8">
        <f>[4]UPC!V26</f>
        <v>478.26222383922493</v>
      </c>
      <c r="AM26" s="8">
        <f>[4]UPC!W26</f>
        <v>347.39012287689252</v>
      </c>
      <c r="AN26" s="8">
        <f>[4]UPC!X26</f>
        <v>353.14172852874088</v>
      </c>
      <c r="AO26" s="8">
        <f>[4]UPC!Y26</f>
        <v>236.56503141331575</v>
      </c>
      <c r="AP26" s="8">
        <f>[4]UPC!Z26</f>
        <v>396.32282062343756</v>
      </c>
      <c r="AQ26" s="8">
        <f>[4]UPC!AA26</f>
        <v>556.51844418860799</v>
      </c>
      <c r="AR26" s="8">
        <f>[4]UPC!AB26</f>
        <v>454.65094108384551</v>
      </c>
      <c r="AS26" s="8">
        <f>[4]UPC!AC26</f>
        <v>354.2177211616148</v>
      </c>
      <c r="AT26" s="8">
        <f>[4]UPC!AD26</f>
        <v>354.2177211616148</v>
      </c>
      <c r="AU26" s="8">
        <f>[4]UPC!AE26</f>
        <v>376.15224645740562</v>
      </c>
      <c r="AW26">
        <v>2046</v>
      </c>
      <c r="AX26" s="133">
        <f t="shared" si="5"/>
        <v>734.33958559566668</v>
      </c>
      <c r="AY26" s="133">
        <f t="shared" si="6"/>
        <v>942.21557680812964</v>
      </c>
      <c r="AZ26" s="133">
        <f t="shared" si="6"/>
        <v>945.16223192513462</v>
      </c>
      <c r="BA26" s="133">
        <f t="shared" si="6"/>
        <v>780.09472141168249</v>
      </c>
      <c r="BB26" s="133">
        <f t="shared" si="6"/>
        <v>1115.9708044832341</v>
      </c>
      <c r="BC26" s="133">
        <f t="shared" si="6"/>
        <v>2379.4415382089146</v>
      </c>
      <c r="BD26" s="133">
        <f t="shared" si="6"/>
        <v>4078.5477299336935</v>
      </c>
      <c r="BE26" s="133">
        <f t="shared" si="6"/>
        <v>854.35956979296452</v>
      </c>
      <c r="BF26" s="133">
        <f t="shared" si="6"/>
        <v>1056.7762077404984</v>
      </c>
      <c r="BG26" s="133">
        <f t="shared" si="6"/>
        <v>942.97080014819858</v>
      </c>
      <c r="BI26">
        <v>2046</v>
      </c>
      <c r="BJ26" s="219">
        <f t="shared" si="7"/>
        <v>0</v>
      </c>
      <c r="BK26" s="219">
        <f t="shared" si="7"/>
        <v>0.283078830680008</v>
      </c>
      <c r="BL26" s="219">
        <f t="shared" si="7"/>
        <v>0.28709149072830809</v>
      </c>
      <c r="BM26" s="219">
        <f t="shared" si="7"/>
        <v>6.2307870518652601E-2</v>
      </c>
      <c r="BN26" s="219">
        <f t="shared" si="7"/>
        <v>0.51969310435308158</v>
      </c>
      <c r="BO26" s="219">
        <f t="shared" si="7"/>
        <v>2.2402468624632399</v>
      </c>
      <c r="BP26" s="219">
        <f t="shared" si="7"/>
        <v>4.5540349586701634</v>
      </c>
      <c r="BQ26" s="219">
        <f t="shared" si="7"/>
        <v>0.16343934952102912</v>
      </c>
      <c r="BR26" s="219">
        <f t="shared" si="7"/>
        <v>0.43908380873037661</v>
      </c>
      <c r="BS26" s="219">
        <f t="shared" si="7"/>
        <v>0.2841072695043379</v>
      </c>
      <c r="BT26" s="219"/>
      <c r="BU26" s="219"/>
      <c r="BV26" s="219"/>
      <c r="BW26" s="219"/>
      <c r="BX26" s="219"/>
      <c r="BY26" s="224">
        <v>2046</v>
      </c>
      <c r="BZ26" s="225">
        <v>2379.4415382089146</v>
      </c>
      <c r="CA26" s="224">
        <v>556.51844418860799</v>
      </c>
      <c r="CB26" s="219">
        <f t="array" ref="CB26">INDEX($BK$2:$BS$30,BY26-2021,$BU$21)</f>
        <v>2.2402468624632399</v>
      </c>
      <c r="CC26">
        <v>2046</v>
      </c>
      <c r="CD26" s="133">
        <v>2336.4385970318058</v>
      </c>
      <c r="CE26" s="133">
        <v>2336.4385970318058</v>
      </c>
      <c r="CF26" s="133">
        <v>2336.4385970318058</v>
      </c>
      <c r="CG26" s="133">
        <v>2336.4385970318058</v>
      </c>
      <c r="CH26" s="133">
        <v>2336.4385970318058</v>
      </c>
      <c r="CI26" s="133">
        <v>2336.4385970318058</v>
      </c>
      <c r="CJ26" s="133">
        <v>7329.1097059772046</v>
      </c>
      <c r="CK26" s="133">
        <v>14162.257599799777</v>
      </c>
      <c r="CL26" s="133">
        <v>2336.4385970318058</v>
      </c>
      <c r="CM26" s="133">
        <v>2336.4385970318058</v>
      </c>
      <c r="CN26" s="133"/>
      <c r="CO26">
        <v>2046</v>
      </c>
      <c r="CP26" s="8">
        <f>[4]UPC!AZ26</f>
        <v>2996.2592979679066</v>
      </c>
      <c r="CQ26" s="8">
        <f>[4]UPC!BA26</f>
        <v>2051.1338668758208</v>
      </c>
      <c r="CR26" s="8">
        <f>[4]UPC!BB26</f>
        <v>2117.3764969971967</v>
      </c>
      <c r="CS26" s="8">
        <f>[4]UPC!BC26</f>
        <v>1450.1294412233865</v>
      </c>
      <c r="CT26" s="8">
        <f>[4]UPC!BD26</f>
        <v>1759.513474426918</v>
      </c>
      <c r="CU26" s="8">
        <f>[4]UPC!BE26</f>
        <v>2643.1194265445702</v>
      </c>
      <c r="CV26" s="8">
        <f>[4]UPC!BF26</f>
        <v>2884.741747375183</v>
      </c>
      <c r="CW26" s="8">
        <f>[4]UPC!BG26</f>
        <v>2088.1809392886134</v>
      </c>
      <c r="CX26" s="8">
        <f>[4]UPC!BH26</f>
        <v>2088.1809392886134</v>
      </c>
      <c r="CY26" s="8">
        <f>[4]UPC!BI26</f>
        <v>2155.0270762873233</v>
      </c>
      <c r="DA26">
        <v>2046</v>
      </c>
      <c r="DB26" s="133">
        <f t="shared" si="2"/>
        <v>3850.5470836786239</v>
      </c>
      <c r="DC26" s="133">
        <f t="shared" si="8"/>
        <v>4997.9365975607916</v>
      </c>
      <c r="DD26" s="133">
        <f t="shared" si="8"/>
        <v>5054.8940528212279</v>
      </c>
      <c r="DE26" s="133">
        <f t="shared" si="8"/>
        <v>4101.0762134921633</v>
      </c>
      <c r="DF26" s="133">
        <f t="shared" si="8"/>
        <v>4510.1221189225535</v>
      </c>
      <c r="DG26" s="133">
        <f t="shared" si="8"/>
        <v>4888.4386631287316</v>
      </c>
      <c r="DH26" s="133">
        <f t="shared" si="8"/>
        <v>10046.66577620572</v>
      </c>
      <c r="DI26" s="133">
        <f t="shared" si="8"/>
        <v>16928.633452096365</v>
      </c>
      <c r="DJ26" s="133">
        <f t="shared" si="8"/>
        <v>5669.330680146124</v>
      </c>
      <c r="DK26" s="133">
        <f t="shared" si="8"/>
        <v>4926.9315285307212</v>
      </c>
      <c r="DM26">
        <v>2046</v>
      </c>
      <c r="DN26" s="219">
        <f t="shared" si="9"/>
        <v>0</v>
      </c>
      <c r="DO26" s="219">
        <f t="shared" si="9"/>
        <v>0.29798090737433808</v>
      </c>
      <c r="DP26" s="219">
        <f t="shared" si="9"/>
        <v>0.31277294965369695</v>
      </c>
      <c r="DQ26" s="219">
        <f t="shared" si="9"/>
        <v>6.5063255783953722E-2</v>
      </c>
      <c r="DR26" s="219">
        <f t="shared" si="9"/>
        <v>0.17129385017512988</v>
      </c>
      <c r="DS26" s="219">
        <f t="shared" si="9"/>
        <v>0.2695439263291794</v>
      </c>
      <c r="DT26" s="219">
        <f t="shared" si="9"/>
        <v>1.6091528185152402</v>
      </c>
      <c r="DU26" s="219">
        <f t="shared" si="9"/>
        <v>3.3964229197071854</v>
      </c>
      <c r="DV26" s="219">
        <f t="shared" si="9"/>
        <v>0.47234420380854641</v>
      </c>
      <c r="DW26" s="219">
        <f t="shared" si="9"/>
        <v>0.27954065265545908</v>
      </c>
    </row>
    <row r="27" spans="1:127" x14ac:dyDescent="0.25">
      <c r="A27">
        <v>2047</v>
      </c>
      <c r="B27" s="223">
        <f>'[7]WACOG Calc'!C74</f>
        <v>4.5027513476427492</v>
      </c>
      <c r="C27" s="223">
        <f>'[7]WACOG Calc'!D74</f>
        <v>4.4447116529880786</v>
      </c>
      <c r="D27" s="223">
        <f>'[7]WACOG Calc'!E74</f>
        <v>4.4253241373285181</v>
      </c>
      <c r="E27" s="223">
        <f>'[7]WACOG Calc'!F74</f>
        <v>4.3057982364108174</v>
      </c>
      <c r="F27" s="223">
        <f>'[7]WACOG Calc'!G74</f>
        <v>4.3857722558733547</v>
      </c>
      <c r="G27" s="223">
        <f>'[7]WACOG Calc'!H74</f>
        <v>4.2656574260057427</v>
      </c>
      <c r="H27" s="223">
        <f>'[7]WACOG Calc'!I74</f>
        <v>4.0177667213342243</v>
      </c>
      <c r="I27" s="223">
        <f>'[7]WACOG Calc'!J74</f>
        <v>4.451960301848823</v>
      </c>
      <c r="J27" s="223">
        <f>'[7]WACOG Calc'!K74</f>
        <v>4.4519603018072118</v>
      </c>
      <c r="K27" s="223">
        <f>'[7]WACOG Calc'!L74</f>
        <v>4.4690162585062154</v>
      </c>
      <c r="M27">
        <v>2047</v>
      </c>
      <c r="N27" s="154">
        <v>7.9187439720722024</v>
      </c>
      <c r="O27" s="154">
        <v>7.6379426227246361</v>
      </c>
      <c r="P27" s="154">
        <v>7.6593635650483733</v>
      </c>
      <c r="Q27" s="154">
        <v>6.7895671226472611</v>
      </c>
      <c r="R27" s="154">
        <v>7.0269771414436084</v>
      </c>
      <c r="S27" s="154">
        <v>4.8180529044242135</v>
      </c>
      <c r="T27" s="154">
        <v>4.3463269902414954</v>
      </c>
      <c r="U27" s="154">
        <v>4.9757745897378118</v>
      </c>
      <c r="V27" s="154">
        <v>10.491440819872301</v>
      </c>
      <c r="W27" s="154">
        <v>6.7202886757148788</v>
      </c>
      <c r="Y27">
        <v>2047</v>
      </c>
      <c r="Z27" s="133">
        <v>485.41573653358296</v>
      </c>
      <c r="AA27" s="133">
        <v>485.41573653358296</v>
      </c>
      <c r="AB27" s="133">
        <v>485.41573653358296</v>
      </c>
      <c r="AC27" s="133">
        <v>485.41573653358296</v>
      </c>
      <c r="AD27" s="133">
        <v>626.88410528222221</v>
      </c>
      <c r="AE27" s="133">
        <v>1968.1367791440809</v>
      </c>
      <c r="AF27" s="133">
        <v>3527.9698751903002</v>
      </c>
      <c r="AG27" s="133">
        <v>485.41573653358296</v>
      </c>
      <c r="AH27" s="133">
        <v>485.41573653358296</v>
      </c>
      <c r="AI27" s="133">
        <v>485.41573653358296</v>
      </c>
      <c r="AJ27" s="133"/>
      <c r="AK27">
        <v>2047</v>
      </c>
      <c r="AL27" s="8">
        <f>[4]UPC!V27</f>
        <v>473.58443998825737</v>
      </c>
      <c r="AM27" s="8">
        <f>[4]UPC!W27</f>
        <v>338.78657596517485</v>
      </c>
      <c r="AN27" s="8">
        <f>[4]UPC!X27</f>
        <v>343.40793325638396</v>
      </c>
      <c r="AO27" s="8">
        <f>[4]UPC!Y27</f>
        <v>225.1498576552531</v>
      </c>
      <c r="AP27" s="8">
        <f>[4]UPC!Z27</f>
        <v>388.47327657804203</v>
      </c>
      <c r="AQ27" s="8">
        <f>[4]UPC!AA27</f>
        <v>553.88033853294166</v>
      </c>
      <c r="AR27" s="8">
        <f>[4]UPC!AB27</f>
        <v>495.67004099316915</v>
      </c>
      <c r="AS27" s="8">
        <f>[4]UPC!AC27</f>
        <v>345.43876176870162</v>
      </c>
      <c r="AT27" s="8">
        <f>[4]UPC!AD27</f>
        <v>345.43876176870162</v>
      </c>
      <c r="AU27" s="8">
        <f>[4]UPC!AE27</f>
        <v>367.65289332183539</v>
      </c>
      <c r="AW27">
        <v>2047</v>
      </c>
      <c r="AX27" s="133">
        <f t="shared" si="5"/>
        <v>735.68796287735188</v>
      </c>
      <c r="AY27" s="133">
        <f t="shared" si="6"/>
        <v>942.18211530822214</v>
      </c>
      <c r="AZ27" s="133">
        <f t="shared" si="6"/>
        <v>948.13541479005858</v>
      </c>
      <c r="BA27" s="133">
        <f t="shared" si="6"/>
        <v>774.19479932785043</v>
      </c>
      <c r="BB27" s="133">
        <f t="shared" si="6"/>
        <v>1126.9615833878004</v>
      </c>
      <c r="BC27" s="133">
        <f t="shared" si="6"/>
        <v>2602.2427130647438</v>
      </c>
      <c r="BD27" s="133">
        <f t="shared" si="6"/>
        <v>4151.5082484304339</v>
      </c>
      <c r="BE27" s="133">
        <f t="shared" si="6"/>
        <v>854.07381414952636</v>
      </c>
      <c r="BF27" s="133">
        <f t="shared" si="6"/>
        <v>1054.7045274729185</v>
      </c>
      <c r="BG27" s="133">
        <f t="shared" si="6"/>
        <v>944.32383966916154</v>
      </c>
      <c r="BI27">
        <v>2047</v>
      </c>
      <c r="BJ27" s="219">
        <f t="shared" si="7"/>
        <v>0</v>
      </c>
      <c r="BK27" s="219">
        <f t="shared" si="7"/>
        <v>0.28068170590048835</v>
      </c>
      <c r="BL27" s="219">
        <f t="shared" si="7"/>
        <v>0.28877385879986767</v>
      </c>
      <c r="BM27" s="219">
        <f t="shared" si="7"/>
        <v>5.2341262047967081E-2</v>
      </c>
      <c r="BN27" s="219">
        <f t="shared" si="7"/>
        <v>0.53184725081016249</v>
      </c>
      <c r="BO27" s="219">
        <f t="shared" si="7"/>
        <v>2.5371554848975686</v>
      </c>
      <c r="BP27" s="219">
        <f t="shared" si="7"/>
        <v>4.6430286451792071</v>
      </c>
      <c r="BQ27" s="219">
        <f t="shared" si="7"/>
        <v>0.16091856499752305</v>
      </c>
      <c r="BR27" s="219">
        <f t="shared" si="7"/>
        <v>0.43363026268346128</v>
      </c>
      <c r="BS27" s="219">
        <f t="shared" si="7"/>
        <v>0.28359289171432561</v>
      </c>
      <c r="BT27" s="219"/>
      <c r="BU27" s="219"/>
      <c r="BV27" s="219"/>
      <c r="BW27" s="219"/>
      <c r="BX27" s="219"/>
      <c r="BY27" s="224">
        <v>2047</v>
      </c>
      <c r="BZ27" s="225">
        <v>2602.2427130647438</v>
      </c>
      <c r="CA27" s="224">
        <v>553.88033853294166</v>
      </c>
      <c r="CB27" s="219">
        <f t="array" ref="CB27">INDEX($BK$2:$BS$30,BY27-2021,$BU$21)</f>
        <v>2.5371554848975686</v>
      </c>
      <c r="CC27">
        <v>2047</v>
      </c>
      <c r="CD27" s="133">
        <v>2351.4385970318058</v>
      </c>
      <c r="CE27" s="133">
        <v>2351.4385970318058</v>
      </c>
      <c r="CF27" s="133">
        <v>2351.4385970318058</v>
      </c>
      <c r="CG27" s="133">
        <v>2351.4385970318058</v>
      </c>
      <c r="CH27" s="133">
        <v>2351.4385970318058</v>
      </c>
      <c r="CI27" s="133">
        <v>2351.4385970318058</v>
      </c>
      <c r="CJ27" s="133">
        <v>8165.2510544977804</v>
      </c>
      <c r="CK27" s="133">
        <v>14194.868110637446</v>
      </c>
      <c r="CL27" s="133">
        <v>2351.4385970318058</v>
      </c>
      <c r="CM27" s="133">
        <v>2351.4385970318058</v>
      </c>
      <c r="CN27" s="133"/>
      <c r="CO27">
        <v>2047</v>
      </c>
      <c r="CP27" s="8">
        <f>[4]UPC!AZ27</f>
        <v>2999.1722616191896</v>
      </c>
      <c r="CQ27" s="8">
        <f>[4]UPC!BA27</f>
        <v>2041.0936580035866</v>
      </c>
      <c r="CR27" s="8">
        <f>[4]UPC!BB27</f>
        <v>2106.9290734175015</v>
      </c>
      <c r="CS27" s="8">
        <f>[4]UPC!BC27</f>
        <v>1422.5151780738868</v>
      </c>
      <c r="CT27" s="8">
        <f>[4]UPC!BD27</f>
        <v>1738.5973425504444</v>
      </c>
      <c r="CU27" s="8">
        <f>[4]UPC!BE27</f>
        <v>2637.6882622413345</v>
      </c>
      <c r="CV27" s="8">
        <f>[4]UPC!BF27</f>
        <v>3360.1524332065519</v>
      </c>
      <c r="CW27" s="8">
        <f>[4]UPC!BG27</f>
        <v>2077.5027902644997</v>
      </c>
      <c r="CX27" s="8">
        <f>[4]UPC!BH27</f>
        <v>2077.5027902644997</v>
      </c>
      <c r="CY27" s="8">
        <f>[4]UPC!BI27</f>
        <v>2146.561015103156</v>
      </c>
      <c r="DA27">
        <v>2047</v>
      </c>
      <c r="DB27" s="133">
        <f t="shared" si="2"/>
        <v>3898.0915297532856</v>
      </c>
      <c r="DC27" s="133">
        <f t="shared" si="8"/>
        <v>5072.9554378494431</v>
      </c>
      <c r="DD27" s="133">
        <f t="shared" si="8"/>
        <v>5157.1692022809102</v>
      </c>
      <c r="DE27" s="133">
        <f t="shared" si="8"/>
        <v>4138.0490314645622</v>
      </c>
      <c r="DF27" s="133">
        <f t="shared" si="8"/>
        <v>4565.4459516102952</v>
      </c>
      <c r="DG27" s="133">
        <f t="shared" si="8"/>
        <v>4999.0524337077659</v>
      </c>
      <c r="DH27" s="133">
        <f t="shared" si="8"/>
        <v>11557.426882171589</v>
      </c>
      <c r="DI27" s="133">
        <f t="shared" si="8"/>
        <v>17009.617246194419</v>
      </c>
      <c r="DJ27" s="133">
        <f t="shared" si="8"/>
        <v>5745.0988701971301</v>
      </c>
      <c r="DK27" s="133">
        <f t="shared" si="8"/>
        <v>5005.2156049814012</v>
      </c>
      <c r="DM27">
        <v>2047</v>
      </c>
      <c r="DN27" s="219">
        <f t="shared" si="9"/>
        <v>0</v>
      </c>
      <c r="DO27" s="219">
        <f t="shared" si="9"/>
        <v>0.3013946437965031</v>
      </c>
      <c r="DP27" s="219">
        <f t="shared" si="9"/>
        <v>0.32299848859816616</v>
      </c>
      <c r="DQ27" s="219">
        <f t="shared" si="9"/>
        <v>6.1557687878730678E-2</v>
      </c>
      <c r="DR27" s="219">
        <f t="shared" si="9"/>
        <v>0.17120029551980456</v>
      </c>
      <c r="DS27" s="219">
        <f t="shared" si="9"/>
        <v>0.28243587805752762</v>
      </c>
      <c r="DT27" s="219">
        <f t="shared" si="9"/>
        <v>1.9648936650040822</v>
      </c>
      <c r="DU27" s="219">
        <f t="shared" si="9"/>
        <v>3.3635756411473943</v>
      </c>
      <c r="DV27" s="219">
        <f t="shared" si="9"/>
        <v>0.47382349191804213</v>
      </c>
      <c r="DW27" s="219">
        <f t="shared" si="9"/>
        <v>0.28401695208480304</v>
      </c>
    </row>
    <row r="28" spans="1:127" x14ac:dyDescent="0.25">
      <c r="A28">
        <v>2048</v>
      </c>
      <c r="B28" s="223">
        <f>'[7]WACOG Calc'!C75</f>
        <v>4.7042654840041109</v>
      </c>
      <c r="C28" s="223">
        <f>'[7]WACOG Calc'!D75</f>
        <v>4.6373431699786236</v>
      </c>
      <c r="D28" s="223">
        <f>'[7]WACOG Calc'!E75</f>
        <v>4.6133985564962572</v>
      </c>
      <c r="E28" s="223">
        <f>'[7]WACOG Calc'!F75</f>
        <v>4.5241727834859375</v>
      </c>
      <c r="F28" s="223">
        <f>'[7]WACOG Calc'!G75</f>
        <v>4.5709015941451243</v>
      </c>
      <c r="G28" s="223">
        <f>'[7]WACOG Calc'!H75</f>
        <v>4.5102561358589401</v>
      </c>
      <c r="H28" s="223">
        <f>'[7]WACOG Calc'!I75</f>
        <v>4.1980267025263966</v>
      </c>
      <c r="I28" s="223">
        <f>'[7]WACOG Calc'!J75</f>
        <v>4.6447615678293053</v>
      </c>
      <c r="J28" s="223">
        <f>'[7]WACOG Calc'!K75</f>
        <v>4.6447615678944638</v>
      </c>
      <c r="K28" s="223">
        <f>'[7]WACOG Calc'!L75</f>
        <v>4.6626366092030196</v>
      </c>
      <c r="M28">
        <v>2048</v>
      </c>
      <c r="N28" s="154">
        <v>8.0670130452409321</v>
      </c>
      <c r="O28" s="154">
        <v>7.8446317500168865</v>
      </c>
      <c r="P28" s="154">
        <v>7.9923645662648433</v>
      </c>
      <c r="Q28" s="154">
        <v>7.0336170723365026</v>
      </c>
      <c r="R28" s="154">
        <v>7.2474470891116516</v>
      </c>
      <c r="S28" s="154">
        <v>5.109655831019551</v>
      </c>
      <c r="T28" s="154">
        <v>4.8280661781021763</v>
      </c>
      <c r="U28" s="154">
        <v>5.1343228599455779</v>
      </c>
      <c r="V28" s="154">
        <v>10.777374790444039</v>
      </c>
      <c r="W28" s="154">
        <v>6.9174919408190609</v>
      </c>
      <c r="Y28">
        <v>2048</v>
      </c>
      <c r="Z28" s="133">
        <v>484.19913653358293</v>
      </c>
      <c r="AA28" s="133">
        <v>484.19913653358293</v>
      </c>
      <c r="AB28" s="133">
        <v>484.19913653358293</v>
      </c>
      <c r="AC28" s="133">
        <v>484.19913653358293</v>
      </c>
      <c r="AD28" s="133">
        <v>632.41760659710872</v>
      </c>
      <c r="AE28" s="133">
        <v>2208.9160431314308</v>
      </c>
      <c r="AF28" s="133">
        <v>3531.0019581027714</v>
      </c>
      <c r="AG28" s="133">
        <v>484.19913653358293</v>
      </c>
      <c r="AH28" s="133">
        <v>484.19913653358293</v>
      </c>
      <c r="AI28" s="133">
        <v>484.19913653358293</v>
      </c>
      <c r="AJ28" s="133"/>
      <c r="AK28">
        <v>2048</v>
      </c>
      <c r="AL28" s="8">
        <f>[4]UPC!V28</f>
        <v>471.99427289129466</v>
      </c>
      <c r="AM28" s="8">
        <f>[4]UPC!W28</f>
        <v>332.311140767003</v>
      </c>
      <c r="AN28" s="8">
        <f>[4]UPC!X28</f>
        <v>336.13559546351166</v>
      </c>
      <c r="AO28" s="8">
        <f>[4]UPC!Y28</f>
        <v>214.79928165510572</v>
      </c>
      <c r="AP28" s="8">
        <f>[4]UPC!Z28</f>
        <v>383.0076215401026</v>
      </c>
      <c r="AQ28" s="8">
        <f>[4]UPC!AA28</f>
        <v>554.67410690387578</v>
      </c>
      <c r="AR28" s="8">
        <f>[4]UPC!AB28</f>
        <v>497.05122551181711</v>
      </c>
      <c r="AS28" s="8">
        <f>[4]UPC!AC28</f>
        <v>338.85613258200101</v>
      </c>
      <c r="AT28" s="8">
        <f>[4]UPC!AD28</f>
        <v>338.85613258200101</v>
      </c>
      <c r="AU28" s="8">
        <f>[4]UPC!AE28</f>
        <v>361.43468778674179</v>
      </c>
      <c r="AW28">
        <v>2048</v>
      </c>
      <c r="AX28" s="133">
        <f t="shared" si="5"/>
        <v>743.66837517391002</v>
      </c>
      <c r="AY28" s="133">
        <f t="shared" si="6"/>
        <v>946.63548965959649</v>
      </c>
      <c r="AZ28" s="133">
        <f t="shared" si="6"/>
        <v>956.04366229975949</v>
      </c>
      <c r="BA28" s="133">
        <f t="shared" si="6"/>
        <v>771.27999290531761</v>
      </c>
      <c r="BB28" s="133">
        <f t="shared" si="6"/>
        <v>1142.5780451017743</v>
      </c>
      <c r="BC28" s="133">
        <f t="shared" si="6"/>
        <v>2887.8605565068478</v>
      </c>
      <c r="BD28" s="133">
        <f t="shared" si="6"/>
        <v>4190.5661964700794</v>
      </c>
      <c r="BE28" s="133">
        <f t="shared" si="6"/>
        <v>858.79458817448949</v>
      </c>
      <c r="BF28" s="133">
        <f t="shared" si="6"/>
        <v>1060.1474320812038</v>
      </c>
      <c r="BG28" s="133">
        <f t="shared" si="6"/>
        <v>950.59064424975952</v>
      </c>
      <c r="BI28">
        <v>2048</v>
      </c>
      <c r="BJ28" s="219">
        <f t="shared" si="7"/>
        <v>0</v>
      </c>
      <c r="BK28" s="219">
        <f t="shared" si="7"/>
        <v>0.27292691374461331</v>
      </c>
      <c r="BL28" s="219">
        <f t="shared" si="7"/>
        <v>0.28557794605180647</v>
      </c>
      <c r="BM28" s="219">
        <f t="shared" si="7"/>
        <v>3.7128938991052962E-2</v>
      </c>
      <c r="BN28" s="219">
        <f t="shared" si="7"/>
        <v>0.53640800556374002</v>
      </c>
      <c r="BO28" s="219">
        <f t="shared" si="7"/>
        <v>2.8832639021815458</v>
      </c>
      <c r="BP28" s="219">
        <f t="shared" si="7"/>
        <v>4.634993145284815</v>
      </c>
      <c r="BQ28" s="219">
        <f t="shared" si="7"/>
        <v>0.15480853676701892</v>
      </c>
      <c r="BR28" s="219">
        <f t="shared" si="7"/>
        <v>0.42556476444663088</v>
      </c>
      <c r="BS28" s="219">
        <f t="shared" si="7"/>
        <v>0.27824535234197617</v>
      </c>
      <c r="BT28" s="219"/>
      <c r="BU28" s="219"/>
      <c r="BV28" s="219"/>
      <c r="BW28" s="219"/>
      <c r="BX28" s="219"/>
      <c r="BY28" s="224">
        <v>2048</v>
      </c>
      <c r="BZ28" s="225">
        <v>2887.8605565068478</v>
      </c>
      <c r="CA28" s="224">
        <v>554.67410690387578</v>
      </c>
      <c r="CB28" s="219">
        <f t="array" ref="CB28">INDEX($BK$2:$BS$30,BY28-2021,$BU$21)</f>
        <v>2.8832639021815458</v>
      </c>
      <c r="CC28">
        <v>2048</v>
      </c>
      <c r="CD28" s="133">
        <v>2366.4385970318058</v>
      </c>
      <c r="CE28" s="133">
        <v>2366.4385970318058</v>
      </c>
      <c r="CF28" s="133">
        <v>2366.4385970318058</v>
      </c>
      <c r="CG28" s="133">
        <v>2366.4385970318058</v>
      </c>
      <c r="CH28" s="133">
        <v>2366.4385970318058</v>
      </c>
      <c r="CI28" s="133">
        <v>2366.4385970318058</v>
      </c>
      <c r="CJ28" s="133">
        <v>9208.0129669975049</v>
      </c>
      <c r="CK28" s="133">
        <v>14228.520670723923</v>
      </c>
      <c r="CL28" s="133">
        <v>2366.4385970318058</v>
      </c>
      <c r="CM28" s="133">
        <v>2366.4385970318058</v>
      </c>
      <c r="CN28" s="133"/>
      <c r="CO28">
        <v>2048</v>
      </c>
      <c r="CP28" s="8">
        <f>[4]UPC!AZ28</f>
        <v>3018.9864595365661</v>
      </c>
      <c r="CQ28" s="8">
        <f>[4]UPC!BA28</f>
        <v>2041.8052979083661</v>
      </c>
      <c r="CR28" s="8">
        <f>[4]UPC!BB28</f>
        <v>2108.1716399424381</v>
      </c>
      <c r="CS28" s="8">
        <f>[4]UPC!BC28</f>
        <v>1401.6122985610391</v>
      </c>
      <c r="CT28" s="8">
        <f>[4]UPC!BD28</f>
        <v>1727.3155143966976</v>
      </c>
      <c r="CU28" s="8">
        <f>[4]UPC!BE28</f>
        <v>2647.9461584193796</v>
      </c>
      <c r="CV28" s="8">
        <f>[4]UPC!BF28</f>
        <v>3369.6787189829952</v>
      </c>
      <c r="CW28" s="8">
        <f>[4]UPC!BG28</f>
        <v>2077.9167497833059</v>
      </c>
      <c r="CX28" s="8">
        <f>[4]UPC!BH28</f>
        <v>2077.9167497833059</v>
      </c>
      <c r="CY28" s="8">
        <f>[4]UPC!BI28</f>
        <v>2149.5786507128673</v>
      </c>
      <c r="DA28">
        <v>2048</v>
      </c>
      <c r="DB28" s="133">
        <f t="shared" si="2"/>
        <v>3987.3424256327062</v>
      </c>
      <c r="DC28" s="133">
        <f t="shared" si="8"/>
        <v>5175.5106360311429</v>
      </c>
      <c r="DD28" s="133">
        <f t="shared" si="8"/>
        <v>5290.2191694689664</v>
      </c>
      <c r="DE28" s="133">
        <f t="shared" si="8"/>
        <v>4197.6714474373221</v>
      </c>
      <c r="DF28" s="133">
        <f t="shared" si="8"/>
        <v>4641.4558364746508</v>
      </c>
      <c r="DG28" s="133">
        <f t="shared" si="8"/>
        <v>5174.1676837435934</v>
      </c>
      <c r="DH28" s="133">
        <f t="shared" si="8"/>
        <v>12898.74063919589</v>
      </c>
      <c r="DI28" s="133">
        <f t="shared" si="8"/>
        <v>17122.341252923241</v>
      </c>
      <c r="DJ28" s="133">
        <f t="shared" si="8"/>
        <v>5866.2947402369591</v>
      </c>
      <c r="DK28" s="133">
        <f t="shared" si="8"/>
        <v>5113.0292576875745</v>
      </c>
      <c r="DM28">
        <v>2048</v>
      </c>
      <c r="DN28" s="219">
        <f t="shared" si="9"/>
        <v>0</v>
      </c>
      <c r="DO28" s="219">
        <f t="shared" si="9"/>
        <v>0.29798499440636822</v>
      </c>
      <c r="DP28" s="219">
        <f t="shared" si="9"/>
        <v>0.32675316156964407</v>
      </c>
      <c r="DQ28" s="219">
        <f t="shared" si="9"/>
        <v>5.2749174601236098E-2</v>
      </c>
      <c r="DR28" s="219">
        <f t="shared" si="9"/>
        <v>0.16404746345259044</v>
      </c>
      <c r="DS28" s="219">
        <f t="shared" si="9"/>
        <v>0.2976481905545304</v>
      </c>
      <c r="DT28" s="219">
        <f t="shared" si="9"/>
        <v>2.2349217253768057</v>
      </c>
      <c r="DU28" s="219">
        <f t="shared" si="9"/>
        <v>3.2941737691882058</v>
      </c>
      <c r="DV28" s="219">
        <f t="shared" si="9"/>
        <v>0.47122923341756967</v>
      </c>
      <c r="DW28" s="219">
        <f t="shared" si="9"/>
        <v>0.28231506399309203</v>
      </c>
    </row>
    <row r="29" spans="1:127" x14ac:dyDescent="0.25">
      <c r="A29">
        <v>2049</v>
      </c>
      <c r="B29" s="223">
        <f>'[7]WACOG Calc'!C76</f>
        <v>4.8534161872612875</v>
      </c>
      <c r="C29" s="223">
        <f>'[7]WACOG Calc'!D76</f>
        <v>4.7713619203691042</v>
      </c>
      <c r="D29" s="223">
        <f>'[7]WACOG Calc'!E76</f>
        <v>4.7446519924627761</v>
      </c>
      <c r="E29" s="223">
        <f>'[7]WACOG Calc'!F76</f>
        <v>4.6408489217550359</v>
      </c>
      <c r="F29" s="223">
        <f>'[7]WACOG Calc'!G76</f>
        <v>4.7011625589912649</v>
      </c>
      <c r="G29" s="223">
        <f>'[7]WACOG Calc'!H76</f>
        <v>4.5994608678601256</v>
      </c>
      <c r="H29" s="223">
        <f>'[7]WACOG Calc'!I76</f>
        <v>4.3538962743593581</v>
      </c>
      <c r="I29" s="223">
        <f>'[7]WACOG Calc'!J76</f>
        <v>4.7780782257386809</v>
      </c>
      <c r="J29" s="223">
        <f>'[7]WACOG Calc'!K76</f>
        <v>4.7780782257878132</v>
      </c>
      <c r="K29" s="223">
        <f>'[7]WACOG Calc'!L76</f>
        <v>4.7968896136586334</v>
      </c>
      <c r="M29">
        <v>2049</v>
      </c>
      <c r="N29" s="154">
        <v>8.2658978186397114</v>
      </c>
      <c r="O29" s="154">
        <v>8.120596108473368</v>
      </c>
      <c r="P29" s="154">
        <v>8.3649881751371531</v>
      </c>
      <c r="Q29" s="154">
        <v>7.3085045602759546</v>
      </c>
      <c r="R29" s="154">
        <v>7.5462000094849282</v>
      </c>
      <c r="S29" s="154">
        <v>5.4530996200947248</v>
      </c>
      <c r="T29" s="154">
        <v>5.5078479942308016</v>
      </c>
      <c r="U29" s="154">
        <v>5.3294050942248505</v>
      </c>
      <c r="V29" s="154">
        <v>11.110931633411054</v>
      </c>
      <c r="W29" s="154">
        <v>7.1421415492353191</v>
      </c>
      <c r="Y29">
        <v>2049</v>
      </c>
      <c r="Z29" s="133">
        <v>482.98253653358296</v>
      </c>
      <c r="AA29" s="133">
        <v>482.98253653358296</v>
      </c>
      <c r="AB29" s="133">
        <v>482.98253653358296</v>
      </c>
      <c r="AC29" s="133">
        <v>482.98253653358296</v>
      </c>
      <c r="AD29" s="133">
        <v>637.92088774322178</v>
      </c>
      <c r="AE29" s="133">
        <v>2515.8526898243294</v>
      </c>
      <c r="AF29" s="133">
        <v>3533.7611120038769</v>
      </c>
      <c r="AG29" s="133">
        <v>482.98253653358296</v>
      </c>
      <c r="AH29" s="133">
        <v>482.98253653358296</v>
      </c>
      <c r="AI29" s="133">
        <v>482.98253653358296</v>
      </c>
      <c r="AJ29" s="133"/>
      <c r="AK29">
        <v>2049</v>
      </c>
      <c r="AL29" s="8">
        <f>[4]UPC!V29</f>
        <v>464.76560082130271</v>
      </c>
      <c r="AM29" s="8">
        <f>[4]UPC!W29</f>
        <v>322.40968524301502</v>
      </c>
      <c r="AN29" s="8">
        <f>[4]UPC!X29</f>
        <v>324.93289202369641</v>
      </c>
      <c r="AO29" s="8">
        <f>[4]UPC!Y29</f>
        <v>203.31676460651838</v>
      </c>
      <c r="AP29" s="8">
        <f>[4]UPC!Z29</f>
        <v>373.85077542678169</v>
      </c>
      <c r="AQ29" s="8">
        <f>[4]UPC!AA29</f>
        <v>548.51363492244479</v>
      </c>
      <c r="AR29" s="8">
        <f>[4]UPC!AB29</f>
        <v>492.3187003842703</v>
      </c>
      <c r="AS29" s="8">
        <f>[4]UPC!AC29</f>
        <v>328.38771054321398</v>
      </c>
      <c r="AT29" s="8">
        <f>[4]UPC!AD29</f>
        <v>328.38771054321398</v>
      </c>
      <c r="AU29" s="8">
        <f>[4]UPC!AE29</f>
        <v>351.05125020273709</v>
      </c>
      <c r="AW29">
        <v>2049</v>
      </c>
      <c r="AX29" s="133">
        <f t="shared" si="5"/>
        <v>746.1059147193298</v>
      </c>
      <c r="AY29" s="133">
        <f t="shared" si="6"/>
        <v>946.25923228468878</v>
      </c>
      <c r="AZ29" s="133">
        <f t="shared" si="6"/>
        <v>957.13263272784479</v>
      </c>
      <c r="BA29" s="133">
        <f t="shared" si="6"/>
        <v>764.4073704927431</v>
      </c>
      <c r="BB29" s="133">
        <f t="shared" si="6"/>
        <v>1153.8663298731251</v>
      </c>
      <c r="BC29" s="133">
        <f t="shared" si="6"/>
        <v>3229.8135541532915</v>
      </c>
      <c r="BD29" s="133">
        <f t="shared" si="6"/>
        <v>4232.2947050692374</v>
      </c>
      <c r="BE29" s="133">
        <f t="shared" si="6"/>
        <v>858.0895601755393</v>
      </c>
      <c r="BF29" s="133">
        <f t="shared" si="6"/>
        <v>1058.0102725393924</v>
      </c>
      <c r="BG29" s="133">
        <f t="shared" si="6"/>
        <v>949.91521518869854</v>
      </c>
      <c r="BI29">
        <v>2049</v>
      </c>
      <c r="BJ29" s="219">
        <f t="shared" si="7"/>
        <v>0</v>
      </c>
      <c r="BK29" s="219">
        <f t="shared" si="7"/>
        <v>0.26826394700362705</v>
      </c>
      <c r="BL29" s="219">
        <f t="shared" si="7"/>
        <v>0.2828374817104875</v>
      </c>
      <c r="BM29" s="219">
        <f t="shared" si="7"/>
        <v>2.4529299945702666E-2</v>
      </c>
      <c r="BN29" s="219">
        <f t="shared" si="7"/>
        <v>0.54651813785337255</v>
      </c>
      <c r="BO29" s="219">
        <f t="shared" si="7"/>
        <v>3.3288941830306804</v>
      </c>
      <c r="BP29" s="219">
        <f t="shared" si="7"/>
        <v>4.6725119337263825</v>
      </c>
      <c r="BQ29" s="219">
        <f t="shared" si="7"/>
        <v>0.1500908158573378</v>
      </c>
      <c r="BR29" s="219">
        <f t="shared" si="7"/>
        <v>0.41804300390433818</v>
      </c>
      <c r="BS29" s="219">
        <f t="shared" si="7"/>
        <v>0.27316403267763634</v>
      </c>
      <c r="BT29" s="219"/>
      <c r="BU29" s="219"/>
      <c r="BV29" s="219"/>
      <c r="BW29" s="219"/>
      <c r="BX29" s="219"/>
      <c r="BY29" s="224">
        <v>2049</v>
      </c>
      <c r="BZ29" s="225">
        <v>3229.8135541532915</v>
      </c>
      <c r="CA29" s="224">
        <v>548.51363492244479</v>
      </c>
      <c r="CB29" s="219">
        <f t="array" ref="CB29">INDEX($BK$2:$BS$30,BY29-2021,$BU$21)</f>
        <v>3.3288941830306804</v>
      </c>
      <c r="CC29">
        <v>2049</v>
      </c>
      <c r="CD29" s="133">
        <v>2381.4385970318058</v>
      </c>
      <c r="CE29" s="133">
        <v>2381.4385970318058</v>
      </c>
      <c r="CF29" s="133">
        <v>2381.4385970318058</v>
      </c>
      <c r="CG29" s="133">
        <v>2381.4385970318058</v>
      </c>
      <c r="CH29" s="133">
        <v>2381.4385970318058</v>
      </c>
      <c r="CI29" s="133">
        <v>2381.4385970318058</v>
      </c>
      <c r="CJ29" s="133">
        <v>10544.44954377232</v>
      </c>
      <c r="CK29" s="133">
        <v>14263.195198726055</v>
      </c>
      <c r="CL29" s="133">
        <v>2381.4385970318058</v>
      </c>
      <c r="CM29" s="133">
        <v>2381.4385970318058</v>
      </c>
      <c r="CN29" s="133"/>
      <c r="CO29">
        <v>2049</v>
      </c>
      <c r="CP29" s="8">
        <f>[4]UPC!AZ29</f>
        <v>3004.6759868742643</v>
      </c>
      <c r="CQ29" s="8">
        <f>[4]UPC!BA29</f>
        <v>2024.6507330974894</v>
      </c>
      <c r="CR29" s="8">
        <f>[4]UPC!BB29</f>
        <v>2088.4936020820028</v>
      </c>
      <c r="CS29" s="8">
        <f>[4]UPC!BC29</f>
        <v>1376.7879402670071</v>
      </c>
      <c r="CT29" s="8">
        <f>[4]UPC!BD29</f>
        <v>1700.9552875748559</v>
      </c>
      <c r="CU29" s="8">
        <f>[4]UPC!BE29</f>
        <v>2627.5981153549096</v>
      </c>
      <c r="CV29" s="8">
        <f>[4]UPC!BF29</f>
        <v>3342.2577357116138</v>
      </c>
      <c r="CW29" s="8">
        <f>[4]UPC!BG29</f>
        <v>2058.0329233441253</v>
      </c>
      <c r="CX29" s="8">
        <f>[4]UPC!BH29</f>
        <v>2058.0329233441253</v>
      </c>
      <c r="CY29" s="8">
        <f>[4]UPC!BI29</f>
        <v>2131.1117987244247</v>
      </c>
      <c r="DA29">
        <v>2049</v>
      </c>
      <c r="DB29" s="133">
        <f t="shared" si="2"/>
        <v>4043.2387481740811</v>
      </c>
      <c r="DC29" s="133">
        <f t="shared" si="8"/>
        <v>5256.1651451433263</v>
      </c>
      <c r="DD29" s="133">
        <f t="shared" si="8"/>
        <v>5390.7056222002984</v>
      </c>
      <c r="DE29" s="133">
        <f t="shared" si="8"/>
        <v>4240.0215660499289</v>
      </c>
      <c r="DF29" s="133">
        <f t="shared" si="8"/>
        <v>4701.2872000784746</v>
      </c>
      <c r="DG29" s="133">
        <f t="shared" si="8"/>
        <v>5289.0584135996305</v>
      </c>
      <c r="DH29" s="133">
        <f t="shared" si="8"/>
        <v>14574.045079190082</v>
      </c>
      <c r="DI29" s="133">
        <f t="shared" si="8"/>
        <v>17209.546015978762</v>
      </c>
      <c r="DJ29" s="133">
        <f t="shared" si="8"/>
        <v>5950.9759423022833</v>
      </c>
      <c r="DK29" s="133">
        <f t="shared" si="8"/>
        <v>5186.8459342685637</v>
      </c>
      <c r="DM29">
        <v>2049</v>
      </c>
      <c r="DN29" s="219">
        <f t="shared" si="9"/>
        <v>0</v>
      </c>
      <c r="DO29" s="219">
        <f t="shared" si="9"/>
        <v>0.2999888140459181</v>
      </c>
      <c r="DP29" s="219">
        <f t="shared" si="9"/>
        <v>0.33326423640818409</v>
      </c>
      <c r="DQ29" s="219">
        <f t="shared" si="9"/>
        <v>4.8669601310265063E-2</v>
      </c>
      <c r="DR29" s="219">
        <f t="shared" si="9"/>
        <v>0.16275280607695178</v>
      </c>
      <c r="DS29" s="219">
        <f t="shared" si="9"/>
        <v>0.30812419028882704</v>
      </c>
      <c r="DT29" s="219">
        <f t="shared" si="9"/>
        <v>2.6045472421760136</v>
      </c>
      <c r="DU29" s="219">
        <f t="shared" si="9"/>
        <v>3.2563764070945749</v>
      </c>
      <c r="DV29" s="219">
        <f t="shared" si="9"/>
        <v>0.4718339215040746</v>
      </c>
      <c r="DW29" s="219">
        <f t="shared" si="9"/>
        <v>0.28284433775050594</v>
      </c>
    </row>
    <row r="30" spans="1:127" x14ac:dyDescent="0.25">
      <c r="A30">
        <v>2050</v>
      </c>
      <c r="B30" s="223">
        <f>'[7]WACOG Calc'!C77</f>
        <v>5.0911993324354556</v>
      </c>
      <c r="C30" s="223">
        <f>'[7]WACOG Calc'!D77</f>
        <v>4.9907904981615623</v>
      </c>
      <c r="D30" s="223">
        <f>'[7]WACOG Calc'!E77</f>
        <v>4.977915972202525</v>
      </c>
      <c r="E30" s="223">
        <f>'[7]WACOG Calc'!F77</f>
        <v>4.9007414613828342</v>
      </c>
      <c r="F30" s="223">
        <f>'[7]WACOG Calc'!G77</f>
        <v>4.9573502339054833</v>
      </c>
      <c r="G30" s="223">
        <f>'[7]WACOG Calc'!H77</f>
        <v>4.8302817950352726</v>
      </c>
      <c r="H30" s="223">
        <f>'[7]WACOG Calc'!I77</f>
        <v>4.5976408275586529</v>
      </c>
      <c r="I30" s="223">
        <f>'[7]WACOG Calc'!J77</f>
        <v>4.9932412251712002</v>
      </c>
      <c r="J30" s="223">
        <f>'[7]WACOG Calc'!K77</f>
        <v>4.9932412252323921</v>
      </c>
      <c r="K30" s="223">
        <f>'[7]WACOG Calc'!L77</f>
        <v>5.0025412423016702</v>
      </c>
      <c r="M30">
        <v>2050</v>
      </c>
      <c r="N30" s="154">
        <v>8.425996619169446</v>
      </c>
      <c r="O30" s="154">
        <v>8.348658806066279</v>
      </c>
      <c r="P30" s="154">
        <v>8.7259281761199059</v>
      </c>
      <c r="Q30" s="154">
        <v>7.5651219277746087</v>
      </c>
      <c r="R30" s="154">
        <v>7.7886851807887014</v>
      </c>
      <c r="S30" s="154">
        <v>5.8154476822263153</v>
      </c>
      <c r="T30" s="154">
        <v>6.3508347319179164</v>
      </c>
      <c r="U30" s="154">
        <v>5.4970028479100019</v>
      </c>
      <c r="V30" s="154">
        <v>11.461516739221759</v>
      </c>
      <c r="W30" s="154">
        <v>7.3477210057086397</v>
      </c>
      <c r="Y30">
        <v>2050</v>
      </c>
      <c r="Z30" s="133">
        <v>481.76593653358293</v>
      </c>
      <c r="AA30" s="133">
        <v>481.76593653358293</v>
      </c>
      <c r="AB30" s="133">
        <v>481.76593653358293</v>
      </c>
      <c r="AC30" s="133">
        <v>481.76593653358293</v>
      </c>
      <c r="AD30" s="133">
        <v>643.39379444395411</v>
      </c>
      <c r="AE30" s="133">
        <v>2920.6988960571493</v>
      </c>
      <c r="AF30" s="133">
        <v>3536.2518581577665</v>
      </c>
      <c r="AG30" s="133">
        <v>481.76593653358293</v>
      </c>
      <c r="AH30" s="133">
        <v>481.76593653358293</v>
      </c>
      <c r="AI30" s="133">
        <v>481.76593653358293</v>
      </c>
      <c r="AJ30" s="133"/>
      <c r="AK30">
        <v>2050</v>
      </c>
      <c r="AL30" s="8">
        <f>[4]UPC!V30</f>
        <v>460.45141296098137</v>
      </c>
      <c r="AM30" s="8">
        <f>[4]UPC!W30</f>
        <v>315.16847403483018</v>
      </c>
      <c r="AN30" s="8">
        <f>[4]UPC!X30</f>
        <v>315.96558123021958</v>
      </c>
      <c r="AO30" s="8">
        <f>[4]UPC!Y30</f>
        <v>195.56506342565672</v>
      </c>
      <c r="AP30" s="8">
        <f>[4]UPC!Z30</f>
        <v>368.1511913732989</v>
      </c>
      <c r="AQ30" s="8">
        <f>[4]UPC!AA30</f>
        <v>545.71023407646078</v>
      </c>
      <c r="AR30" s="8">
        <f>[4]UPC!AB30</f>
        <v>490.59803894160336</v>
      </c>
      <c r="AS30" s="8">
        <f>[4]UPC!AC30</f>
        <v>319.67527301759316</v>
      </c>
      <c r="AT30" s="8">
        <f>[4]UPC!AD30</f>
        <v>319.67527301759316</v>
      </c>
      <c r="AU30" s="8">
        <f>[4]UPC!AE30</f>
        <v>342.5015536329592</v>
      </c>
      <c r="AW30">
        <v>2050</v>
      </c>
      <c r="AX30" s="133">
        <f t="shared" si="5"/>
        <v>754.14904840776921</v>
      </c>
      <c r="AY30" s="133">
        <f t="shared" si="6"/>
        <v>949.99904091060523</v>
      </c>
      <c r="AZ30" s="133">
        <f t="shared" si="6"/>
        <v>963.24253764265586</v>
      </c>
      <c r="BA30" s="133">
        <f t="shared" si="6"/>
        <v>764.00907063656507</v>
      </c>
      <c r="BB30" s="133">
        <f t="shared" si="6"/>
        <v>1171.6105589230676</v>
      </c>
      <c r="BC30" s="133">
        <f t="shared" si="6"/>
        <v>3687.2345527255284</v>
      </c>
      <c r="BD30" s="133">
        <f t="shared" si="6"/>
        <v>4289.2711639141162</v>
      </c>
      <c r="BE30" s="133">
        <f t="shared" si="6"/>
        <v>860.42009466004708</v>
      </c>
      <c r="BF30" s="133">
        <f t="shared" si="6"/>
        <v>1061.1964056394365</v>
      </c>
      <c r="BG30" s="133">
        <f t="shared" si="6"/>
        <v>952.71684718256972</v>
      </c>
      <c r="BI30">
        <v>2050</v>
      </c>
      <c r="BJ30" s="219">
        <f t="shared" si="7"/>
        <v>0</v>
      </c>
      <c r="BK30" s="219">
        <f t="shared" si="7"/>
        <v>0.25969666462661861</v>
      </c>
      <c r="BL30" s="219">
        <f t="shared" si="7"/>
        <v>0.27725751252533515</v>
      </c>
      <c r="BM30" s="219">
        <f t="shared" si="7"/>
        <v>1.3074368057101268E-2</v>
      </c>
      <c r="BN30" s="219">
        <f t="shared" si="7"/>
        <v>0.55355305611892325</v>
      </c>
      <c r="BO30" s="219">
        <f t="shared" si="7"/>
        <v>3.8892650073753541</v>
      </c>
      <c r="BP30" s="219">
        <f t="shared" si="7"/>
        <v>4.6875642460466285</v>
      </c>
      <c r="BQ30" s="219">
        <f t="shared" si="7"/>
        <v>0.1409151764848704</v>
      </c>
      <c r="BR30" s="219">
        <f t="shared" si="7"/>
        <v>0.40714412871027916</v>
      </c>
      <c r="BS30" s="219">
        <f t="shared" si="7"/>
        <v>0.26330046983953054</v>
      </c>
      <c r="BT30" s="219"/>
      <c r="BU30" s="219"/>
      <c r="BV30" s="219"/>
      <c r="BW30" s="219"/>
      <c r="BX30" s="219"/>
      <c r="BY30" s="224">
        <v>2050</v>
      </c>
      <c r="BZ30" s="225">
        <v>3687.2345527255284</v>
      </c>
      <c r="CA30" s="224">
        <v>545.71023407646078</v>
      </c>
      <c r="CB30" s="219">
        <f t="array" ref="CB30">INDEX($BK$2:$BS$30,BY30-2021,$BU$21)</f>
        <v>3.8892650073753541</v>
      </c>
      <c r="CC30">
        <v>2050</v>
      </c>
      <c r="CD30" s="133">
        <v>2396.4385970318058</v>
      </c>
      <c r="CE30" s="133">
        <v>2396.4385970318058</v>
      </c>
      <c r="CF30" s="133">
        <v>2396.4385970318058</v>
      </c>
      <c r="CG30" s="133">
        <v>2396.4385970318058</v>
      </c>
      <c r="CH30" s="133">
        <v>2396.4385970318058</v>
      </c>
      <c r="CI30" s="133">
        <v>2396.4385970318058</v>
      </c>
      <c r="CJ30" s="133">
        <v>12318.518845059623</v>
      </c>
      <c r="CK30" s="133">
        <v>14298.872410424345</v>
      </c>
      <c r="CL30" s="133">
        <v>2396.4385970318058</v>
      </c>
      <c r="CM30" s="133">
        <v>2396.4385970318058</v>
      </c>
      <c r="CN30" s="133"/>
      <c r="CO30">
        <v>2050</v>
      </c>
      <c r="CP30" s="8">
        <f>[4]UPC!AZ30</f>
        <v>3006.9802462802745</v>
      </c>
      <c r="CQ30" s="8">
        <f>[4]UPC!BA30</f>
        <v>2021.4941043526419</v>
      </c>
      <c r="CR30" s="8">
        <f>[4]UPC!BB30</f>
        <v>2081.2452732894835</v>
      </c>
      <c r="CS30" s="8">
        <f>[4]UPC!BC30</f>
        <v>1364.2966422972688</v>
      </c>
      <c r="CT30" s="8">
        <f>[4]UPC!BD30</f>
        <v>1688.5822905566829</v>
      </c>
      <c r="CU30" s="8">
        <f>[4]UPC!BE30</f>
        <v>2622.7663138956759</v>
      </c>
      <c r="CV30" s="8">
        <f>[4]UPC!BF30</f>
        <v>3333.0456409979975</v>
      </c>
      <c r="CW30" s="8">
        <f>[4]UPC!BG30</f>
        <v>2049.54646361598</v>
      </c>
      <c r="CX30" s="8">
        <f>[4]UPC!BH30</f>
        <v>2049.54646361598</v>
      </c>
      <c r="CY30" s="8">
        <f>[4]UPC!BI30</f>
        <v>2124.7648250507955</v>
      </c>
      <c r="DA30">
        <v>2050</v>
      </c>
      <c r="DB30" s="133">
        <f t="shared" si="2"/>
        <v>4135.5018447846614</v>
      </c>
      <c r="DC30" s="133">
        <f t="shared" si="8"/>
        <v>5362.9294311114254</v>
      </c>
      <c r="DD30" s="133">
        <f t="shared" si="8"/>
        <v>5526.7175511895093</v>
      </c>
      <c r="DE30" s="133">
        <f t="shared" si="8"/>
        <v>4314.3012176862549</v>
      </c>
      <c r="DF30" s="133">
        <f t="shared" si="8"/>
        <v>4789.7932775637046</v>
      </c>
      <c r="DG30" s="133">
        <f t="shared" si="8"/>
        <v>5463.5585901522645</v>
      </c>
      <c r="DH30" s="133">
        <f t="shared" si="8"/>
        <v>16813.98359207359</v>
      </c>
      <c r="DI30" s="133">
        <f t="shared" si="8"/>
        <v>17320.688198427037</v>
      </c>
      <c r="DJ30" s="133">
        <f t="shared" si="8"/>
        <v>6074.6703345221113</v>
      </c>
      <c r="DK30" s="133">
        <f t="shared" si="8"/>
        <v>5286.6695580120413</v>
      </c>
      <c r="DM30">
        <v>2050</v>
      </c>
      <c r="DN30" s="219">
        <f t="shared" si="9"/>
        <v>0</v>
      </c>
      <c r="DO30" s="219">
        <f t="shared" si="9"/>
        <v>0.29680257255227438</v>
      </c>
      <c r="DP30" s="219">
        <f t="shared" si="9"/>
        <v>0.33640795207462648</v>
      </c>
      <c r="DQ30" s="219">
        <f t="shared" si="9"/>
        <v>4.3235229873510944E-2</v>
      </c>
      <c r="DR30" s="219">
        <f t="shared" si="9"/>
        <v>0.15821330937239916</v>
      </c>
      <c r="DS30" s="219">
        <f t="shared" si="9"/>
        <v>0.32113557077539062</v>
      </c>
      <c r="DT30" s="219">
        <f t="shared" si="9"/>
        <v>3.0657661931109854</v>
      </c>
      <c r="DU30" s="219">
        <f t="shared" si="9"/>
        <v>3.1882917354444893</v>
      </c>
      <c r="DV30" s="219">
        <f t="shared" si="9"/>
        <v>0.46890765921987487</v>
      </c>
      <c r="DW30" s="219">
        <f t="shared" si="9"/>
        <v>0.27836227776784417</v>
      </c>
    </row>
    <row r="31" spans="1:127" x14ac:dyDescent="0.25">
      <c r="AE31" s="133"/>
    </row>
    <row r="33" spans="49:49" x14ac:dyDescent="0.25">
      <c r="AW33" s="154"/>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D8ECA-AE60-43CA-8A24-CFC741E47EA8}">
  <sheetPr>
    <tabColor rgb="FF7030A0"/>
  </sheetPr>
  <dimension ref="A1:CB33"/>
  <sheetViews>
    <sheetView topLeftCell="S1" workbookViewId="0">
      <selection activeCell="AI37" sqref="AI37"/>
    </sheetView>
  </sheetViews>
  <sheetFormatPr defaultRowHeight="15" x14ac:dyDescent="0.25"/>
  <cols>
    <col min="14" max="23" width="9.140625" style="154"/>
    <col min="78" max="79" width="9.140625" style="133"/>
  </cols>
  <sheetData>
    <row r="1" spans="1:80" x14ac:dyDescent="0.25">
      <c r="A1" t="s">
        <v>352</v>
      </c>
      <c r="B1" t="s">
        <v>94</v>
      </c>
      <c r="C1" t="s">
        <v>98</v>
      </c>
      <c r="D1" t="s">
        <v>99</v>
      </c>
      <c r="E1" t="s">
        <v>100</v>
      </c>
      <c r="F1" t="s">
        <v>101</v>
      </c>
      <c r="G1" t="s">
        <v>102</v>
      </c>
      <c r="H1" t="s">
        <v>103</v>
      </c>
      <c r="I1" t="s">
        <v>104</v>
      </c>
      <c r="J1" t="s">
        <v>105</v>
      </c>
      <c r="K1" t="s">
        <v>106</v>
      </c>
      <c r="M1" t="s">
        <v>361</v>
      </c>
      <c r="N1" s="154" t="s">
        <v>94</v>
      </c>
      <c r="O1" s="154" t="s">
        <v>98</v>
      </c>
      <c r="P1" s="154" t="s">
        <v>99</v>
      </c>
      <c r="Q1" s="154" t="s">
        <v>100</v>
      </c>
      <c r="R1" s="154" t="s">
        <v>101</v>
      </c>
      <c r="S1" s="154" t="s">
        <v>102</v>
      </c>
      <c r="T1" s="154" t="s">
        <v>103</v>
      </c>
      <c r="U1" s="154" t="s">
        <v>104</v>
      </c>
      <c r="V1" s="154" t="s">
        <v>105</v>
      </c>
      <c r="W1" s="154" t="s">
        <v>106</v>
      </c>
      <c r="Y1" t="s">
        <v>556</v>
      </c>
      <c r="Z1" s="154" t="s">
        <v>94</v>
      </c>
      <c r="AA1" s="154" t="s">
        <v>98</v>
      </c>
      <c r="AB1" s="154" t="s">
        <v>99</v>
      </c>
      <c r="AC1" s="154" t="s">
        <v>100</v>
      </c>
      <c r="AD1" s="154" t="s">
        <v>101</v>
      </c>
      <c r="AE1" s="154" t="s">
        <v>102</v>
      </c>
      <c r="AF1" s="154" t="s">
        <v>103</v>
      </c>
      <c r="AG1" s="154" t="s">
        <v>104</v>
      </c>
      <c r="AH1" s="154" t="s">
        <v>105</v>
      </c>
      <c r="AI1" s="154" t="s">
        <v>106</v>
      </c>
      <c r="AJ1" s="154" t="s">
        <v>557</v>
      </c>
      <c r="AK1" t="s">
        <v>558</v>
      </c>
      <c r="AL1" s="154" t="s">
        <v>94</v>
      </c>
      <c r="AM1" s="154" t="s">
        <v>98</v>
      </c>
      <c r="AN1" s="154" t="s">
        <v>99</v>
      </c>
      <c r="AO1" s="154" t="s">
        <v>100</v>
      </c>
      <c r="AP1" s="154" t="s">
        <v>101</v>
      </c>
      <c r="AQ1" s="154" t="s">
        <v>102</v>
      </c>
      <c r="AR1" s="154" t="s">
        <v>103</v>
      </c>
      <c r="AS1" s="154" t="s">
        <v>104</v>
      </c>
      <c r="AT1" s="154" t="s">
        <v>105</v>
      </c>
      <c r="AU1" s="154" t="s">
        <v>106</v>
      </c>
      <c r="AW1" t="s">
        <v>558</v>
      </c>
      <c r="AX1" s="154" t="s">
        <v>94</v>
      </c>
      <c r="AY1" s="154" t="s">
        <v>98</v>
      </c>
      <c r="AZ1" s="154" t="s">
        <v>99</v>
      </c>
      <c r="BA1" s="154" t="s">
        <v>100</v>
      </c>
      <c r="BB1" s="154" t="s">
        <v>101</v>
      </c>
      <c r="BC1" s="154" t="s">
        <v>102</v>
      </c>
      <c r="BD1" s="154" t="s">
        <v>103</v>
      </c>
      <c r="BE1" s="154" t="s">
        <v>104</v>
      </c>
      <c r="BF1" s="154" t="s">
        <v>105</v>
      </c>
      <c r="BG1" s="154" t="s">
        <v>106</v>
      </c>
      <c r="BI1" t="s">
        <v>559</v>
      </c>
      <c r="BJ1" s="154" t="s">
        <v>94</v>
      </c>
      <c r="BK1" s="154" t="s">
        <v>98</v>
      </c>
      <c r="BL1" s="154" t="s">
        <v>99</v>
      </c>
      <c r="BM1" s="154" t="s">
        <v>100</v>
      </c>
      <c r="BN1" s="154" t="s">
        <v>101</v>
      </c>
      <c r="BO1" s="154" t="s">
        <v>102</v>
      </c>
      <c r="BP1" s="154" t="s">
        <v>103</v>
      </c>
      <c r="BQ1" s="154" t="s">
        <v>104</v>
      </c>
      <c r="BR1" s="154" t="s">
        <v>105</v>
      </c>
      <c r="BS1" s="154" t="s">
        <v>106</v>
      </c>
      <c r="BT1" s="154" t="s">
        <v>560</v>
      </c>
      <c r="BU1" s="154" t="s">
        <v>242</v>
      </c>
      <c r="BV1" s="154" t="s">
        <v>561</v>
      </c>
      <c r="BW1" s="154" t="s">
        <v>561</v>
      </c>
      <c r="BX1" s="154"/>
      <c r="BY1" s="154" t="s">
        <v>242</v>
      </c>
      <c r="BZ1" s="133" t="s">
        <v>562</v>
      </c>
      <c r="CA1" s="133" t="s">
        <v>562</v>
      </c>
    </row>
    <row r="2" spans="1:80" x14ac:dyDescent="0.25">
      <c r="A2">
        <v>2022</v>
      </c>
      <c r="B2" s="223">
        <f>'[7]WACOG Calc'!C49</f>
        <v>4.5047009327567027</v>
      </c>
      <c r="C2" s="223">
        <f>'[7]WACOG Calc'!D49</f>
        <v>4.5024177616033114</v>
      </c>
      <c r="D2" s="223">
        <f>'[7]WACOG Calc'!E49</f>
        <v>4.5019304550489823</v>
      </c>
      <c r="E2" s="223">
        <f>'[7]WACOG Calc'!F49</f>
        <v>4.5024177616131817</v>
      </c>
      <c r="F2" s="223">
        <f>'[7]WACOG Calc'!G49</f>
        <v>4.5024177616221444</v>
      </c>
      <c r="G2" s="223">
        <f>'[7]WACOG Calc'!H49</f>
        <v>4.5056423782424764</v>
      </c>
      <c r="H2" s="223">
        <f>'[7]WACOG Calc'!I49</f>
        <v>4.5056423780954882</v>
      </c>
      <c r="I2" s="223">
        <f>'[7]WACOG Calc'!J49</f>
        <v>4.5024177616349634</v>
      </c>
      <c r="J2" s="223">
        <f>'[7]WACOG Calc'!K49</f>
        <v>4.5024177616193883</v>
      </c>
      <c r="K2" s="223">
        <f>'[7]WACOG Calc'!L49</f>
        <v>4.5024177616352734</v>
      </c>
      <c r="M2">
        <v>2022</v>
      </c>
      <c r="N2" s="154">
        <v>0.22962655790777384</v>
      </c>
      <c r="O2" s="154">
        <v>0.2525680442399123</v>
      </c>
      <c r="P2" s="154">
        <v>0.28419239168028493</v>
      </c>
      <c r="Q2" s="154">
        <v>0.2525680442399123</v>
      </c>
      <c r="R2" s="154">
        <v>0.22953227443498922</v>
      </c>
      <c r="S2" s="154">
        <v>0.22962655790777384</v>
      </c>
      <c r="T2" s="154">
        <v>0.22962655790777273</v>
      </c>
      <c r="U2" s="154">
        <v>0.56144536666915812</v>
      </c>
      <c r="V2" s="154">
        <v>0.35446819563844512</v>
      </c>
      <c r="W2" s="154">
        <v>0.22953227443498922</v>
      </c>
      <c r="Y2">
        <v>2022</v>
      </c>
      <c r="Z2" s="133">
        <v>516</v>
      </c>
      <c r="AA2" s="133">
        <v>516</v>
      </c>
      <c r="AB2" s="133">
        <v>516</v>
      </c>
      <c r="AC2" s="133">
        <v>516</v>
      </c>
      <c r="AD2" s="133">
        <f>$AC2*('Oregon Bill Impacts'!AD2/'Oregon Bill Impacts'!$AC2)</f>
        <v>512</v>
      </c>
      <c r="AE2" s="133">
        <f>$AC2*('Oregon Bill Impacts'!AE2/'Oregon Bill Impacts'!$AC2)</f>
        <v>512</v>
      </c>
      <c r="AF2" s="133">
        <f>$AC2*('Oregon Bill Impacts'!AF2/'Oregon Bill Impacts'!$AC2)</f>
        <v>516</v>
      </c>
      <c r="AG2" s="133">
        <v>516</v>
      </c>
      <c r="AH2" s="133">
        <v>516</v>
      </c>
      <c r="AI2" s="133">
        <v>516</v>
      </c>
      <c r="AJ2" s="133"/>
      <c r="AK2">
        <v>2022</v>
      </c>
      <c r="AL2" s="8">
        <v>644.08091285140131</v>
      </c>
      <c r="AM2" s="8">
        <v>643.07078878047844</v>
      </c>
      <c r="AN2" s="8">
        <v>642.93947263892983</v>
      </c>
      <c r="AO2" s="8">
        <v>643.07078878047844</v>
      </c>
      <c r="AP2" s="8">
        <v>643.07078878047844</v>
      </c>
      <c r="AQ2" s="8">
        <v>644.08091285140131</v>
      </c>
      <c r="AR2" s="8">
        <v>644.08091285140131</v>
      </c>
      <c r="AS2" s="8">
        <v>643.07078878047844</v>
      </c>
      <c r="AT2" s="8">
        <v>643.07078878047844</v>
      </c>
      <c r="AU2" s="8">
        <v>643.07078878047844</v>
      </c>
      <c r="AW2">
        <v>2022</v>
      </c>
      <c r="AX2" s="133">
        <f>(Z2+(AL2*0.1*(B2)))*1.053</f>
        <v>848.86456590037983</v>
      </c>
      <c r="AY2" s="133">
        <f>(AA2+(AM2*0.1*(C2+O2)))*1.053</f>
        <v>865.33354738621699</v>
      </c>
      <c r="AZ2" s="133">
        <f t="shared" ref="AZ2:BG2" si="0">(AB2+(AN2*0.1*(D2+P2)))*1.053</f>
        <v>867.37582259114936</v>
      </c>
      <c r="BA2" s="133">
        <f t="shared" si="0"/>
        <v>865.33354738688547</v>
      </c>
      <c r="BB2" s="133">
        <f t="shared" si="0"/>
        <v>859.56167207913984</v>
      </c>
      <c r="BC2" s="133">
        <f t="shared" si="0"/>
        <v>860.29008449591413</v>
      </c>
      <c r="BD2" s="133">
        <f t="shared" si="0"/>
        <v>864.50208448594503</v>
      </c>
      <c r="BE2" s="133">
        <f t="shared" si="0"/>
        <v>886.24928463732431</v>
      </c>
      <c r="BF2" s="133">
        <f t="shared" si="0"/>
        <v>872.23375221788058</v>
      </c>
      <c r="BG2" s="133">
        <f t="shared" si="0"/>
        <v>863.77367208002886</v>
      </c>
      <c r="BI2">
        <v>2022</v>
      </c>
      <c r="BJ2" s="219">
        <f t="shared" ref="BJ2:BS17" si="1">(AX2-$AX2)/$AX2</f>
        <v>0</v>
      </c>
      <c r="BK2" s="219">
        <f t="shared" si="1"/>
        <v>1.9401188537500943E-2</v>
      </c>
      <c r="BL2" s="219">
        <f t="shared" si="1"/>
        <v>2.1807079049335595E-2</v>
      </c>
      <c r="BM2" s="219">
        <f t="shared" si="1"/>
        <v>1.9401188538288438E-2</v>
      </c>
      <c r="BN2" s="219">
        <f t="shared" si="1"/>
        <v>1.2601664162308065E-2</v>
      </c>
      <c r="BO2" s="219">
        <f t="shared" si="1"/>
        <v>1.3459766203593853E-2</v>
      </c>
      <c r="BP2" s="219">
        <f t="shared" si="1"/>
        <v>1.8421688469206731E-2</v>
      </c>
      <c r="BQ2" s="219">
        <f t="shared" si="1"/>
        <v>4.4040852026013107E-2</v>
      </c>
      <c r="BR2" s="219">
        <f t="shared" si="1"/>
        <v>2.7529934993473722E-2</v>
      </c>
      <c r="BS2" s="219">
        <f t="shared" si="1"/>
        <v>1.7563586440712282E-2</v>
      </c>
      <c r="BT2" s="219"/>
      <c r="BU2" s="224">
        <v>2005</v>
      </c>
      <c r="BV2" s="225">
        <v>1078.9909517546125</v>
      </c>
      <c r="BW2" s="224">
        <f>'Oregon Bill Impacts'!BW2*('Washington Bill Impacts'!$AL$2/'Oregon Bill Impacts'!$AL$2)</f>
        <v>672.77955848157671</v>
      </c>
      <c r="BX2" s="225"/>
      <c r="BY2" s="224">
        <v>2022</v>
      </c>
      <c r="BZ2" s="225">
        <f t="array" ref="BZ2">INDEX($AY$2:$BG$30,$AW2-2021,$BU$21)</f>
        <v>860.29008449591413</v>
      </c>
      <c r="CA2" s="224">
        <f t="array" ref="CA2">INDEX($AM$2:$AU$30,$BY2-2021,$BU$21)</f>
        <v>644.08091285140131</v>
      </c>
      <c r="CB2" s="219">
        <f t="array" ref="CB2">INDEX($BK$2:$BS$30,BY2-2021,$BU$21)</f>
        <v>1.3459766203593853E-2</v>
      </c>
    </row>
    <row r="3" spans="1:80" x14ac:dyDescent="0.25">
      <c r="A3">
        <v>2023</v>
      </c>
      <c r="B3" s="223">
        <f>'[7]WACOG Calc'!C50</f>
        <v>4.1292905945771459</v>
      </c>
      <c r="C3" s="223">
        <f>'[7]WACOG Calc'!D50</f>
        <v>4.1235761295627631</v>
      </c>
      <c r="D3" s="223">
        <f>'[7]WACOG Calc'!E50</f>
        <v>4.1183824226562269</v>
      </c>
      <c r="E3" s="223">
        <f>'[7]WACOG Calc'!F50</f>
        <v>4.1228916624435445</v>
      </c>
      <c r="F3" s="223">
        <f>'[7]WACOG Calc'!G50</f>
        <v>4.1235761295795719</v>
      </c>
      <c r="G3" s="223">
        <f>'[7]WACOG Calc'!H50</f>
        <v>4.128230896009244</v>
      </c>
      <c r="H3" s="223">
        <f>'[7]WACOG Calc'!I50</f>
        <v>4.1255699543684043</v>
      </c>
      <c r="I3" s="223">
        <f>'[7]WACOG Calc'!J50</f>
        <v>4.1235761295718154</v>
      </c>
      <c r="J3" s="223">
        <f>'[7]WACOG Calc'!K50</f>
        <v>4.1235761296000675</v>
      </c>
      <c r="K3" s="223">
        <f>'[7]WACOG Calc'!L50</f>
        <v>4.1235772077644306</v>
      </c>
      <c r="M3">
        <v>2023</v>
      </c>
      <c r="N3" s="154">
        <v>0.89155872200414066</v>
      </c>
      <c r="O3" s="154">
        <v>0.88479387735735304</v>
      </c>
      <c r="P3" s="154">
        <v>0.68075972699469267</v>
      </c>
      <c r="Q3" s="154">
        <v>0.92831090486276924</v>
      </c>
      <c r="R3" s="154">
        <v>0.88025593110473233</v>
      </c>
      <c r="S3" s="154">
        <v>0.87605323946099378</v>
      </c>
      <c r="T3" s="154">
        <v>0.81738396713160677</v>
      </c>
      <c r="U3" s="154">
        <v>0.59712010969922413</v>
      </c>
      <c r="V3" s="154">
        <v>1.0045197273607529</v>
      </c>
      <c r="W3" s="154">
        <v>0.88632483996800926</v>
      </c>
      <c r="Y3">
        <v>2023</v>
      </c>
      <c r="Z3" s="133">
        <v>514.61413653358295</v>
      </c>
      <c r="AA3" s="133">
        <v>514.61413653358295</v>
      </c>
      <c r="AB3" s="133">
        <v>514.61413653358295</v>
      </c>
      <c r="AC3" s="133">
        <v>514.61413653358295</v>
      </c>
      <c r="AD3" s="133">
        <f>$AC3*('Oregon Bill Impacts'!AD3/'Oregon Bill Impacts'!$AC3)</f>
        <v>514.61413653358295</v>
      </c>
      <c r="AE3" s="133">
        <f>$AC3*('Oregon Bill Impacts'!AE3/'Oregon Bill Impacts'!$AC3)</f>
        <v>529.88267297290452</v>
      </c>
      <c r="AF3" s="133">
        <f>$AC3*('Oregon Bill Impacts'!AF3/'Oregon Bill Impacts'!$AC3)</f>
        <v>512</v>
      </c>
      <c r="AG3" s="133">
        <v>514.61413653358295</v>
      </c>
      <c r="AH3" s="133">
        <v>514.61413653358295</v>
      </c>
      <c r="AI3" s="133">
        <v>514.61413653358295</v>
      </c>
      <c r="AJ3" s="133"/>
      <c r="AK3">
        <v>2023</v>
      </c>
      <c r="AL3" s="8">
        <v>642.19991215964126</v>
      </c>
      <c r="AM3" s="8">
        <v>638.75173419080875</v>
      </c>
      <c r="AN3" s="8">
        <v>638.30346833901797</v>
      </c>
      <c r="AO3" s="8">
        <v>637.75957478114628</v>
      </c>
      <c r="AP3" s="8">
        <v>638.75173419080875</v>
      </c>
      <c r="AQ3" s="8">
        <v>642.19991215964126</v>
      </c>
      <c r="AR3" s="8">
        <v>654.94932684382661</v>
      </c>
      <c r="AS3" s="8">
        <v>638.75173419080875</v>
      </c>
      <c r="AT3" s="8">
        <v>638.75173419080875</v>
      </c>
      <c r="AU3" s="8">
        <v>638.75173419080875</v>
      </c>
      <c r="AW3">
        <v>2023</v>
      </c>
      <c r="AX3" s="133">
        <f t="shared" ref="AX3:AX30" si="2">(Z3+(AL3*0.1*(B3)))*1.053</f>
        <v>821.12639078450138</v>
      </c>
      <c r="AY3" s="133">
        <f t="shared" ref="AY3:BG18" si="3">(AA3+(AM3*0.1*(C3+O3)))*1.053</f>
        <v>878.75444515397271</v>
      </c>
      <c r="AZ3" s="133">
        <f t="shared" si="3"/>
        <v>864.45513180690114</v>
      </c>
      <c r="BA3" s="133">
        <f t="shared" si="3"/>
        <v>881.10766576346498</v>
      </c>
      <c r="BB3" s="133">
        <f t="shared" si="3"/>
        <v>878.44922035974639</v>
      </c>
      <c r="BC3" s="133">
        <f t="shared" si="3"/>
        <v>896.37441727332623</v>
      </c>
      <c r="BD3" s="133">
        <f t="shared" si="3"/>
        <v>880.03257137123285</v>
      </c>
      <c r="BE3" s="133">
        <f t="shared" si="3"/>
        <v>859.40534713204215</v>
      </c>
      <c r="BF3" s="133">
        <f t="shared" si="3"/>
        <v>886.80727258807667</v>
      </c>
      <c r="BG3" s="133">
        <f t="shared" si="3"/>
        <v>878.85749107329116</v>
      </c>
      <c r="BI3">
        <v>2023</v>
      </c>
      <c r="BJ3" s="219">
        <f t="shared" si="1"/>
        <v>0</v>
      </c>
      <c r="BK3" s="219">
        <f t="shared" si="1"/>
        <v>7.0181710168167516E-2</v>
      </c>
      <c r="BL3" s="219">
        <f t="shared" si="1"/>
        <v>5.2767444218914487E-2</v>
      </c>
      <c r="BM3" s="219">
        <f t="shared" si="1"/>
        <v>7.3047554739603102E-2</v>
      </c>
      <c r="BN3" s="219">
        <f t="shared" si="1"/>
        <v>6.9809995414322229E-2</v>
      </c>
      <c r="BO3" s="219">
        <f t="shared" si="1"/>
        <v>9.1640004916823017E-2</v>
      </c>
      <c r="BP3" s="219">
        <f t="shared" si="1"/>
        <v>7.1738262523084545E-2</v>
      </c>
      <c r="BQ3" s="219">
        <f t="shared" si="1"/>
        <v>4.6617617917467227E-2</v>
      </c>
      <c r="BR3" s="219">
        <f t="shared" si="1"/>
        <v>7.9988760001762943E-2</v>
      </c>
      <c r="BS3" s="219">
        <f t="shared" si="1"/>
        <v>7.030720353980302E-2</v>
      </c>
      <c r="BT3" s="219"/>
      <c r="BU3" s="224">
        <v>2006</v>
      </c>
      <c r="BV3" s="225">
        <v>1173.520907567455</v>
      </c>
      <c r="BW3" s="224">
        <f>'Oregon Bill Impacts'!BW3*('Washington Bill Impacts'!$AL$2/'Oregon Bill Impacts'!$AL$2)</f>
        <v>674.46805652238345</v>
      </c>
      <c r="BX3" s="225"/>
      <c r="BY3" s="224">
        <v>2023</v>
      </c>
      <c r="BZ3" s="225">
        <f t="array" ref="BZ3">INDEX($AY$2:$BG$30,$AW3-2021,$BU$21)</f>
        <v>896.37441727332623</v>
      </c>
      <c r="CA3" s="224">
        <f t="array" ref="CA3">INDEX($AM$2:$AU$30,$BY3-2021,$BU$21)</f>
        <v>642.19991215964126</v>
      </c>
      <c r="CB3" s="219">
        <f t="array" ref="CB3">INDEX($BK$2:$BS$30,BY3-2021,$BU$21)</f>
        <v>9.1640004916823017E-2</v>
      </c>
    </row>
    <row r="4" spans="1:80" x14ac:dyDescent="0.25">
      <c r="A4">
        <v>2024</v>
      </c>
      <c r="B4" s="223">
        <f>'[7]WACOG Calc'!C51</f>
        <v>3.3710728052807855</v>
      </c>
      <c r="C4" s="223">
        <f>'[7]WACOG Calc'!D51</f>
        <v>3.3695812855410625</v>
      </c>
      <c r="D4" s="223">
        <f>'[7]WACOG Calc'!E51</f>
        <v>3.365984353271315</v>
      </c>
      <c r="E4" s="223">
        <f>'[7]WACOG Calc'!F51</f>
        <v>3.3670999784635307</v>
      </c>
      <c r="F4" s="223">
        <f>'[7]WACOG Calc'!G51</f>
        <v>3.3696018081539547</v>
      </c>
      <c r="G4" s="223">
        <f>'[7]WACOG Calc'!H51</f>
        <v>3.3702713618086424</v>
      </c>
      <c r="H4" s="223">
        <f>'[7]WACOG Calc'!I51</f>
        <v>3.360513445553448</v>
      </c>
      <c r="I4" s="223">
        <f>'[7]WACOG Calc'!J51</f>
        <v>3.369581285532238</v>
      </c>
      <c r="J4" s="223">
        <f>'[7]WACOG Calc'!K51</f>
        <v>3.3695812855048137</v>
      </c>
      <c r="K4" s="223">
        <f>'[7]WACOG Calc'!L51</f>
        <v>3.3695679298055468</v>
      </c>
      <c r="M4">
        <v>2024</v>
      </c>
      <c r="N4" s="154">
        <v>0.93322590875978928</v>
      </c>
      <c r="O4" s="154">
        <v>0.93282087965422678</v>
      </c>
      <c r="P4" s="154">
        <v>0.71028159883095199</v>
      </c>
      <c r="Q4" s="154">
        <v>1.0425692408277289</v>
      </c>
      <c r="R4" s="154">
        <v>0.92833384573780131</v>
      </c>
      <c r="S4" s="154">
        <v>0.91918453505732178</v>
      </c>
      <c r="T4" s="154">
        <v>0.86665435702028859</v>
      </c>
      <c r="U4" s="154">
        <v>0.64460560417966739</v>
      </c>
      <c r="V4" s="154">
        <v>1.0530810393416179</v>
      </c>
      <c r="W4" s="154">
        <v>0.93433900975619377</v>
      </c>
      <c r="Y4">
        <v>2024</v>
      </c>
      <c r="Z4" s="133">
        <v>513.39753653358298</v>
      </c>
      <c r="AA4" s="133">
        <v>513.39753653358298</v>
      </c>
      <c r="AB4" s="133">
        <v>513.39753653358298</v>
      </c>
      <c r="AC4" s="133">
        <v>513.39753653358298</v>
      </c>
      <c r="AD4" s="133">
        <f>$AC4*('Oregon Bill Impacts'!AD4/'Oregon Bill Impacts'!$AC4)</f>
        <v>510.48668053989678</v>
      </c>
      <c r="AE4" s="133">
        <f>$AC4*('Oregon Bill Impacts'!AE4/'Oregon Bill Impacts'!$AC4)</f>
        <v>542.87451213774693</v>
      </c>
      <c r="AF4" s="133">
        <f>$AC4*('Oregon Bill Impacts'!AF4/'Oregon Bill Impacts'!$AC4)</f>
        <v>554.62293158071566</v>
      </c>
      <c r="AG4" s="133">
        <v>513.39753653358298</v>
      </c>
      <c r="AH4" s="133">
        <v>513.39753653358298</v>
      </c>
      <c r="AI4" s="133">
        <v>513.39753653358298</v>
      </c>
      <c r="AJ4" s="133"/>
      <c r="AK4">
        <v>2024</v>
      </c>
      <c r="AL4" s="8">
        <v>639.49990777442179</v>
      </c>
      <c r="AM4" s="8">
        <v>633.1137612254339</v>
      </c>
      <c r="AN4" s="8">
        <v>632.28356442071401</v>
      </c>
      <c r="AO4" s="8">
        <v>628.64754662616087</v>
      </c>
      <c r="AP4" s="8">
        <v>633.1137612254339</v>
      </c>
      <c r="AQ4" s="8">
        <v>639.49990777442179</v>
      </c>
      <c r="AR4" s="8">
        <v>651.54036993752436</v>
      </c>
      <c r="AS4" s="8">
        <v>633.1137612254339</v>
      </c>
      <c r="AT4" s="8">
        <v>633.1137612254339</v>
      </c>
      <c r="AU4" s="8">
        <v>633.09332438431568</v>
      </c>
      <c r="AW4">
        <v>2024</v>
      </c>
      <c r="AX4" s="133">
        <f t="shared" si="2"/>
        <v>767.61342474246817</v>
      </c>
      <c r="AY4" s="133">
        <f t="shared" si="3"/>
        <v>827.43533077167649</v>
      </c>
      <c r="AZ4" s="133">
        <f t="shared" si="3"/>
        <v>812.00318916039112</v>
      </c>
      <c r="BA4" s="133">
        <f t="shared" si="3"/>
        <v>832.5126565854415</v>
      </c>
      <c r="BB4" s="133">
        <f t="shared" si="3"/>
        <v>824.07243104144538</v>
      </c>
      <c r="BC4" s="133">
        <f t="shared" si="3"/>
        <v>860.49599157324656</v>
      </c>
      <c r="BD4" s="133">
        <f t="shared" si="3"/>
        <v>874.0320978537294</v>
      </c>
      <c r="BE4" s="133">
        <f t="shared" si="3"/>
        <v>808.22091785863472</v>
      </c>
      <c r="BF4" s="133">
        <f t="shared" si="3"/>
        <v>835.45270029051915</v>
      </c>
      <c r="BG4" s="133">
        <f t="shared" si="3"/>
        <v>827.52638737735128</v>
      </c>
      <c r="BI4">
        <v>2024</v>
      </c>
      <c r="BJ4" s="219">
        <f t="shared" si="1"/>
        <v>0</v>
      </c>
      <c r="BK4" s="219">
        <f t="shared" si="1"/>
        <v>7.7932334298710812E-2</v>
      </c>
      <c r="BL4" s="219">
        <f t="shared" si="1"/>
        <v>5.7828280469190037E-2</v>
      </c>
      <c r="BM4" s="219">
        <f t="shared" si="1"/>
        <v>8.4546765013583255E-2</v>
      </c>
      <c r="BN4" s="219">
        <f t="shared" si="1"/>
        <v>7.3551353427565483E-2</v>
      </c>
      <c r="BO4" s="219">
        <f t="shared" si="1"/>
        <v>0.12100174884505203</v>
      </c>
      <c r="BP4" s="219">
        <f t="shared" si="1"/>
        <v>0.13863576336873518</v>
      </c>
      <c r="BQ4" s="219">
        <f t="shared" si="1"/>
        <v>5.290096786646252E-2</v>
      </c>
      <c r="BR4" s="219">
        <f t="shared" si="1"/>
        <v>8.8376874819263138E-2</v>
      </c>
      <c r="BS4" s="219">
        <f t="shared" si="1"/>
        <v>7.8050957296615445E-2</v>
      </c>
      <c r="BT4" s="219"/>
      <c r="BU4" s="224">
        <v>2007</v>
      </c>
      <c r="BV4" s="225">
        <v>1204.1400860756708</v>
      </c>
      <c r="BW4" s="224">
        <f>'Oregon Bill Impacts'!BW4*('Washington Bill Impacts'!$AL$2/'Oregon Bill Impacts'!$AL$2)</f>
        <v>690.89864709795836</v>
      </c>
      <c r="BX4" s="225"/>
      <c r="BY4" s="224">
        <v>2024</v>
      </c>
      <c r="BZ4" s="225">
        <f t="array" ref="BZ4">INDEX($AY$2:$BG$30,$AW4-2021,$BU$21)</f>
        <v>860.49599157324656</v>
      </c>
      <c r="CA4" s="224">
        <f t="array" ref="CA4">INDEX($AM$2:$AU$30,$BY4-2021,$BU$21)</f>
        <v>639.49990777442179</v>
      </c>
      <c r="CB4" s="219">
        <f t="array" ref="CB4">INDEX($BK$2:$BS$30,BY4-2021,$BU$21)</f>
        <v>0.12100174884505203</v>
      </c>
    </row>
    <row r="5" spans="1:80" x14ac:dyDescent="0.25">
      <c r="A5">
        <v>2025</v>
      </c>
      <c r="B5" s="223">
        <f>'[7]WACOG Calc'!C52</f>
        <v>3.3878442598123213</v>
      </c>
      <c r="C5" s="223">
        <f>'[7]WACOG Calc'!D52</f>
        <v>3.3867495054590675</v>
      </c>
      <c r="D5" s="223">
        <f>'[7]WACOG Calc'!E52</f>
        <v>3.3840853985210733</v>
      </c>
      <c r="E5" s="223">
        <f>'[7]WACOG Calc'!F52</f>
        <v>3.3820215456587492</v>
      </c>
      <c r="F5" s="223">
        <f>'[7]WACOG Calc'!G52</f>
        <v>3.3867081029157977</v>
      </c>
      <c r="G5" s="223">
        <f>'[7]WACOG Calc'!H52</f>
        <v>3.3898584988640814</v>
      </c>
      <c r="H5" s="223">
        <f>'[7]WACOG Calc'!I52</f>
        <v>3.3629737729567575</v>
      </c>
      <c r="I5" s="223">
        <f>'[7]WACOG Calc'!J52</f>
        <v>3.3867315231730024</v>
      </c>
      <c r="J5" s="223">
        <f>'[7]WACOG Calc'!K52</f>
        <v>3.3867315231780983</v>
      </c>
      <c r="K5" s="223">
        <f>'[7]WACOG Calc'!L52</f>
        <v>3.3865768854239513</v>
      </c>
      <c r="M5">
        <v>2025</v>
      </c>
      <c r="N5" s="154">
        <v>1.1528741245427991</v>
      </c>
      <c r="O5" s="154">
        <v>1.3660390925698742</v>
      </c>
      <c r="P5" s="154">
        <v>1.0761552246187664</v>
      </c>
      <c r="Q5" s="154">
        <v>1.3177797834637888</v>
      </c>
      <c r="R5" s="154">
        <v>1.2712219848973534</v>
      </c>
      <c r="S5" s="154">
        <v>1.1070804893014956</v>
      </c>
      <c r="T5" s="154">
        <v>0.93619294698816113</v>
      </c>
      <c r="U5" s="154">
        <v>0.83727636595532007</v>
      </c>
      <c r="V5" s="154">
        <v>1.7546736805022045</v>
      </c>
      <c r="W5" s="154">
        <v>1.1705925848471284</v>
      </c>
      <c r="Y5">
        <v>2025</v>
      </c>
      <c r="Z5" s="133">
        <v>512.18093653358289</v>
      </c>
      <c r="AA5" s="133">
        <v>512.18093653358289</v>
      </c>
      <c r="AB5" s="133">
        <v>512.18093653358289</v>
      </c>
      <c r="AC5" s="133">
        <v>512.18093653358289</v>
      </c>
      <c r="AD5" s="133">
        <f>$AC5*('Oregon Bill Impacts'!AD5/'Oregon Bill Impacts'!$AC5)</f>
        <v>513.38092211238506</v>
      </c>
      <c r="AE5" s="133">
        <f>$AC5*('Oregon Bill Impacts'!AE5/'Oregon Bill Impacts'!$AC5)</f>
        <v>557.70484009334393</v>
      </c>
      <c r="AF5" s="133">
        <f>$AC5*('Oregon Bill Impacts'!AF5/'Oregon Bill Impacts'!$AC5)</f>
        <v>584.34216815451634</v>
      </c>
      <c r="AG5" s="133">
        <v>512.18093653358289</v>
      </c>
      <c r="AH5" s="133">
        <v>512.18093653358289</v>
      </c>
      <c r="AI5" s="133">
        <v>512.18093653358289</v>
      </c>
      <c r="AJ5" s="133"/>
      <c r="AK5">
        <v>2025</v>
      </c>
      <c r="AL5" s="8">
        <v>629.97234224028603</v>
      </c>
      <c r="AM5" s="8">
        <v>618.27939612469675</v>
      </c>
      <c r="AN5" s="8">
        <v>618.52126053408563</v>
      </c>
      <c r="AO5" s="8">
        <v>609.82777156658392</v>
      </c>
      <c r="AP5" s="8">
        <v>627.18954863108559</v>
      </c>
      <c r="AQ5" s="8">
        <v>644.33117611636965</v>
      </c>
      <c r="AR5" s="8">
        <v>650.44764851308832</v>
      </c>
      <c r="AS5" s="8">
        <v>619.95178356660495</v>
      </c>
      <c r="AT5" s="8">
        <v>619.95178356660495</v>
      </c>
      <c r="AU5" s="8">
        <v>619.76738083420412</v>
      </c>
      <c r="AW5">
        <v>2025</v>
      </c>
      <c r="AX5" s="133">
        <f t="shared" si="2"/>
        <v>764.06285989233652</v>
      </c>
      <c r="AY5" s="133">
        <f t="shared" si="3"/>
        <v>848.7559743004083</v>
      </c>
      <c r="AZ5" s="133">
        <f t="shared" si="3"/>
        <v>829.82328577914359</v>
      </c>
      <c r="BA5" s="133">
        <f t="shared" si="3"/>
        <v>841.12363097243508</v>
      </c>
      <c r="BB5" s="133">
        <f t="shared" si="3"/>
        <v>848.21406478486233</v>
      </c>
      <c r="BC5" s="133">
        <f t="shared" si="3"/>
        <v>892.37184066711143</v>
      </c>
      <c r="BD5" s="133">
        <f t="shared" si="3"/>
        <v>909.7714207049313</v>
      </c>
      <c r="BE5" s="133">
        <f t="shared" si="3"/>
        <v>815.07365912703608</v>
      </c>
      <c r="BF5" s="133">
        <f t="shared" si="3"/>
        <v>874.96220240400464</v>
      </c>
      <c r="BG5" s="133">
        <f t="shared" si="3"/>
        <v>836.73426525963305</v>
      </c>
      <c r="BI5">
        <v>2025</v>
      </c>
      <c r="BJ5" s="219">
        <f t="shared" si="1"/>
        <v>0</v>
      </c>
      <c r="BK5" s="219">
        <f t="shared" si="1"/>
        <v>0.1108457416972287</v>
      </c>
      <c r="BL5" s="219">
        <f t="shared" si="1"/>
        <v>8.606677452699811E-2</v>
      </c>
      <c r="BM5" s="219">
        <f t="shared" si="1"/>
        <v>0.10085658540052206</v>
      </c>
      <c r="BN5" s="219">
        <f t="shared" si="1"/>
        <v>0.1101364944035933</v>
      </c>
      <c r="BO5" s="219">
        <f t="shared" si="1"/>
        <v>0.16792987528912848</v>
      </c>
      <c r="BP5" s="219">
        <f t="shared" si="1"/>
        <v>0.19070232105395943</v>
      </c>
      <c r="BQ5" s="219">
        <f t="shared" si="1"/>
        <v>6.6762568778552397E-2</v>
      </c>
      <c r="BR5" s="219">
        <f t="shared" si="1"/>
        <v>0.14514426539106332</v>
      </c>
      <c r="BS5" s="219">
        <f t="shared" si="1"/>
        <v>9.5111814985401333E-2</v>
      </c>
      <c r="BT5" s="219"/>
      <c r="BU5" s="224">
        <v>2008</v>
      </c>
      <c r="BV5" s="225">
        <v>1104.4038310483381</v>
      </c>
      <c r="BW5" s="224">
        <f>'Oregon Bill Impacts'!BW5*('Washington Bill Impacts'!$AL$2/'Oregon Bill Impacts'!$AL$2)</f>
        <v>716.68400461784745</v>
      </c>
      <c r="BX5" s="225"/>
      <c r="BY5" s="224">
        <v>2025</v>
      </c>
      <c r="BZ5" s="225">
        <f t="array" ref="BZ5">INDEX($AY$2:$BG$30,$AW5-2021,$BU$21)</f>
        <v>892.37184066711143</v>
      </c>
      <c r="CA5" s="224">
        <f t="array" ref="CA5">INDEX($AM$2:$AU$30,$BY5-2021,$BU$21)</f>
        <v>644.33117611636965</v>
      </c>
      <c r="CB5" s="219">
        <f t="array" ref="CB5">INDEX($BK$2:$BS$30,BY5-2021,$BU$21)</f>
        <v>0.16792987528912848</v>
      </c>
    </row>
    <row r="6" spans="1:80" x14ac:dyDescent="0.25">
      <c r="A6">
        <v>2026</v>
      </c>
      <c r="B6" s="223">
        <f>'[7]WACOG Calc'!C53</f>
        <v>3.9342255821981684</v>
      </c>
      <c r="C6" s="223">
        <f>'[7]WACOG Calc'!D53</f>
        <v>3.9412338231571442</v>
      </c>
      <c r="D6" s="223">
        <f>'[7]WACOG Calc'!E53</f>
        <v>3.9421461900979597</v>
      </c>
      <c r="E6" s="223">
        <f>'[7]WACOG Calc'!F53</f>
        <v>3.9409329718526513</v>
      </c>
      <c r="F6" s="223">
        <f>'[7]WACOG Calc'!G53</f>
        <v>3.943267836537323</v>
      </c>
      <c r="G6" s="223">
        <f>'[7]WACOG Calc'!H53</f>
        <v>3.946995542818986</v>
      </c>
      <c r="H6" s="223">
        <f>'[7]WACOG Calc'!I53</f>
        <v>3.9083440246424908</v>
      </c>
      <c r="I6" s="223">
        <f>'[7]WACOG Calc'!J53</f>
        <v>3.937810933628564</v>
      </c>
      <c r="J6" s="223">
        <f>'[7]WACOG Calc'!K53</f>
        <v>3.9378109336345704</v>
      </c>
      <c r="K6" s="223">
        <f>'[7]WACOG Calc'!L53</f>
        <v>3.9381656519151282</v>
      </c>
      <c r="M6">
        <v>2026</v>
      </c>
      <c r="N6" s="154">
        <v>1.4877243252130481</v>
      </c>
      <c r="O6" s="154">
        <v>1.8084821253281995</v>
      </c>
      <c r="P6" s="154">
        <v>1.2578391198667684</v>
      </c>
      <c r="Q6" s="154">
        <v>1.7445561263704512</v>
      </c>
      <c r="R6" s="154">
        <v>1.6889644755168591</v>
      </c>
      <c r="S6" s="154">
        <v>1.3984777950239784</v>
      </c>
      <c r="T6" s="154">
        <v>1.235385870166767</v>
      </c>
      <c r="U6" s="154">
        <v>1.3134629493400698</v>
      </c>
      <c r="V6" s="154">
        <v>2.2133493510437217</v>
      </c>
      <c r="W6" s="154">
        <v>1.52776857234649</v>
      </c>
      <c r="Y6">
        <v>2026</v>
      </c>
      <c r="Z6" s="133">
        <v>510.96433653358292</v>
      </c>
      <c r="AA6" s="133">
        <v>510.96433653358292</v>
      </c>
      <c r="AB6" s="133">
        <v>510.96433653358292</v>
      </c>
      <c r="AC6" s="133">
        <v>510.96433653358292</v>
      </c>
      <c r="AD6" s="133">
        <f>$AC6*('Oregon Bill Impacts'!AD6/'Oregon Bill Impacts'!$AC6)</f>
        <v>516.19864963468569</v>
      </c>
      <c r="AE6" s="133">
        <f>$AC6*('Oregon Bill Impacts'!AE6/'Oregon Bill Impacts'!$AC6)</f>
        <v>574.6466867456819</v>
      </c>
      <c r="AF6" s="133">
        <f>$AC6*('Oregon Bill Impacts'!AF6/'Oregon Bill Impacts'!$AC6)</f>
        <v>620.52546163709258</v>
      </c>
      <c r="AG6" s="133">
        <v>510.96433653358292</v>
      </c>
      <c r="AH6" s="133">
        <v>510.96433653358292</v>
      </c>
      <c r="AI6" s="133">
        <v>510.96433653358292</v>
      </c>
      <c r="AJ6" s="133"/>
      <c r="AK6">
        <v>2026</v>
      </c>
      <c r="AL6" s="8">
        <v>624.56757548125665</v>
      </c>
      <c r="AM6" s="8">
        <v>604.31611830962186</v>
      </c>
      <c r="AN6" s="8">
        <v>607.76834283693631</v>
      </c>
      <c r="AO6" s="8">
        <v>591.89734595248729</v>
      </c>
      <c r="AP6" s="8">
        <v>618.03237228500132</v>
      </c>
      <c r="AQ6" s="8">
        <v>642.04315401542249</v>
      </c>
      <c r="AR6" s="8">
        <v>648.15405765098114</v>
      </c>
      <c r="AS6" s="8">
        <v>609.66482411089828</v>
      </c>
      <c r="AT6" s="8">
        <v>609.66482411089828</v>
      </c>
      <c r="AU6" s="8">
        <v>609.29607161275658</v>
      </c>
      <c r="AW6">
        <v>2026</v>
      </c>
      <c r="AX6" s="133">
        <f t="shared" si="2"/>
        <v>796.78752528317762</v>
      </c>
      <c r="AY6" s="133">
        <f t="shared" si="3"/>
        <v>903.92567263089109</v>
      </c>
      <c r="AZ6" s="133">
        <f t="shared" si="3"/>
        <v>870.83414004068277</v>
      </c>
      <c r="BA6" s="133">
        <f t="shared" si="3"/>
        <v>892.40373444857255</v>
      </c>
      <c r="BB6" s="133">
        <f t="shared" si="3"/>
        <v>910.09614782775157</v>
      </c>
      <c r="BC6" s="133">
        <f t="shared" si="3"/>
        <v>966.49514747273793</v>
      </c>
      <c r="BD6" s="133">
        <f t="shared" si="3"/>
        <v>1004.4760772167267</v>
      </c>
      <c r="BE6" s="133">
        <f t="shared" si="3"/>
        <v>875.16518312324195</v>
      </c>
      <c r="BF6" s="133">
        <f t="shared" si="3"/>
        <v>932.93582575458868</v>
      </c>
      <c r="BG6" s="133">
        <f t="shared" si="3"/>
        <v>888.7336443513376</v>
      </c>
      <c r="BI6">
        <v>2026</v>
      </c>
      <c r="BJ6" s="219">
        <f t="shared" si="1"/>
        <v>0</v>
      </c>
      <c r="BK6" s="219">
        <f t="shared" si="1"/>
        <v>0.13446263143946269</v>
      </c>
      <c r="BL6" s="219">
        <f t="shared" si="1"/>
        <v>9.2931443337028963E-2</v>
      </c>
      <c r="BM6" s="219">
        <f t="shared" si="1"/>
        <v>0.12000214126270742</v>
      </c>
      <c r="BN6" s="219">
        <f t="shared" si="1"/>
        <v>0.1422068229598652</v>
      </c>
      <c r="BO6" s="219">
        <f t="shared" si="1"/>
        <v>0.21298980820419644</v>
      </c>
      <c r="BP6" s="219">
        <f t="shared" si="1"/>
        <v>0.2606573839866993</v>
      </c>
      <c r="BQ6" s="219">
        <f t="shared" si="1"/>
        <v>9.8367074474727728E-2</v>
      </c>
      <c r="BR6" s="219">
        <f t="shared" si="1"/>
        <v>0.17087152616128631</v>
      </c>
      <c r="BS6" s="219">
        <f t="shared" si="1"/>
        <v>0.11539603238075598</v>
      </c>
      <c r="BT6" s="219"/>
      <c r="BU6" s="224">
        <v>2009</v>
      </c>
      <c r="BV6" s="225">
        <v>1341.5283869983891</v>
      </c>
      <c r="BW6" s="224">
        <f>'Oregon Bill Impacts'!BW6*('Washington Bill Impacts'!$AL$2/'Oregon Bill Impacts'!$AL$2)</f>
        <v>708.08662827606702</v>
      </c>
      <c r="BX6" s="225"/>
      <c r="BY6" s="224">
        <v>2026</v>
      </c>
      <c r="BZ6" s="225">
        <f t="array" ref="BZ6">INDEX($AY$2:$BG$30,$AW6-2021,$BU$21)</f>
        <v>966.49514747273793</v>
      </c>
      <c r="CA6" s="224">
        <f t="array" ref="CA6">INDEX($AM$2:$AU$30,$BY6-2021,$BU$21)</f>
        <v>642.04315401542249</v>
      </c>
      <c r="CB6" s="219">
        <f t="array" ref="CB6">INDEX($BK$2:$BS$30,BY6-2021,$BU$21)</f>
        <v>0.21298980820419644</v>
      </c>
    </row>
    <row r="7" spans="1:80" x14ac:dyDescent="0.25">
      <c r="A7">
        <v>2027</v>
      </c>
      <c r="B7" s="223">
        <f>'[7]WACOG Calc'!C54</f>
        <v>4.1756969732725722</v>
      </c>
      <c r="C7" s="223">
        <f>'[7]WACOG Calc'!D54</f>
        <v>4.1770601765343471</v>
      </c>
      <c r="D7" s="223">
        <f>'[7]WACOG Calc'!E54</f>
        <v>4.1781414608771588</v>
      </c>
      <c r="E7" s="223">
        <f>'[7]WACOG Calc'!F54</f>
        <v>4.1711837260876905</v>
      </c>
      <c r="F7" s="223">
        <f>'[7]WACOG Calc'!G54</f>
        <v>4.1774780544749639</v>
      </c>
      <c r="G7" s="223">
        <f>'[7]WACOG Calc'!H54</f>
        <v>4.178617788332895</v>
      </c>
      <c r="H7" s="223">
        <f>'[7]WACOG Calc'!I54</f>
        <v>4.1326906405769979</v>
      </c>
      <c r="I7" s="223">
        <f>'[7]WACOG Calc'!J54</f>
        <v>4.1770050244501231</v>
      </c>
      <c r="J7" s="223">
        <f>'[7]WACOG Calc'!K54</f>
        <v>4.1770050244565029</v>
      </c>
      <c r="K7" s="223">
        <f>'[7]WACOG Calc'!L54</f>
        <v>4.1767245359259384</v>
      </c>
      <c r="M7">
        <v>2027</v>
      </c>
      <c r="N7" s="154">
        <v>1.3642979661815642</v>
      </c>
      <c r="O7" s="154">
        <v>1.7876325796373806</v>
      </c>
      <c r="P7" s="154">
        <v>1.4678328256045909</v>
      </c>
      <c r="Q7" s="154">
        <v>1.6648942813938266</v>
      </c>
      <c r="R7" s="154">
        <v>1.6516033436571007</v>
      </c>
      <c r="S7" s="154">
        <v>1.2371914451871342</v>
      </c>
      <c r="T7" s="154">
        <v>1.1384328846904999</v>
      </c>
      <c r="U7" s="154">
        <v>1.6511698527219991</v>
      </c>
      <c r="V7" s="154">
        <v>2.2591521959975287</v>
      </c>
      <c r="W7" s="154">
        <v>1.416969589550106</v>
      </c>
      <c r="Y7">
        <v>2027</v>
      </c>
      <c r="Z7" s="133">
        <v>509.74773653358295</v>
      </c>
      <c r="AA7" s="133">
        <v>509.74773653358295</v>
      </c>
      <c r="AB7" s="133">
        <v>509.74773653358295</v>
      </c>
      <c r="AC7" s="133">
        <v>509.74773653358295</v>
      </c>
      <c r="AD7" s="133">
        <f>$AC7*('Oregon Bill Impacts'!AD7/'Oregon Bill Impacts'!$AC7)</f>
        <v>518.91629332968512</v>
      </c>
      <c r="AE7" s="133">
        <f>$AC7*('Oregon Bill Impacts'!AE7/'Oregon Bill Impacts'!$AC7)</f>
        <v>593.96640002227412</v>
      </c>
      <c r="AF7" s="133">
        <f>$AC7*('Oregon Bill Impacts'!AF7/'Oregon Bill Impacts'!$AC7)</f>
        <v>661.13079414908555</v>
      </c>
      <c r="AG7" s="133">
        <v>509.74773653358295</v>
      </c>
      <c r="AH7" s="133">
        <v>509.74773653358295</v>
      </c>
      <c r="AI7" s="133">
        <v>509.74773653358295</v>
      </c>
      <c r="AJ7" s="133"/>
      <c r="AK7">
        <v>2027</v>
      </c>
      <c r="AL7" s="8">
        <v>619.30390697160863</v>
      </c>
      <c r="AM7" s="8">
        <v>590.26711589827232</v>
      </c>
      <c r="AN7" s="8">
        <v>596.99558450851919</v>
      </c>
      <c r="AO7" s="8">
        <v>571.0711318384507</v>
      </c>
      <c r="AP7" s="8">
        <v>608.45674508527316</v>
      </c>
      <c r="AQ7" s="8">
        <v>639.75351509304153</v>
      </c>
      <c r="AR7" s="8">
        <v>645.84910934618006</v>
      </c>
      <c r="AS7" s="8">
        <v>598.34267432088177</v>
      </c>
      <c r="AT7" s="8">
        <v>598.34267432088177</v>
      </c>
      <c r="AU7" s="8">
        <v>598.23773558685957</v>
      </c>
      <c r="AW7">
        <v>2027</v>
      </c>
      <c r="AX7" s="133">
        <f t="shared" si="2"/>
        <v>809.07284644193453</v>
      </c>
      <c r="AY7" s="133">
        <f t="shared" si="3"/>
        <v>907.50060415948849</v>
      </c>
      <c r="AZ7" s="133">
        <f t="shared" si="3"/>
        <v>891.69083360986156</v>
      </c>
      <c r="BA7" s="133">
        <f t="shared" si="3"/>
        <v>887.70985696097762</v>
      </c>
      <c r="BB7" s="133">
        <f t="shared" si="3"/>
        <v>919.89098895063944</v>
      </c>
      <c r="BC7" s="133">
        <f t="shared" si="3"/>
        <v>990.28826851458791</v>
      </c>
      <c r="BD7" s="133">
        <f t="shared" si="3"/>
        <v>1054.6488269442111</v>
      </c>
      <c r="BE7" s="133">
        <f t="shared" si="3"/>
        <v>903.97134324636716</v>
      </c>
      <c r="BF7" s="133">
        <f t="shared" si="3"/>
        <v>942.27756480874598</v>
      </c>
      <c r="BG7" s="133">
        <f t="shared" si="3"/>
        <v>889.1359594970022</v>
      </c>
      <c r="BI7">
        <v>2027</v>
      </c>
      <c r="BJ7" s="219">
        <f t="shared" si="1"/>
        <v>0</v>
      </c>
      <c r="BK7" s="219">
        <f t="shared" si="1"/>
        <v>0.12165500072139414</v>
      </c>
      <c r="BL7" s="219">
        <f t="shared" si="1"/>
        <v>0.10211439863697903</v>
      </c>
      <c r="BM7" s="219">
        <f t="shared" si="1"/>
        <v>9.7193980572782335E-2</v>
      </c>
      <c r="BN7" s="219">
        <f t="shared" si="1"/>
        <v>0.13696930133800764</v>
      </c>
      <c r="BO7" s="219">
        <f t="shared" si="1"/>
        <v>0.22397911741765372</v>
      </c>
      <c r="BP7" s="219">
        <f t="shared" si="1"/>
        <v>0.30352765091826756</v>
      </c>
      <c r="BQ7" s="219">
        <f t="shared" si="1"/>
        <v>0.11729289546889186</v>
      </c>
      <c r="BR7" s="219">
        <f t="shared" si="1"/>
        <v>0.16463872066972313</v>
      </c>
      <c r="BS7" s="219">
        <f t="shared" si="1"/>
        <v>9.8956618563040152E-2</v>
      </c>
      <c r="BT7" s="219"/>
      <c r="BU7" s="224">
        <v>2010</v>
      </c>
      <c r="BV7" s="225">
        <v>1199.1738883264741</v>
      </c>
      <c r="BW7" s="224">
        <f>'Oregon Bill Impacts'!BW7*('Washington Bill Impacts'!$AL$2/'Oregon Bill Impacts'!$AL$2)</f>
        <v>627.21373058378913</v>
      </c>
      <c r="BX7" s="225"/>
      <c r="BY7" s="224">
        <v>2027</v>
      </c>
      <c r="BZ7" s="225">
        <f t="array" ref="BZ7">INDEX($AY$2:$BG$30,$AW7-2021,$BU$21)</f>
        <v>990.28826851458791</v>
      </c>
      <c r="CA7" s="224">
        <f t="array" ref="CA7">INDEX($AM$2:$AU$30,$BY7-2021,$BU$21)</f>
        <v>639.75351509304153</v>
      </c>
      <c r="CB7" s="219">
        <f t="array" ref="CB7">INDEX($BK$2:$BS$30,BY7-2021,$BU$21)</f>
        <v>0.22397911741765372</v>
      </c>
    </row>
    <row r="8" spans="1:80" x14ac:dyDescent="0.25">
      <c r="A8">
        <v>2028</v>
      </c>
      <c r="B8" s="223">
        <f>'[7]WACOG Calc'!C55</f>
        <v>4.0481231129412976</v>
      </c>
      <c r="C8" s="223">
        <f>'[7]WACOG Calc'!D55</f>
        <v>4.0386831530791447</v>
      </c>
      <c r="D8" s="223">
        <f>'[7]WACOG Calc'!E55</f>
        <v>4.0390041786022284</v>
      </c>
      <c r="E8" s="223">
        <f>'[7]WACOG Calc'!F55</f>
        <v>4.0149843278368262</v>
      </c>
      <c r="F8" s="223">
        <f>'[7]WACOG Calc'!G55</f>
        <v>4.043867502102243</v>
      </c>
      <c r="G8" s="223">
        <f>'[7]WACOG Calc'!H55</f>
        <v>4.0423048070945926</v>
      </c>
      <c r="H8" s="223">
        <f>'[7]WACOG Calc'!I55</f>
        <v>3.968202695278392</v>
      </c>
      <c r="I8" s="223">
        <f>'[7]WACOG Calc'!J55</f>
        <v>4.046710584549575</v>
      </c>
      <c r="J8" s="223">
        <f>'[7]WACOG Calc'!K55</f>
        <v>4.0467105845678928</v>
      </c>
      <c r="K8" s="223">
        <f>'[7]WACOG Calc'!L55</f>
        <v>4.0435243341398497</v>
      </c>
      <c r="M8">
        <v>2028</v>
      </c>
      <c r="N8" s="154">
        <v>2.0912531448036256</v>
      </c>
      <c r="O8" s="154">
        <v>2.5838747726963986</v>
      </c>
      <c r="P8" s="154">
        <v>1.6829034563527834</v>
      </c>
      <c r="Q8" s="154">
        <v>2.354847374226356</v>
      </c>
      <c r="R8" s="154">
        <v>2.4097944312082999</v>
      </c>
      <c r="S8" s="154">
        <v>1.8103156372650524</v>
      </c>
      <c r="T8" s="154">
        <v>1.4177931249553202</v>
      </c>
      <c r="U8" s="154">
        <v>2.121719073205603</v>
      </c>
      <c r="V8" s="154">
        <v>3.0448817738446876</v>
      </c>
      <c r="W8" s="154">
        <v>2.1303569814046974</v>
      </c>
      <c r="Y8">
        <v>2028</v>
      </c>
      <c r="Z8" s="133">
        <v>508.53113653358292</v>
      </c>
      <c r="AA8" s="133">
        <v>508.53113653358292</v>
      </c>
      <c r="AB8" s="133">
        <v>508.53113653358292</v>
      </c>
      <c r="AC8" s="133">
        <v>508.53113653358292</v>
      </c>
      <c r="AD8" s="133">
        <f>$AC8*('Oregon Bill Impacts'!AD8/'Oregon Bill Impacts'!$AC8)</f>
        <v>521.54941531793656</v>
      </c>
      <c r="AE8" s="133">
        <f>$AC8*('Oregon Bill Impacts'!AE8/'Oregon Bill Impacts'!$AC8)</f>
        <v>615.98213606604088</v>
      </c>
      <c r="AF8" s="133">
        <f>$AC8*('Oregon Bill Impacts'!AF8/'Oregon Bill Impacts'!$AC8)</f>
        <v>707.01444763317795</v>
      </c>
      <c r="AG8" s="133">
        <v>508.53113653358292</v>
      </c>
      <c r="AH8" s="133">
        <v>508.53113653358292</v>
      </c>
      <c r="AI8" s="133">
        <v>508.53113653358292</v>
      </c>
      <c r="AJ8" s="133"/>
      <c r="AK8">
        <v>2028</v>
      </c>
      <c r="AL8" s="8">
        <v>617.93906893540156</v>
      </c>
      <c r="AM8" s="8">
        <v>579.88451739432071</v>
      </c>
      <c r="AN8" s="8">
        <v>589.79429692280758</v>
      </c>
      <c r="AO8" s="8">
        <v>552.82512721000285</v>
      </c>
      <c r="AP8" s="8">
        <v>602.28286708714154</v>
      </c>
      <c r="AQ8" s="8">
        <v>641.3820969129946</v>
      </c>
      <c r="AR8" s="8">
        <v>647.51331857459695</v>
      </c>
      <c r="AS8" s="8">
        <v>589.70263747053968</v>
      </c>
      <c r="AT8" s="8">
        <v>589.70263747053968</v>
      </c>
      <c r="AU8" s="8">
        <v>590.30693564228147</v>
      </c>
      <c r="AW8">
        <v>2028</v>
      </c>
      <c r="AX8" s="133">
        <f t="shared" si="2"/>
        <v>798.89054466948346</v>
      </c>
      <c r="AY8" s="133">
        <f t="shared" si="3"/>
        <v>939.86885711582397</v>
      </c>
      <c r="AZ8" s="133">
        <f t="shared" si="3"/>
        <v>890.84430283167865</v>
      </c>
      <c r="BA8" s="133">
        <f t="shared" si="3"/>
        <v>906.28702488109832</v>
      </c>
      <c r="BB8" s="133">
        <f t="shared" si="3"/>
        <v>958.48526463607777</v>
      </c>
      <c r="BC8" s="133">
        <f t="shared" si="3"/>
        <v>1043.9007462385744</v>
      </c>
      <c r="BD8" s="133">
        <f t="shared" si="3"/>
        <v>1111.7203874417391</v>
      </c>
      <c r="BE8" s="133">
        <f t="shared" si="3"/>
        <v>918.51616855545296</v>
      </c>
      <c r="BF8" s="133">
        <f t="shared" si="3"/>
        <v>975.84059133544076</v>
      </c>
      <c r="BG8" s="133">
        <f t="shared" si="3"/>
        <v>919.24755309979741</v>
      </c>
      <c r="BI8">
        <v>2028</v>
      </c>
      <c r="BJ8" s="219">
        <f t="shared" si="1"/>
        <v>0</v>
      </c>
      <c r="BK8" s="219">
        <f t="shared" si="1"/>
        <v>0.17646761923395399</v>
      </c>
      <c r="BL8" s="219">
        <f t="shared" si="1"/>
        <v>0.11510182311675531</v>
      </c>
      <c r="BM8" s="219">
        <f t="shared" si="1"/>
        <v>0.13443203318427915</v>
      </c>
      <c r="BN8" s="219">
        <f t="shared" si="1"/>
        <v>0.19977044544020953</v>
      </c>
      <c r="BO8" s="219">
        <f t="shared" si="1"/>
        <v>0.30668807285791116</v>
      </c>
      <c r="BP8" s="219">
        <f t="shared" si="1"/>
        <v>0.39158035460499718</v>
      </c>
      <c r="BQ8" s="219">
        <f t="shared" si="1"/>
        <v>0.14973969173143856</v>
      </c>
      <c r="BR8" s="219">
        <f t="shared" si="1"/>
        <v>0.22149473147058585</v>
      </c>
      <c r="BS8" s="219">
        <f t="shared" si="1"/>
        <v>0.15065519204524819</v>
      </c>
      <c r="BT8" s="219"/>
      <c r="BU8" s="224">
        <v>2011</v>
      </c>
      <c r="BV8" s="225">
        <v>1018.0996837387607</v>
      </c>
      <c r="BW8" s="224">
        <f>'Oregon Bill Impacts'!BW8*('Washington Bill Impacts'!$AL$2/'Oregon Bill Impacts'!$AL$2)</f>
        <v>701.76792588254784</v>
      </c>
      <c r="BX8" s="225"/>
      <c r="BY8" s="224">
        <v>2028</v>
      </c>
      <c r="BZ8" s="225">
        <f t="array" ref="BZ8">INDEX($AY$2:$BG$30,$AW8-2021,$BU$21)</f>
        <v>1043.9007462385744</v>
      </c>
      <c r="CA8" s="224">
        <f t="array" ref="CA8">INDEX($AM$2:$AU$30,$BY8-2021,$BU$21)</f>
        <v>641.3820969129946</v>
      </c>
      <c r="CB8" s="219">
        <f t="array" ref="CB8">INDEX($BK$2:$BS$30,BY8-2021,$BU$21)</f>
        <v>0.30668807285791116</v>
      </c>
    </row>
    <row r="9" spans="1:80" x14ac:dyDescent="0.25">
      <c r="A9">
        <v>2029</v>
      </c>
      <c r="B9" s="223">
        <f>'[7]WACOG Calc'!C56</f>
        <v>3.6962575059675138</v>
      </c>
      <c r="C9" s="223">
        <f>'[7]WACOG Calc'!D56</f>
        <v>3.6863635799039818</v>
      </c>
      <c r="D9" s="223">
        <f>'[7]WACOG Calc'!E56</f>
        <v>3.6882187891883529</v>
      </c>
      <c r="E9" s="223">
        <f>'[7]WACOG Calc'!F56</f>
        <v>3.6548791901235518</v>
      </c>
      <c r="F9" s="223">
        <f>'[7]WACOG Calc'!G56</f>
        <v>3.6873873260460148</v>
      </c>
      <c r="G9" s="223">
        <f>'[7]WACOG Calc'!H56</f>
        <v>3.6848995430987261</v>
      </c>
      <c r="H9" s="223">
        <f>'[7]WACOG Calc'!I56</f>
        <v>3.6009532844074661</v>
      </c>
      <c r="I9" s="223">
        <f>'[7]WACOG Calc'!J56</f>
        <v>3.6945520280632915</v>
      </c>
      <c r="J9" s="223">
        <f>'[7]WACOG Calc'!K56</f>
        <v>3.6945520280162993</v>
      </c>
      <c r="K9" s="223">
        <f>'[7]WACOG Calc'!L56</f>
        <v>3.6913775285126258</v>
      </c>
      <c r="M9">
        <v>2029</v>
      </c>
      <c r="N9" s="154">
        <v>2.2866541620781167</v>
      </c>
      <c r="O9" s="154">
        <v>2.896326565004844</v>
      </c>
      <c r="P9" s="154">
        <v>1.9201453246435991</v>
      </c>
      <c r="Q9" s="154">
        <v>2.5456975605359107</v>
      </c>
      <c r="R9" s="154">
        <v>2.7116115146779287</v>
      </c>
      <c r="S9" s="154">
        <v>2.0156065434674759</v>
      </c>
      <c r="T9" s="154">
        <v>1.6749436358770293</v>
      </c>
      <c r="U9" s="154">
        <v>2.5306858875846681</v>
      </c>
      <c r="V9" s="154">
        <v>3.4590235806182199</v>
      </c>
      <c r="W9" s="154">
        <v>2.344151862353959</v>
      </c>
      <c r="Y9">
        <v>2029</v>
      </c>
      <c r="Z9" s="133">
        <v>507.31453653358295</v>
      </c>
      <c r="AA9" s="133">
        <v>507.31453653358295</v>
      </c>
      <c r="AB9" s="133">
        <v>507.31453653358295</v>
      </c>
      <c r="AC9" s="133">
        <v>507.31453653358295</v>
      </c>
      <c r="AD9" s="133">
        <f>$AC9*('Oregon Bill Impacts'!AD9/'Oregon Bill Impacts'!$AC9)</f>
        <v>524.10204301460942</v>
      </c>
      <c r="AE9" s="133">
        <f>$AC9*('Oregon Bill Impacts'!AE9/'Oregon Bill Impacts'!$AC9)</f>
        <v>641.09952922183754</v>
      </c>
      <c r="AF9" s="133">
        <f>$AC9*('Oregon Bill Impacts'!AF9/'Oregon Bill Impacts'!$AC9)</f>
        <v>759.30933577057624</v>
      </c>
      <c r="AG9" s="133">
        <v>507.31453653358295</v>
      </c>
      <c r="AH9" s="133">
        <v>507.31453653358295</v>
      </c>
      <c r="AI9" s="133">
        <v>507.31453653358295</v>
      </c>
      <c r="AJ9" s="133"/>
      <c r="AK9">
        <v>2029</v>
      </c>
      <c r="AL9" s="8">
        <v>609.1514074074239</v>
      </c>
      <c r="AM9" s="8">
        <v>562.04020032609856</v>
      </c>
      <c r="AN9" s="8">
        <v>575.17065824915369</v>
      </c>
      <c r="AO9" s="8">
        <v>526.62755478980694</v>
      </c>
      <c r="AP9" s="8">
        <v>588.13905712730821</v>
      </c>
      <c r="AQ9" s="8">
        <v>635.14406315354984</v>
      </c>
      <c r="AR9" s="8">
        <v>641.17126847763814</v>
      </c>
      <c r="AS9" s="8">
        <v>572.83710258395126</v>
      </c>
      <c r="AT9" s="8">
        <v>572.83710258395126</v>
      </c>
      <c r="AU9" s="8">
        <v>574.45942185302124</v>
      </c>
      <c r="AW9">
        <v>2029</v>
      </c>
      <c r="AX9" s="133">
        <f t="shared" si="2"/>
        <v>771.2936296079713</v>
      </c>
      <c r="AY9" s="133">
        <f t="shared" si="3"/>
        <v>923.78445912774669</v>
      </c>
      <c r="AZ9" s="133">
        <f t="shared" si="3"/>
        <v>873.87541721421269</v>
      </c>
      <c r="BA9" s="133">
        <f t="shared" si="3"/>
        <v>878.04825545267227</v>
      </c>
      <c r="BB9" s="133">
        <f t="shared" si="3"/>
        <v>948.17612183572874</v>
      </c>
      <c r="BC9" s="133">
        <f t="shared" si="3"/>
        <v>1056.3314698245367</v>
      </c>
      <c r="BD9" s="133">
        <f t="shared" si="3"/>
        <v>1155.7566762999254</v>
      </c>
      <c r="BE9" s="133">
        <f t="shared" si="3"/>
        <v>909.70698244704249</v>
      </c>
      <c r="BF9" s="133">
        <f t="shared" si="3"/>
        <v>965.70407712766189</v>
      </c>
      <c r="BG9" s="133">
        <f t="shared" si="3"/>
        <v>899.29486305488331</v>
      </c>
      <c r="BI9">
        <v>2029</v>
      </c>
      <c r="BJ9" s="219">
        <f t="shared" si="1"/>
        <v>0</v>
      </c>
      <c r="BK9" s="219">
        <f t="shared" si="1"/>
        <v>0.19770788149421453</v>
      </c>
      <c r="BL9" s="219">
        <f t="shared" si="1"/>
        <v>0.13299965625073434</v>
      </c>
      <c r="BM9" s="219">
        <f t="shared" si="1"/>
        <v>0.13840983737796667</v>
      </c>
      <c r="BN9" s="219">
        <f t="shared" si="1"/>
        <v>0.22933223539997635</v>
      </c>
      <c r="BO9" s="219">
        <f t="shared" si="1"/>
        <v>0.36955814138053084</v>
      </c>
      <c r="BP9" s="219">
        <f t="shared" si="1"/>
        <v>0.49846521730947885</v>
      </c>
      <c r="BQ9" s="219">
        <f t="shared" si="1"/>
        <v>0.17945610792795363</v>
      </c>
      <c r="BR9" s="219">
        <f t="shared" si="1"/>
        <v>0.2520576341574407</v>
      </c>
      <c r="BS9" s="219">
        <f t="shared" si="1"/>
        <v>0.16595655471959719</v>
      </c>
      <c r="BT9" s="219"/>
      <c r="BU9" s="224">
        <v>2012</v>
      </c>
      <c r="BV9" s="225">
        <v>894.70350278877538</v>
      </c>
      <c r="BW9" s="224">
        <f>'Oregon Bill Impacts'!BW9*('Washington Bill Impacts'!$AL$2/'Oregon Bill Impacts'!$AL$2)</f>
        <v>648.20091893925724</v>
      </c>
      <c r="BX9" s="225"/>
      <c r="BY9" s="224">
        <v>2029</v>
      </c>
      <c r="BZ9" s="225">
        <f t="array" ref="BZ9">INDEX($AY$2:$BG$30,$AW9-2021,$BU$21)</f>
        <v>1056.3314698245367</v>
      </c>
      <c r="CA9" s="224">
        <f t="array" ref="CA9">INDEX($AM$2:$AU$30,$BY9-2021,$BU$21)</f>
        <v>635.14406315354984</v>
      </c>
      <c r="CB9" s="219">
        <f t="array" ref="CB9">INDEX($BK$2:$BS$30,BY9-2021,$BU$21)</f>
        <v>0.36955814138053084</v>
      </c>
    </row>
    <row r="10" spans="1:80" x14ac:dyDescent="0.25">
      <c r="A10">
        <v>2030</v>
      </c>
      <c r="B10" s="223">
        <f>'[7]WACOG Calc'!C57</f>
        <v>3.4376019099532074</v>
      </c>
      <c r="C10" s="223">
        <f>'[7]WACOG Calc'!D57</f>
        <v>3.4249269062539764</v>
      </c>
      <c r="D10" s="223">
        <f>'[7]WACOG Calc'!E57</f>
        <v>3.4273067880587353</v>
      </c>
      <c r="E10" s="223">
        <f>'[7]WACOG Calc'!F57</f>
        <v>3.3904576012240195</v>
      </c>
      <c r="F10" s="223">
        <f>'[7]WACOG Calc'!G57</f>
        <v>3.4212597606255648</v>
      </c>
      <c r="G10" s="223">
        <f>'[7]WACOG Calc'!H57</f>
        <v>3.4161136097231943</v>
      </c>
      <c r="H10" s="223">
        <f>'[7]WACOG Calc'!I57</f>
        <v>3.3221934126550723</v>
      </c>
      <c r="I10" s="223">
        <f>'[7]WACOG Calc'!J57</f>
        <v>3.4326543329335286</v>
      </c>
      <c r="J10" s="223">
        <f>'[7]WACOG Calc'!K57</f>
        <v>3.4326543328665609</v>
      </c>
      <c r="K10" s="223">
        <f>'[7]WACOG Calc'!L57</f>
        <v>3.4305720124716506</v>
      </c>
      <c r="M10">
        <v>2030</v>
      </c>
      <c r="N10" s="154">
        <v>2.5606383463435809</v>
      </c>
      <c r="O10" s="154">
        <v>3.2821058294711372</v>
      </c>
      <c r="P10" s="154">
        <v>2.1553361171078365</v>
      </c>
      <c r="Q10" s="154">
        <v>2.8002720486509429</v>
      </c>
      <c r="R10" s="154">
        <v>2.9586550172648671</v>
      </c>
      <c r="S10" s="154">
        <v>2.2324491919441605</v>
      </c>
      <c r="T10" s="154">
        <v>1.8195803773956374</v>
      </c>
      <c r="U10" s="154">
        <v>2.8673557462246766</v>
      </c>
      <c r="V10" s="154">
        <v>3.8862434406440478</v>
      </c>
      <c r="W10" s="154">
        <v>2.6142473321375688</v>
      </c>
      <c r="Y10">
        <v>2030</v>
      </c>
      <c r="Z10" s="133">
        <v>506.09793653358292</v>
      </c>
      <c r="AA10" s="133">
        <v>506.09793653358292</v>
      </c>
      <c r="AB10" s="133">
        <v>506.09793653358292</v>
      </c>
      <c r="AC10" s="133">
        <v>506.09793653358292</v>
      </c>
      <c r="AD10" s="133">
        <f>$AC10*('Oregon Bill Impacts'!AD10/'Oregon Bill Impacts'!$AC10)</f>
        <v>526.58353852843118</v>
      </c>
      <c r="AE10" s="133">
        <f>$AC10*('Oregon Bill Impacts'!AE10/'Oregon Bill Impacts'!$AC10)</f>
        <v>668.0577968962923</v>
      </c>
      <c r="AF10" s="133">
        <f>$AC10*('Oregon Bill Impacts'!AF10/'Oregon Bill Impacts'!$AC10)</f>
        <v>819.48205630020266</v>
      </c>
      <c r="AG10" s="133">
        <v>506.09793653358292</v>
      </c>
      <c r="AH10" s="133">
        <v>506.09793653358292</v>
      </c>
      <c r="AI10" s="133">
        <v>506.09793653358292</v>
      </c>
      <c r="AJ10" s="133"/>
      <c r="AK10">
        <v>2030</v>
      </c>
      <c r="AL10" s="8">
        <v>604.22716201786534</v>
      </c>
      <c r="AM10" s="8">
        <v>548.04487643047378</v>
      </c>
      <c r="AN10" s="8">
        <v>564.12917303793859</v>
      </c>
      <c r="AO10" s="8">
        <v>505.51426179418831</v>
      </c>
      <c r="AP10" s="8">
        <v>577.74076073790741</v>
      </c>
      <c r="AQ10" s="8">
        <v>632.80010404837776</v>
      </c>
      <c r="AR10" s="8">
        <v>638.76861870585924</v>
      </c>
      <c r="AS10" s="8">
        <v>558.9229332918037</v>
      </c>
      <c r="AT10" s="8">
        <v>558.9229332918037</v>
      </c>
      <c r="AU10" s="8">
        <v>562.24878980325718</v>
      </c>
      <c r="AW10">
        <v>2030</v>
      </c>
      <c r="AX10" s="133">
        <f t="shared" si="2"/>
        <v>751.63896175453533</v>
      </c>
      <c r="AY10" s="133">
        <f t="shared" si="3"/>
        <v>919.97812096881171</v>
      </c>
      <c r="AZ10" s="133">
        <f t="shared" si="3"/>
        <v>864.54575786056205</v>
      </c>
      <c r="BA10" s="133">
        <f t="shared" si="3"/>
        <v>862.45770134555323</v>
      </c>
      <c r="BB10" s="133">
        <f t="shared" si="3"/>
        <v>942.6216129238552</v>
      </c>
      <c r="BC10" s="133">
        <f t="shared" si="3"/>
        <v>1079.8503519753658</v>
      </c>
      <c r="BD10" s="133">
        <f t="shared" si="3"/>
        <v>1208.7623192712956</v>
      </c>
      <c r="BE10" s="133">
        <f t="shared" si="3"/>
        <v>903.70560509098448</v>
      </c>
      <c r="BF10" s="133">
        <f t="shared" si="3"/>
        <v>963.6718173769799</v>
      </c>
      <c r="BG10" s="133">
        <f t="shared" si="3"/>
        <v>890.80343279220301</v>
      </c>
      <c r="BI10">
        <v>2030</v>
      </c>
      <c r="BJ10" s="219">
        <f t="shared" si="1"/>
        <v>0</v>
      </c>
      <c r="BK10" s="219">
        <f t="shared" si="1"/>
        <v>0.22396279035526012</v>
      </c>
      <c r="BL10" s="219">
        <f t="shared" si="1"/>
        <v>0.15021413451275958</v>
      </c>
      <c r="BM10" s="219">
        <f t="shared" si="1"/>
        <v>0.14743612988386873</v>
      </c>
      <c r="BN10" s="219">
        <f t="shared" si="1"/>
        <v>0.25408828026092872</v>
      </c>
      <c r="BO10" s="219">
        <f t="shared" si="1"/>
        <v>0.43666095947806299</v>
      </c>
      <c r="BP10" s="219">
        <f t="shared" si="1"/>
        <v>0.60816878950727438</v>
      </c>
      <c r="BQ10" s="219">
        <f t="shared" si="1"/>
        <v>0.2023134125211965</v>
      </c>
      <c r="BR10" s="219">
        <f t="shared" si="1"/>
        <v>0.28209401908530746</v>
      </c>
      <c r="BS10" s="219">
        <f t="shared" si="1"/>
        <v>0.18514802733591526</v>
      </c>
      <c r="BT10" s="219"/>
      <c r="BU10" s="224">
        <v>2013</v>
      </c>
      <c r="BV10" s="225">
        <v>845.56474154617013</v>
      </c>
      <c r="BW10" s="224">
        <f>'Oregon Bill Impacts'!BW10*('Washington Bill Impacts'!$AL$2/'Oregon Bill Impacts'!$AL$2)</f>
        <v>678.3575383209012</v>
      </c>
      <c r="BX10" s="225"/>
      <c r="BY10" s="224">
        <v>2030</v>
      </c>
      <c r="BZ10" s="225">
        <f t="array" ref="BZ10">INDEX($AY$2:$BG$30,$AW10-2021,$BU$21)</f>
        <v>1079.8503519753658</v>
      </c>
      <c r="CA10" s="224">
        <f t="array" ref="CA10">INDEX($AM$2:$AU$30,$BY10-2021,$BU$21)</f>
        <v>632.80010404837776</v>
      </c>
      <c r="CB10" s="219">
        <f t="array" ref="CB10">INDEX($BK$2:$BS$30,BY10-2021,$BU$21)</f>
        <v>0.43666095947806299</v>
      </c>
    </row>
    <row r="11" spans="1:80" x14ac:dyDescent="0.25">
      <c r="A11">
        <v>2031</v>
      </c>
      <c r="B11" s="223">
        <f>'[7]WACOG Calc'!C58</f>
        <v>3.4580493151148923</v>
      </c>
      <c r="C11" s="223">
        <f>'[7]WACOG Calc'!D58</f>
        <v>3.4436634944844853</v>
      </c>
      <c r="D11" s="223">
        <f>'[7]WACOG Calc'!E58</f>
        <v>3.4468163318612302</v>
      </c>
      <c r="E11" s="223">
        <f>'[7]WACOG Calc'!F58</f>
        <v>3.4073896117918872</v>
      </c>
      <c r="F11" s="223">
        <f>'[7]WACOG Calc'!G58</f>
        <v>3.4365932437312909</v>
      </c>
      <c r="G11" s="223">
        <f>'[7]WACOG Calc'!H58</f>
        <v>3.4303589027195209</v>
      </c>
      <c r="H11" s="223">
        <f>'[7]WACOG Calc'!I58</f>
        <v>3.32714819813107</v>
      </c>
      <c r="I11" s="223">
        <f>'[7]WACOG Calc'!J58</f>
        <v>3.4500274809062472</v>
      </c>
      <c r="J11" s="223">
        <f>'[7]WACOG Calc'!K58</f>
        <v>3.4500274809127847</v>
      </c>
      <c r="K11" s="223">
        <f>'[7]WACOG Calc'!L58</f>
        <v>3.4491189181064241</v>
      </c>
      <c r="M11">
        <v>2031</v>
      </c>
      <c r="N11" s="154">
        <v>2.1980112969812988</v>
      </c>
      <c r="O11" s="154">
        <v>2.9120296803006021</v>
      </c>
      <c r="P11" s="154">
        <v>2.4064944799570465</v>
      </c>
      <c r="Q11" s="154">
        <v>2.4148996183592706</v>
      </c>
      <c r="R11" s="154">
        <v>2.5679705267744599</v>
      </c>
      <c r="S11" s="154">
        <v>1.8161411946541126</v>
      </c>
      <c r="T11" s="154">
        <v>1.5019751386448066</v>
      </c>
      <c r="U11" s="154">
        <v>2.4351790230430037</v>
      </c>
      <c r="V11" s="154">
        <v>3.5398043384339957</v>
      </c>
      <c r="W11" s="154">
        <v>2.2430850685501267</v>
      </c>
      <c r="Y11">
        <v>2031</v>
      </c>
      <c r="Z11" s="133">
        <v>504.88133653358295</v>
      </c>
      <c r="AA11" s="133">
        <v>504.88133653358295</v>
      </c>
      <c r="AB11" s="133">
        <v>504.88133653358295</v>
      </c>
      <c r="AC11" s="133">
        <v>504.88133653358295</v>
      </c>
      <c r="AD11" s="133">
        <f>$AC11*('Oregon Bill Impacts'!AD11/'Oregon Bill Impacts'!$AC11)</f>
        <v>532.93348625848409</v>
      </c>
      <c r="AE11" s="133">
        <f>$AC11*('Oregon Bill Impacts'!AE11/'Oregon Bill Impacts'!$AC11)</f>
        <v>697.01462115776758</v>
      </c>
      <c r="AF11" s="133">
        <f>$AC11*('Oregon Bill Impacts'!AF11/'Oregon Bill Impacts'!$AC11)</f>
        <v>889.48757059228194</v>
      </c>
      <c r="AG11" s="133">
        <v>504.88133653358295</v>
      </c>
      <c r="AH11" s="133">
        <v>504.88133653358295</v>
      </c>
      <c r="AI11" s="133">
        <v>504.88133653358295</v>
      </c>
      <c r="AJ11" s="133"/>
      <c r="AK11">
        <v>2031</v>
      </c>
      <c r="AL11" s="8">
        <v>599.40560806000929</v>
      </c>
      <c r="AM11" s="8">
        <v>534.33465923532856</v>
      </c>
      <c r="AN11" s="8">
        <v>553.0098758388981</v>
      </c>
      <c r="AO11" s="8">
        <v>485.32447790198017</v>
      </c>
      <c r="AP11" s="8">
        <v>567.45978192238192</v>
      </c>
      <c r="AQ11" s="8">
        <v>630.43976858785459</v>
      </c>
      <c r="AR11" s="8">
        <v>636.3292872878643</v>
      </c>
      <c r="AS11" s="8">
        <v>544.85862566554931</v>
      </c>
      <c r="AT11" s="8">
        <v>544.85862566554931</v>
      </c>
      <c r="AU11" s="8">
        <v>550.41552621391509</v>
      </c>
      <c r="AW11">
        <v>2031</v>
      </c>
      <c r="AX11" s="133">
        <f t="shared" si="2"/>
        <v>749.90316562052499</v>
      </c>
      <c r="AY11" s="133">
        <f t="shared" si="3"/>
        <v>889.2459179229636</v>
      </c>
      <c r="AZ11" s="133">
        <f t="shared" si="3"/>
        <v>872.48969093091102</v>
      </c>
      <c r="BA11" s="133">
        <f t="shared" si="3"/>
        <v>829.18620269993846</v>
      </c>
      <c r="BB11" s="133">
        <f t="shared" si="3"/>
        <v>919.97275257828278</v>
      </c>
      <c r="BC11" s="133">
        <f t="shared" si="3"/>
        <v>1082.2469190361755</v>
      </c>
      <c r="BD11" s="133">
        <f t="shared" si="3"/>
        <v>1260.2081097841651</v>
      </c>
      <c r="BE11" s="133">
        <f t="shared" si="3"/>
        <v>869.29560941558555</v>
      </c>
      <c r="BF11" s="133">
        <f t="shared" si="3"/>
        <v>932.67195508335396</v>
      </c>
      <c r="BG11" s="133">
        <f t="shared" si="3"/>
        <v>861.5531031320661</v>
      </c>
      <c r="BI11">
        <v>2031</v>
      </c>
      <c r="BJ11" s="219">
        <f t="shared" si="1"/>
        <v>0</v>
      </c>
      <c r="BK11" s="219">
        <f t="shared" si="1"/>
        <v>0.18581432735670103</v>
      </c>
      <c r="BL11" s="219">
        <f t="shared" si="1"/>
        <v>0.16346980641020356</v>
      </c>
      <c r="BM11" s="219">
        <f t="shared" si="1"/>
        <v>0.10572436644377793</v>
      </c>
      <c r="BN11" s="219">
        <f t="shared" si="1"/>
        <v>0.2267887305383352</v>
      </c>
      <c r="BO11" s="219">
        <f t="shared" si="1"/>
        <v>0.44318222492186027</v>
      </c>
      <c r="BP11" s="219">
        <f t="shared" si="1"/>
        <v>0.6804944525622536</v>
      </c>
      <c r="BQ11" s="219">
        <f t="shared" si="1"/>
        <v>0.15921048112427486</v>
      </c>
      <c r="BR11" s="219">
        <f t="shared" si="1"/>
        <v>0.24372318699520712</v>
      </c>
      <c r="BS11" s="219">
        <f t="shared" si="1"/>
        <v>0.14888580636828455</v>
      </c>
      <c r="BT11" s="219"/>
      <c r="BU11" s="224">
        <v>2014</v>
      </c>
      <c r="BV11" s="225">
        <v>767.46085137821638</v>
      </c>
      <c r="BW11" s="224">
        <f>'Oregon Bill Impacts'!BW11*('Washington Bill Impacts'!$AL$2/'Oregon Bill Impacts'!$AL$2)</f>
        <v>609.23182450210425</v>
      </c>
      <c r="BX11" s="225"/>
      <c r="BY11" s="224">
        <v>2031</v>
      </c>
      <c r="BZ11" s="225">
        <f t="array" ref="BZ11">INDEX($AY$2:$BG$30,$AW11-2021,$BU$21)</f>
        <v>1082.2469190361755</v>
      </c>
      <c r="CA11" s="224">
        <f t="array" ref="CA11">INDEX($AM$2:$AU$30,$BY11-2021,$BU$21)</f>
        <v>630.43976858785459</v>
      </c>
      <c r="CB11" s="219">
        <f t="array" ref="CB11">INDEX($BK$2:$BS$30,BY11-2021,$BU$21)</f>
        <v>0.44318222492186027</v>
      </c>
    </row>
    <row r="12" spans="1:80" x14ac:dyDescent="0.25">
      <c r="A12">
        <v>2032</v>
      </c>
      <c r="B12" s="223">
        <f>'[7]WACOG Calc'!C59</f>
        <v>3.5130185968887555</v>
      </c>
      <c r="C12" s="223">
        <f>'[7]WACOG Calc'!D59</f>
        <v>3.492729511996588</v>
      </c>
      <c r="D12" s="223">
        <f>'[7]WACOG Calc'!E59</f>
        <v>3.4954537487556894</v>
      </c>
      <c r="E12" s="223">
        <f>'[7]WACOG Calc'!F59</f>
        <v>3.4489126156594141</v>
      </c>
      <c r="F12" s="223">
        <f>'[7]WACOG Calc'!G59</f>
        <v>3.4796938215694704</v>
      </c>
      <c r="G12" s="223">
        <f>'[7]WACOG Calc'!H59</f>
        <v>3.4695740365617156</v>
      </c>
      <c r="H12" s="223">
        <f>'[7]WACOG Calc'!I59</f>
        <v>3.341678852263875</v>
      </c>
      <c r="I12" s="223">
        <f>'[7]WACOG Calc'!J59</f>
        <v>3.4993363988969715</v>
      </c>
      <c r="J12" s="223">
        <f>'[7]WACOG Calc'!K59</f>
        <v>3.4993363988802169</v>
      </c>
      <c r="K12" s="223">
        <f>'[7]WACOG Calc'!L59</f>
        <v>3.4997156045191238</v>
      </c>
      <c r="M12">
        <v>2032</v>
      </c>
      <c r="N12" s="154">
        <v>2.98325002520289</v>
      </c>
      <c r="O12" s="154">
        <v>3.6948696601217961</v>
      </c>
      <c r="P12" s="154">
        <v>2.6983308742577212</v>
      </c>
      <c r="Q12" s="154">
        <v>3.1697788082344363</v>
      </c>
      <c r="R12" s="154">
        <v>3.291955710427632</v>
      </c>
      <c r="S12" s="154">
        <v>2.4832847540144813</v>
      </c>
      <c r="T12" s="154">
        <v>1.613392267796002</v>
      </c>
      <c r="U12" s="154">
        <v>3.1603907267625773</v>
      </c>
      <c r="V12" s="154">
        <v>4.3423017216930155</v>
      </c>
      <c r="W12" s="154">
        <v>3.0336320654873243</v>
      </c>
      <c r="Y12">
        <v>2032</v>
      </c>
      <c r="Z12" s="133">
        <v>503.66473653358292</v>
      </c>
      <c r="AA12" s="133">
        <v>503.66473653358292</v>
      </c>
      <c r="AB12" s="133">
        <v>503.66473653358292</v>
      </c>
      <c r="AC12" s="133">
        <v>503.66473653358292</v>
      </c>
      <c r="AD12" s="133">
        <f>$AC12*('Oregon Bill Impacts'!AD12/'Oregon Bill Impacts'!$AC12)</f>
        <v>539.19261660344887</v>
      </c>
      <c r="AE12" s="133">
        <f>$AC12*('Oregon Bill Impacts'!AE12/'Oregon Bill Impacts'!$AC12)</f>
        <v>728.18865101030383</v>
      </c>
      <c r="AF12" s="133">
        <f>$AC12*('Oregon Bill Impacts'!AF12/'Oregon Bill Impacts'!$AC12)</f>
        <v>971.90741464635244</v>
      </c>
      <c r="AG12" s="133">
        <v>503.66473653358292</v>
      </c>
      <c r="AH12" s="133">
        <v>503.66473653358292</v>
      </c>
      <c r="AI12" s="133">
        <v>503.66473653358292</v>
      </c>
      <c r="AJ12" s="133"/>
      <c r="AK12">
        <v>2032</v>
      </c>
      <c r="AL12" s="8">
        <v>598.26362289556607</v>
      </c>
      <c r="AM12" s="8">
        <v>524.38548880174051</v>
      </c>
      <c r="AN12" s="8">
        <v>545.05156172713407</v>
      </c>
      <c r="AO12" s="8">
        <v>469.40095861213427</v>
      </c>
      <c r="AP12" s="8">
        <v>560.80697441872178</v>
      </c>
      <c r="AQ12" s="8">
        <v>631.84896375127505</v>
      </c>
      <c r="AR12" s="8">
        <v>637.7058560592269</v>
      </c>
      <c r="AS12" s="8">
        <v>534.56423094592913</v>
      </c>
      <c r="AT12" s="8">
        <v>534.56423094592913</v>
      </c>
      <c r="AU12" s="8">
        <v>542.282422850888</v>
      </c>
      <c r="AW12">
        <v>2032</v>
      </c>
      <c r="AX12" s="133">
        <f t="shared" si="2"/>
        <v>751.66916041257241</v>
      </c>
      <c r="AY12" s="133">
        <f t="shared" si="3"/>
        <v>927.2423234255574</v>
      </c>
      <c r="AZ12" s="133">
        <f t="shared" si="3"/>
        <v>885.8446052507669</v>
      </c>
      <c r="BA12" s="133">
        <f t="shared" si="3"/>
        <v>857.50712400863983</v>
      </c>
      <c r="BB12" s="133">
        <f t="shared" si="3"/>
        <v>967.65587178483167</v>
      </c>
      <c r="BC12" s="133">
        <f t="shared" si="3"/>
        <v>1162.8483459205449</v>
      </c>
      <c r="BD12" s="133">
        <f t="shared" si="3"/>
        <v>1356.1536473812189</v>
      </c>
      <c r="BE12" s="133">
        <f t="shared" si="3"/>
        <v>905.2324336126178</v>
      </c>
      <c r="BF12" s="133">
        <f t="shared" si="3"/>
        <v>971.76174672970058</v>
      </c>
      <c r="BG12" s="133">
        <f t="shared" si="3"/>
        <v>903.42840185192983</v>
      </c>
      <c r="BI12">
        <v>2032</v>
      </c>
      <c r="BJ12" s="219">
        <f t="shared" si="1"/>
        <v>0</v>
      </c>
      <c r="BK12" s="219">
        <f t="shared" si="1"/>
        <v>0.23357771245612535</v>
      </c>
      <c r="BL12" s="219">
        <f t="shared" si="1"/>
        <v>0.17850332553825801</v>
      </c>
      <c r="BM12" s="219">
        <f t="shared" si="1"/>
        <v>0.14080391902466188</v>
      </c>
      <c r="BN12" s="219">
        <f t="shared" si="1"/>
        <v>0.28734278689005888</v>
      </c>
      <c r="BO12" s="219">
        <f t="shared" si="1"/>
        <v>0.54702149185192928</v>
      </c>
      <c r="BP12" s="219">
        <f t="shared" si="1"/>
        <v>0.80418955413424176</v>
      </c>
      <c r="BQ12" s="219">
        <f t="shared" si="1"/>
        <v>0.20429635973858279</v>
      </c>
      <c r="BR12" s="219">
        <f t="shared" si="1"/>
        <v>0.29280513011379217</v>
      </c>
      <c r="BS12" s="219">
        <f t="shared" si="1"/>
        <v>0.2018963254473026</v>
      </c>
      <c r="BT12" s="219"/>
      <c r="BU12" s="224">
        <v>2015</v>
      </c>
      <c r="BV12" s="225">
        <v>739.29717233644146</v>
      </c>
      <c r="BW12" s="224">
        <f>'Oregon Bill Impacts'!BW12*('Washington Bill Impacts'!$AL$2/'Oregon Bill Impacts'!$AL$2)</f>
        <v>552.66372140868577</v>
      </c>
      <c r="BX12" s="225"/>
      <c r="BY12" s="224">
        <v>2032</v>
      </c>
      <c r="BZ12" s="225">
        <f t="array" ref="BZ12">INDEX($AY$2:$BG$30,$AW12-2021,$BU$21)</f>
        <v>1162.8483459205449</v>
      </c>
      <c r="CA12" s="224">
        <f t="array" ref="CA12">INDEX($AM$2:$AU$30,$BY12-2021,$BU$21)</f>
        <v>631.84896375127505</v>
      </c>
      <c r="CB12" s="219">
        <f t="array" ref="CB12">INDEX($BK$2:$BS$30,BY12-2021,$BU$21)</f>
        <v>0.54702149185192928</v>
      </c>
    </row>
    <row r="13" spans="1:80" x14ac:dyDescent="0.25">
      <c r="A13">
        <v>2033</v>
      </c>
      <c r="B13" s="223">
        <f>'[7]WACOG Calc'!C60</f>
        <v>3.5368885437239772</v>
      </c>
      <c r="C13" s="223">
        <f>'[7]WACOG Calc'!D60</f>
        <v>3.513873892863991</v>
      </c>
      <c r="D13" s="223">
        <f>'[7]WACOG Calc'!E60</f>
        <v>3.5165476056867422</v>
      </c>
      <c r="E13" s="223">
        <f>'[7]WACOG Calc'!F60</f>
        <v>3.462958578355098</v>
      </c>
      <c r="F13" s="223">
        <f>'[7]WACOG Calc'!G60</f>
        <v>3.4964228484301119</v>
      </c>
      <c r="G13" s="223">
        <f>'[7]WACOG Calc'!H60</f>
        <v>3.4823297335228705</v>
      </c>
      <c r="H13" s="223">
        <f>'[7]WACOG Calc'!I60</f>
        <v>3.3320505083876251</v>
      </c>
      <c r="I13" s="223">
        <f>'[7]WACOG Calc'!J60</f>
        <v>3.5206274833370124</v>
      </c>
      <c r="J13" s="223">
        <f>'[7]WACOG Calc'!K60</f>
        <v>3.5206274833268072</v>
      </c>
      <c r="K13" s="223">
        <f>'[7]WACOG Calc'!L60</f>
        <v>3.5223651266000275</v>
      </c>
      <c r="M13">
        <v>2033</v>
      </c>
      <c r="N13" s="154">
        <v>3.1999198954101979</v>
      </c>
      <c r="O13" s="154">
        <v>3.8979373728575384</v>
      </c>
      <c r="P13" s="154">
        <v>3.2955883024884902</v>
      </c>
      <c r="Q13" s="154">
        <v>3.3383735685247546</v>
      </c>
      <c r="R13" s="154">
        <v>3.4497340890879946</v>
      </c>
      <c r="S13" s="154">
        <v>2.5896466743299551</v>
      </c>
      <c r="T13" s="154">
        <v>1.7649043218372942</v>
      </c>
      <c r="U13" s="154">
        <v>3.3115230833010574</v>
      </c>
      <c r="V13" s="154">
        <v>4.5713075989384722</v>
      </c>
      <c r="W13" s="154">
        <v>3.2355281972336472</v>
      </c>
      <c r="Y13">
        <v>2033</v>
      </c>
      <c r="Z13" s="133">
        <v>502.44813653358295</v>
      </c>
      <c r="AA13" s="133">
        <v>502.44813653358295</v>
      </c>
      <c r="AB13" s="133">
        <v>502.44813653358295</v>
      </c>
      <c r="AC13" s="133">
        <v>502.44813653358295</v>
      </c>
      <c r="AD13" s="133">
        <f>$AC13*('Oregon Bill Impacts'!AD13/'Oregon Bill Impacts'!$AC13)</f>
        <v>545.3941778300109</v>
      </c>
      <c r="AE13" s="133">
        <f>$AC13*('Oregon Bill Impacts'!AE13/'Oregon Bill Impacts'!$AC13)</f>
        <v>761.90677155009246</v>
      </c>
      <c r="AF13" s="133">
        <f>$AC13*('Oregon Bill Impacts'!AF13/'Oregon Bill Impacts'!$AC13)</f>
        <v>1070.3794860347052</v>
      </c>
      <c r="AG13" s="133">
        <v>502.44813653358295</v>
      </c>
      <c r="AH13" s="133">
        <v>502.44813653358295</v>
      </c>
      <c r="AI13" s="133">
        <v>502.44813653358295</v>
      </c>
      <c r="AJ13" s="133"/>
      <c r="AK13">
        <v>2033</v>
      </c>
      <c r="AL13" s="8">
        <v>589.99599552762629</v>
      </c>
      <c r="AM13" s="8">
        <v>507.72988970127545</v>
      </c>
      <c r="AN13" s="8">
        <v>529.97668689825161</v>
      </c>
      <c r="AO13" s="8">
        <v>446.35943047420653</v>
      </c>
      <c r="AP13" s="8">
        <v>546.97117880123244</v>
      </c>
      <c r="AQ13" s="8">
        <v>625.61505650806487</v>
      </c>
      <c r="AR13" s="8">
        <v>631.26405595070082</v>
      </c>
      <c r="AS13" s="8">
        <v>517.66960365039108</v>
      </c>
      <c r="AT13" s="8">
        <v>517.66960365039108</v>
      </c>
      <c r="AU13" s="8">
        <v>527.25015079278921</v>
      </c>
      <c r="AW13">
        <v>2033</v>
      </c>
      <c r="AX13" s="133">
        <f t="shared" si="2"/>
        <v>748.81267092268206</v>
      </c>
      <c r="AY13" s="133">
        <f t="shared" si="3"/>
        <v>925.34264943009589</v>
      </c>
      <c r="AZ13" s="133">
        <f t="shared" si="3"/>
        <v>909.23965776376622</v>
      </c>
      <c r="BA13" s="133">
        <f t="shared" si="3"/>
        <v>848.75170746538345</v>
      </c>
      <c r="BB13" s="133">
        <f t="shared" si="3"/>
        <v>974.37137661600411</v>
      </c>
      <c r="BC13" s="133">
        <f t="shared" si="3"/>
        <v>1202.2930320703224</v>
      </c>
      <c r="BD13" s="133">
        <f t="shared" si="3"/>
        <v>1465.9149159164383</v>
      </c>
      <c r="BE13" s="133">
        <f t="shared" si="3"/>
        <v>901.50257774332533</v>
      </c>
      <c r="BF13" s="133">
        <f t="shared" si="3"/>
        <v>970.17419923200418</v>
      </c>
      <c r="BG13" s="133">
        <f t="shared" si="3"/>
        <v>904.27234662552598</v>
      </c>
      <c r="BI13">
        <v>2033</v>
      </c>
      <c r="BJ13" s="219">
        <f t="shared" si="1"/>
        <v>0</v>
      </c>
      <c r="BK13" s="219">
        <f t="shared" si="1"/>
        <v>0.23574651626807377</v>
      </c>
      <c r="BL13" s="219">
        <f t="shared" si="1"/>
        <v>0.21424181650586532</v>
      </c>
      <c r="BM13" s="219">
        <f t="shared" si="1"/>
        <v>0.13346333525520765</v>
      </c>
      <c r="BN13" s="219">
        <f t="shared" si="1"/>
        <v>0.30122180680435079</v>
      </c>
      <c r="BO13" s="219">
        <f t="shared" si="1"/>
        <v>0.60559920893013841</v>
      </c>
      <c r="BP13" s="219">
        <f t="shared" si="1"/>
        <v>0.95765239136531644</v>
      </c>
      <c r="BQ13" s="219">
        <f t="shared" si="1"/>
        <v>0.20390935243189698</v>
      </c>
      <c r="BR13" s="219">
        <f t="shared" si="1"/>
        <v>0.29561669681225067</v>
      </c>
      <c r="BS13" s="219">
        <f t="shared" si="1"/>
        <v>0.20760823332661762</v>
      </c>
      <c r="BT13" s="219"/>
      <c r="BU13" s="224">
        <v>2016</v>
      </c>
      <c r="BV13" s="225">
        <v>664.32735262355322</v>
      </c>
      <c r="BW13" s="224">
        <f>'Oregon Bill Impacts'!BW13*('Washington Bill Impacts'!$AL$2/'Oregon Bill Impacts'!$AL$2)</f>
        <v>588.85991638384792</v>
      </c>
      <c r="BX13" s="225"/>
      <c r="BY13" s="224">
        <v>2033</v>
      </c>
      <c r="BZ13" s="225">
        <f t="array" ref="BZ13">INDEX($AY$2:$BG$30,$AW13-2021,$BU$21)</f>
        <v>1202.2930320703224</v>
      </c>
      <c r="CA13" s="224">
        <f t="array" ref="CA13">INDEX($AM$2:$AU$30,$BY13-2021,$BU$21)</f>
        <v>625.61505650806487</v>
      </c>
      <c r="CB13" s="219">
        <f t="array" ref="CB13">INDEX($BK$2:$BS$30,BY13-2021,$BU$21)</f>
        <v>0.60559920893013841</v>
      </c>
    </row>
    <row r="14" spans="1:80" x14ac:dyDescent="0.25">
      <c r="A14">
        <v>2034</v>
      </c>
      <c r="B14" s="223">
        <f>'[7]WACOG Calc'!C61</f>
        <v>3.5735793671440303</v>
      </c>
      <c r="C14" s="223">
        <f>'[7]WACOG Calc'!D61</f>
        <v>3.5461521680360977</v>
      </c>
      <c r="D14" s="223">
        <f>'[7]WACOG Calc'!E61</f>
        <v>3.548914548027295</v>
      </c>
      <c r="E14" s="223">
        <f>'[7]WACOG Calc'!F61</f>
        <v>3.4852088064565372</v>
      </c>
      <c r="F14" s="223">
        <f>'[7]WACOG Calc'!G61</f>
        <v>3.5256914837338891</v>
      </c>
      <c r="G14" s="223">
        <f>'[7]WACOG Calc'!H61</f>
        <v>3.5005296760916496</v>
      </c>
      <c r="H14" s="223">
        <f>'[7]WACOG Calc'!I61</f>
        <v>3.3471178950169649</v>
      </c>
      <c r="I14" s="223">
        <f>'[7]WACOG Calc'!J61</f>
        <v>3.5530873830242591</v>
      </c>
      <c r="J14" s="223">
        <f>'[7]WACOG Calc'!K61</f>
        <v>3.5530873830460212</v>
      </c>
      <c r="K14" s="223">
        <f>'[7]WACOG Calc'!L61</f>
        <v>3.5560019699488659</v>
      </c>
      <c r="M14">
        <v>2034</v>
      </c>
      <c r="N14" s="154">
        <v>3.4339728099803106</v>
      </c>
      <c r="O14" s="154">
        <v>4.0736909574393732</v>
      </c>
      <c r="P14" s="154">
        <v>3.7014901742779291</v>
      </c>
      <c r="Q14" s="154">
        <v>3.4779692265792823</v>
      </c>
      <c r="R14" s="154">
        <v>3.6043758719029757</v>
      </c>
      <c r="S14" s="154">
        <v>2.7000941181627676</v>
      </c>
      <c r="T14" s="154">
        <v>1.6681526029507998</v>
      </c>
      <c r="U14" s="154">
        <v>3.4417887376322573</v>
      </c>
      <c r="V14" s="154">
        <v>4.7698310362494549</v>
      </c>
      <c r="W14" s="154">
        <v>3.4164027439367208</v>
      </c>
      <c r="Y14">
        <v>2034</v>
      </c>
      <c r="Z14" s="133">
        <v>501.23153653358293</v>
      </c>
      <c r="AA14" s="133">
        <v>501.23153653358293</v>
      </c>
      <c r="AB14" s="133">
        <v>501.23153653358293</v>
      </c>
      <c r="AC14" s="133">
        <v>501.23153653358293</v>
      </c>
      <c r="AD14" s="133">
        <f>$AC14*('Oregon Bill Impacts'!AD14/'Oregon Bill Impacts'!$AC14)</f>
        <v>551.54377071248166</v>
      </c>
      <c r="AE14" s="133">
        <f>$AC14*('Oregon Bill Impacts'!AE14/'Oregon Bill Impacts'!$AC14)</f>
        <v>798.52105020666113</v>
      </c>
      <c r="AF14" s="133">
        <f>$AC14*('Oregon Bill Impacts'!AF14/'Oregon Bill Impacts'!$AC14)</f>
        <v>1190.215779028159</v>
      </c>
      <c r="AG14" s="133">
        <v>501.23153653358293</v>
      </c>
      <c r="AH14" s="133">
        <v>501.23153653358293</v>
      </c>
      <c r="AI14" s="133">
        <v>501.23153653358293</v>
      </c>
      <c r="AJ14" s="133"/>
      <c r="AK14">
        <v>2034</v>
      </c>
      <c r="AL14" s="8">
        <v>585.49739296039286</v>
      </c>
      <c r="AM14" s="8">
        <v>495.29247769497391</v>
      </c>
      <c r="AN14" s="8">
        <v>518.38577284373082</v>
      </c>
      <c r="AO14" s="8">
        <v>428.56788753864492</v>
      </c>
      <c r="AP14" s="8">
        <v>537.12673470299194</v>
      </c>
      <c r="AQ14" s="8">
        <v>623.24965228553856</v>
      </c>
      <c r="AR14" s="8">
        <v>628.72436322246472</v>
      </c>
      <c r="AS14" s="8">
        <v>504.91280166983302</v>
      </c>
      <c r="AT14" s="8">
        <v>504.91280166983302</v>
      </c>
      <c r="AU14" s="8">
        <v>516.34664278355228</v>
      </c>
      <c r="AW14">
        <v>2034</v>
      </c>
      <c r="AX14" s="133">
        <f t="shared" si="2"/>
        <v>748.11825170575014</v>
      </c>
      <c r="AY14" s="133">
        <f t="shared" si="3"/>
        <v>925.20437629693674</v>
      </c>
      <c r="AZ14" s="133">
        <f t="shared" si="3"/>
        <v>923.56755878369643</v>
      </c>
      <c r="BA14" s="133">
        <f t="shared" si="3"/>
        <v>842.03248883814888</v>
      </c>
      <c r="BB14" s="133">
        <f t="shared" si="3"/>
        <v>984.04824417861744</v>
      </c>
      <c r="BC14" s="133">
        <f t="shared" si="3"/>
        <v>1247.7783723455934</v>
      </c>
      <c r="BD14" s="133">
        <f t="shared" si="3"/>
        <v>1585.3315709151539</v>
      </c>
      <c r="BE14" s="133">
        <f t="shared" si="3"/>
        <v>899.69561115816691</v>
      </c>
      <c r="BF14" s="133">
        <f t="shared" si="3"/>
        <v>970.30405838838294</v>
      </c>
      <c r="BG14" s="133">
        <f t="shared" si="3"/>
        <v>906.89552674472452</v>
      </c>
      <c r="BI14">
        <v>2034</v>
      </c>
      <c r="BJ14" s="219">
        <f t="shared" si="1"/>
        <v>0</v>
      </c>
      <c r="BK14" s="219">
        <f t="shared" si="1"/>
        <v>0.23670873446466603</v>
      </c>
      <c r="BL14" s="219">
        <f t="shared" si="1"/>
        <v>0.23452082164539143</v>
      </c>
      <c r="BM14" s="219">
        <f t="shared" si="1"/>
        <v>0.12553394723129557</v>
      </c>
      <c r="BN14" s="219">
        <f t="shared" si="1"/>
        <v>0.31536457229179227</v>
      </c>
      <c r="BO14" s="219">
        <f t="shared" si="1"/>
        <v>0.66788922673733886</v>
      </c>
      <c r="BP14" s="219">
        <f t="shared" si="1"/>
        <v>1.1190922254610312</v>
      </c>
      <c r="BQ14" s="219">
        <f t="shared" si="1"/>
        <v>0.20261149772353793</v>
      </c>
      <c r="BR14" s="219">
        <f t="shared" si="1"/>
        <v>0.29699289674598517</v>
      </c>
      <c r="BS14" s="219">
        <f t="shared" si="1"/>
        <v>0.21223553185202151</v>
      </c>
      <c r="BT14" s="219"/>
      <c r="BU14" s="224">
        <v>2017</v>
      </c>
      <c r="BV14" s="225">
        <v>753.66987775764551</v>
      </c>
      <c r="BW14" s="224">
        <f>'Oregon Bill Impacts'!BW14*('Washington Bill Impacts'!$AL$2/'Oregon Bill Impacts'!$AL$2)</f>
        <v>709.68302526261766</v>
      </c>
      <c r="BX14" s="225"/>
      <c r="BY14" s="224">
        <v>2034</v>
      </c>
      <c r="BZ14" s="225">
        <f t="array" ref="BZ14">INDEX($AY$2:$BG$30,$AW14-2021,$BU$21)</f>
        <v>1247.7783723455934</v>
      </c>
      <c r="CA14" s="224">
        <f t="array" ref="CA14">INDEX($AM$2:$AU$30,$BY14-2021,$BU$21)</f>
        <v>623.24965228553856</v>
      </c>
      <c r="CB14" s="219">
        <f t="array" ref="CB14">INDEX($BK$2:$BS$30,BY14-2021,$BU$21)</f>
        <v>0.66788922673733886</v>
      </c>
    </row>
    <row r="15" spans="1:80" x14ac:dyDescent="0.25">
      <c r="A15">
        <v>2035</v>
      </c>
      <c r="B15" s="223">
        <f>'[7]WACOG Calc'!C62</f>
        <v>3.5839461624550752</v>
      </c>
      <c r="C15" s="223">
        <f>'[7]WACOG Calc'!D62</f>
        <v>3.5524950287718458</v>
      </c>
      <c r="D15" s="223">
        <f>'[7]WACOG Calc'!E62</f>
        <v>3.5548678815506913</v>
      </c>
      <c r="E15" s="223">
        <f>'[7]WACOG Calc'!F62</f>
        <v>3.4852168408508679</v>
      </c>
      <c r="F15" s="223">
        <f>'[7]WACOG Calc'!G62</f>
        <v>3.5285364301955675</v>
      </c>
      <c r="G15" s="223">
        <f>'[7]WACOG Calc'!H62</f>
        <v>3.4985802763702174</v>
      </c>
      <c r="H15" s="223">
        <f>'[7]WACOG Calc'!I62</f>
        <v>3.3701504017566677</v>
      </c>
      <c r="I15" s="223">
        <f>'[7]WACOG Calc'!J62</f>
        <v>3.559430903768162</v>
      </c>
      <c r="J15" s="223">
        <f>'[7]WACOG Calc'!K62</f>
        <v>3.5594309038306018</v>
      </c>
      <c r="K15" s="223">
        <f>'[7]WACOG Calc'!L62</f>
        <v>3.5636068996914942</v>
      </c>
      <c r="M15">
        <v>2035</v>
      </c>
      <c r="N15" s="154">
        <v>2.8395625879103257</v>
      </c>
      <c r="O15" s="154">
        <v>3.465316689069756</v>
      </c>
      <c r="P15" s="154">
        <v>3.5516166343749931</v>
      </c>
      <c r="Q15" s="154">
        <v>2.8445355615334758</v>
      </c>
      <c r="R15" s="154">
        <v>2.9601952102436835</v>
      </c>
      <c r="S15" s="154">
        <v>2.0278372131393287</v>
      </c>
      <c r="T15" s="154">
        <v>1.7421857069098525</v>
      </c>
      <c r="U15" s="154">
        <v>2.7940644626305255</v>
      </c>
      <c r="V15" s="154">
        <v>4.1834027023990803</v>
      </c>
      <c r="W15" s="154">
        <v>2.8107502017279855</v>
      </c>
      <c r="Y15">
        <v>2035</v>
      </c>
      <c r="Z15" s="133">
        <v>500.01493653358295</v>
      </c>
      <c r="AA15" s="133">
        <v>500.01493653358295</v>
      </c>
      <c r="AB15" s="133">
        <v>500.01493653358295</v>
      </c>
      <c r="AC15" s="133">
        <v>500.01493653358295</v>
      </c>
      <c r="AD15" s="133">
        <f>$AC15*('Oregon Bill Impacts'!AD15/'Oregon Bill Impacts'!$AC15)</f>
        <v>557.64614503144219</v>
      </c>
      <c r="AE15" s="133">
        <f>$AC15*('Oregon Bill Impacts'!AE15/'Oregon Bill Impacts'!$AC15)</f>
        <v>838.44854524604796</v>
      </c>
      <c r="AF15" s="133">
        <f>$AC15*('Oregon Bill Impacts'!AF15/'Oregon Bill Impacts'!$AC15)</f>
        <v>1339.2930964526176</v>
      </c>
      <c r="AG15" s="133">
        <v>500.01493653358295</v>
      </c>
      <c r="AH15" s="133">
        <v>500.01493653358295</v>
      </c>
      <c r="AI15" s="133">
        <v>500.01493653358295</v>
      </c>
      <c r="AJ15" s="133"/>
      <c r="AK15">
        <v>2035</v>
      </c>
      <c r="AL15" s="8">
        <v>581.08604455507077</v>
      </c>
      <c r="AM15" s="8">
        <v>483.41175763598477</v>
      </c>
      <c r="AN15" s="8">
        <v>506.82568960128975</v>
      </c>
      <c r="AO15" s="8">
        <v>411.63216123399087</v>
      </c>
      <c r="AP15" s="8">
        <v>527.49281385491952</v>
      </c>
      <c r="AQ15" s="8">
        <v>620.86989197630169</v>
      </c>
      <c r="AR15" s="8">
        <v>626.1218590053719</v>
      </c>
      <c r="AS15" s="8">
        <v>492.73236440538494</v>
      </c>
      <c r="AT15" s="8">
        <v>492.73236440538494</v>
      </c>
      <c r="AU15" s="8">
        <v>505.91605699159055</v>
      </c>
      <c r="AW15">
        <v>2035</v>
      </c>
      <c r="AX15" s="133">
        <f t="shared" si="2"/>
        <v>745.81151794082587</v>
      </c>
      <c r="AY15" s="133">
        <f t="shared" si="3"/>
        <v>883.7452091934698</v>
      </c>
      <c r="AZ15" s="133">
        <f t="shared" si="3"/>
        <v>905.77988896410716</v>
      </c>
      <c r="BA15" s="133">
        <f t="shared" si="3"/>
        <v>800.87800152260252</v>
      </c>
      <c r="BB15" s="133">
        <f t="shared" si="3"/>
        <v>947.61794620481669</v>
      </c>
      <c r="BC15" s="133">
        <f t="shared" si="3"/>
        <v>1244.1902281344192</v>
      </c>
      <c r="BD15" s="133">
        <f t="shared" si="3"/>
        <v>1747.3351799440218</v>
      </c>
      <c r="BE15" s="133">
        <f t="shared" si="3"/>
        <v>856.16504339114988</v>
      </c>
      <c r="BF15" s="133">
        <f t="shared" si="3"/>
        <v>928.25046613233906</v>
      </c>
      <c r="BG15" s="133">
        <f t="shared" si="3"/>
        <v>866.09660416672591</v>
      </c>
      <c r="BI15">
        <v>2035</v>
      </c>
      <c r="BJ15" s="219">
        <f t="shared" si="1"/>
        <v>0</v>
      </c>
      <c r="BK15" s="219">
        <f t="shared" si="1"/>
        <v>0.18494443694497603</v>
      </c>
      <c r="BL15" s="219">
        <f t="shared" si="1"/>
        <v>0.21448900583481401</v>
      </c>
      <c r="BM15" s="219">
        <f t="shared" si="1"/>
        <v>7.3834316388427954E-2</v>
      </c>
      <c r="BN15" s="219">
        <f t="shared" si="1"/>
        <v>0.27058636587052887</v>
      </c>
      <c r="BO15" s="219">
        <f t="shared" si="1"/>
        <v>0.66823681078244712</v>
      </c>
      <c r="BP15" s="219">
        <f t="shared" si="1"/>
        <v>1.3428643000424387</v>
      </c>
      <c r="BQ15" s="219">
        <f t="shared" si="1"/>
        <v>0.14796436203480526</v>
      </c>
      <c r="BR15" s="219">
        <f t="shared" si="1"/>
        <v>0.24461803525805598</v>
      </c>
      <c r="BS15" s="219">
        <f t="shared" si="1"/>
        <v>0.16128081067721414</v>
      </c>
      <c r="BT15" s="219"/>
      <c r="BU15" s="224">
        <v>2018</v>
      </c>
      <c r="BV15" s="225">
        <v>632.92428662675661</v>
      </c>
      <c r="BW15" s="224">
        <f>'Oregon Bill Impacts'!BW15*('Washington Bill Impacts'!$AL$2/'Oregon Bill Impacts'!$AL$2)</f>
        <v>617.77168302111772</v>
      </c>
      <c r="BX15" s="225"/>
      <c r="BY15" s="224">
        <v>2035</v>
      </c>
      <c r="BZ15" s="225">
        <f t="array" ref="BZ15">INDEX($AY$2:$BG$30,$AW15-2021,$BU$21)</f>
        <v>1244.1902281344192</v>
      </c>
      <c r="CA15" s="224">
        <f t="array" ref="CA15">INDEX($AM$2:$AU$30,$BY15-2021,$BU$21)</f>
        <v>620.86989197630169</v>
      </c>
      <c r="CB15" s="219">
        <f t="array" ref="CB15">INDEX($BK$2:$BS$30,BY15-2021,$BU$21)</f>
        <v>0.66823681078244712</v>
      </c>
    </row>
    <row r="16" spans="1:80" x14ac:dyDescent="0.25">
      <c r="A16">
        <v>2036</v>
      </c>
      <c r="B16" s="223">
        <f>'[7]WACOG Calc'!C63</f>
        <v>3.6443598663450714</v>
      </c>
      <c r="C16" s="223">
        <f>'[7]WACOG Calc'!D63</f>
        <v>3.6076033760143806</v>
      </c>
      <c r="D16" s="223">
        <f>'[7]WACOG Calc'!E63</f>
        <v>3.6085413082541513</v>
      </c>
      <c r="E16" s="223">
        <f>'[7]WACOG Calc'!F63</f>
        <v>3.5363660679696296</v>
      </c>
      <c r="F16" s="223">
        <f>'[7]WACOG Calc'!G63</f>
        <v>3.5806777786885995</v>
      </c>
      <c r="G16" s="223">
        <f>'[7]WACOG Calc'!H63</f>
        <v>3.5441647036519144</v>
      </c>
      <c r="H16" s="223">
        <f>'[7]WACOG Calc'!I63</f>
        <v>3.3896761975453114</v>
      </c>
      <c r="I16" s="223">
        <f>'[7]WACOG Calc'!J63</f>
        <v>3.6142335889470414</v>
      </c>
      <c r="J16" s="223">
        <f>'[7]WACOG Calc'!K63</f>
        <v>3.614233588913307</v>
      </c>
      <c r="K16" s="223">
        <f>'[7]WACOG Calc'!L63</f>
        <v>3.6197373919121594</v>
      </c>
      <c r="M16">
        <v>2036</v>
      </c>
      <c r="N16" s="154">
        <v>3.8108285983038761</v>
      </c>
      <c r="O16" s="154">
        <v>4.4442722576049656</v>
      </c>
      <c r="P16" s="154">
        <v>4.2823532275587057</v>
      </c>
      <c r="Q16" s="154">
        <v>3.7984467577402441</v>
      </c>
      <c r="R16" s="154">
        <v>3.8727609538610799</v>
      </c>
      <c r="S16" s="154">
        <v>2.8220667323331696</v>
      </c>
      <c r="T16" s="154">
        <v>1.8647302481798118</v>
      </c>
      <c r="U16" s="154">
        <v>3.7513468195638886</v>
      </c>
      <c r="V16" s="154">
        <v>5.1778712959641791</v>
      </c>
      <c r="W16" s="154">
        <v>3.7970245886388208</v>
      </c>
      <c r="Y16">
        <v>2036</v>
      </c>
      <c r="Z16" s="133">
        <v>498.79833653358293</v>
      </c>
      <c r="AA16" s="133">
        <v>498.79833653358293</v>
      </c>
      <c r="AB16" s="133">
        <v>498.79833653358293</v>
      </c>
      <c r="AC16" s="133">
        <v>498.79833653358293</v>
      </c>
      <c r="AD16" s="133">
        <f>$AC16*('Oregon Bill Impacts'!AD16/'Oregon Bill Impacts'!$AC16)</f>
        <v>563.6726200328693</v>
      </c>
      <c r="AE16" s="133">
        <f>$AC16*('Oregon Bill Impacts'!AE16/'Oregon Bill Impacts'!$AC16)</f>
        <v>882.14612937396032</v>
      </c>
      <c r="AF16" s="133">
        <f>$AC16*('Oregon Bill Impacts'!AF16/'Oregon Bill Impacts'!$AC16)</f>
        <v>1529.8938102120394</v>
      </c>
      <c r="AG16" s="133">
        <v>498.79833653358293</v>
      </c>
      <c r="AH16" s="133">
        <v>498.79833653358293</v>
      </c>
      <c r="AI16" s="133">
        <v>498.79833653358293</v>
      </c>
      <c r="AJ16" s="133"/>
      <c r="AK16">
        <v>2036</v>
      </c>
      <c r="AL16" s="8">
        <v>580.33196418837156</v>
      </c>
      <c r="AM16" s="8">
        <v>474.9930202003838</v>
      </c>
      <c r="AN16" s="8">
        <v>498.14879538493062</v>
      </c>
      <c r="AO16" s="8">
        <v>398.6339903995264</v>
      </c>
      <c r="AP16" s="8">
        <v>521.3467634480179</v>
      </c>
      <c r="AQ16" s="8">
        <v>622.29545088794305</v>
      </c>
      <c r="AR16" s="8">
        <v>627.35013687584762</v>
      </c>
      <c r="AS16" s="8">
        <v>484.02182073989394</v>
      </c>
      <c r="AT16" s="8">
        <v>484.02182073989394</v>
      </c>
      <c r="AU16" s="8">
        <v>498.96520296518975</v>
      </c>
      <c r="AW16">
        <v>2036</v>
      </c>
      <c r="AX16" s="133">
        <f t="shared" si="2"/>
        <v>747.93767446745346</v>
      </c>
      <c r="AY16" s="133">
        <f t="shared" si="3"/>
        <v>927.96341996403692</v>
      </c>
      <c r="AZ16" s="133">
        <f t="shared" si="3"/>
        <v>939.1520590422142</v>
      </c>
      <c r="BA16" s="133">
        <f t="shared" si="3"/>
        <v>833.12191916389372</v>
      </c>
      <c r="BB16" s="133">
        <f t="shared" si="3"/>
        <v>1002.7247635186948</v>
      </c>
      <c r="BC16" s="133">
        <f t="shared" si="3"/>
        <v>1346.0644477902545</v>
      </c>
      <c r="BD16" s="133">
        <f t="shared" si="3"/>
        <v>1958.0841112414896</v>
      </c>
      <c r="BE16" s="133">
        <f t="shared" si="3"/>
        <v>900.63985107592578</v>
      </c>
      <c r="BF16" s="133">
        <f t="shared" si="3"/>
        <v>973.34623407824131</v>
      </c>
      <c r="BG16" s="133">
        <f t="shared" si="3"/>
        <v>914.9190056458167</v>
      </c>
      <c r="BI16">
        <v>2036</v>
      </c>
      <c r="BJ16" s="219">
        <f t="shared" si="1"/>
        <v>0</v>
      </c>
      <c r="BK16" s="219">
        <f t="shared" si="1"/>
        <v>0.24069618584832669</v>
      </c>
      <c r="BL16" s="219">
        <f t="shared" si="1"/>
        <v>0.25565550593625225</v>
      </c>
      <c r="BM16" s="219">
        <f t="shared" si="1"/>
        <v>0.11389216990184796</v>
      </c>
      <c r="BN16" s="219">
        <f t="shared" si="1"/>
        <v>0.34065283478687552</v>
      </c>
      <c r="BO16" s="219">
        <f t="shared" si="1"/>
        <v>0.79970135713337231</v>
      </c>
      <c r="BP16" s="219">
        <f t="shared" si="1"/>
        <v>1.6179776445085274</v>
      </c>
      <c r="BQ16" s="219">
        <f t="shared" si="1"/>
        <v>0.20416430649411973</v>
      </c>
      <c r="BR16" s="219">
        <f t="shared" si="1"/>
        <v>0.30137345303709062</v>
      </c>
      <c r="BS16" s="219">
        <f t="shared" si="1"/>
        <v>0.22325567607923652</v>
      </c>
      <c r="BT16" s="219"/>
      <c r="BU16" s="224">
        <v>2019</v>
      </c>
      <c r="BV16" s="225">
        <v>636.06250066157088</v>
      </c>
      <c r="BW16" s="224">
        <f>'Oregon Bill Impacts'!BW16*('Washington Bill Impacts'!$AL$2/'Oregon Bill Impacts'!$AL$2)</f>
        <v>674.62327235233784</v>
      </c>
      <c r="BX16" s="225"/>
      <c r="BY16" s="224">
        <v>2036</v>
      </c>
      <c r="BZ16" s="225">
        <f t="array" ref="BZ16">INDEX($AY$2:$BG$30,$AW16-2021,$BU$21)</f>
        <v>1346.0644477902545</v>
      </c>
      <c r="CA16" s="224">
        <f t="array" ref="CA16">INDEX($AM$2:$AU$30,$BY16-2021,$BU$21)</f>
        <v>622.29545088794305</v>
      </c>
      <c r="CB16" s="219">
        <f t="array" ref="CB16">INDEX($BK$2:$BS$30,BY16-2021,$BU$21)</f>
        <v>0.79970135713337231</v>
      </c>
    </row>
    <row r="17" spans="1:80" x14ac:dyDescent="0.25">
      <c r="A17">
        <v>2037</v>
      </c>
      <c r="B17" s="223">
        <f>'[7]WACOG Calc'!C64</f>
        <v>3.6693730545684771</v>
      </c>
      <c r="C17" s="223">
        <f>'[7]WACOG Calc'!D64</f>
        <v>3.6302435290696269</v>
      </c>
      <c r="D17" s="223">
        <f>'[7]WACOG Calc'!E64</f>
        <v>3.630446615382251</v>
      </c>
      <c r="E17" s="223">
        <f>'[7]WACOG Calc'!F64</f>
        <v>3.5468948328441838</v>
      </c>
      <c r="F17" s="223">
        <f>'[7]WACOG Calc'!G64</f>
        <v>3.5955730119406417</v>
      </c>
      <c r="G17" s="223">
        <f>'[7]WACOG Calc'!H64</f>
        <v>3.5568881684963229</v>
      </c>
      <c r="H17" s="223">
        <f>'[7]WACOG Calc'!I64</f>
        <v>3.3786095964175846</v>
      </c>
      <c r="I17" s="223">
        <f>'[7]WACOG Calc'!J64</f>
        <v>3.6372417030299138</v>
      </c>
      <c r="J17" s="223">
        <f>'[7]WACOG Calc'!K64</f>
        <v>3.637241703097585</v>
      </c>
      <c r="K17" s="223">
        <f>'[7]WACOG Calc'!L64</f>
        <v>3.6441779841577309</v>
      </c>
      <c r="M17">
        <v>2037</v>
      </c>
      <c r="N17" s="154">
        <v>3.9250733388066004</v>
      </c>
      <c r="O17" s="154">
        <v>4.5042155123678089</v>
      </c>
      <c r="P17" s="154">
        <v>4.920062508531089</v>
      </c>
      <c r="Q17" s="154">
        <v>3.8676270890813012</v>
      </c>
      <c r="R17" s="154">
        <v>3.8954742580584738</v>
      </c>
      <c r="S17" s="154">
        <v>2.8517098969631025</v>
      </c>
      <c r="T17" s="154">
        <v>2.0315264996995923</v>
      </c>
      <c r="U17" s="154">
        <v>3.7893760634659768</v>
      </c>
      <c r="V17" s="154">
        <v>5.2612641433778844</v>
      </c>
      <c r="W17" s="154">
        <v>3.8938267253408942</v>
      </c>
      <c r="Y17">
        <v>2037</v>
      </c>
      <c r="Z17" s="133">
        <v>497.58173653358295</v>
      </c>
      <c r="AA17" s="133">
        <v>497.58173653358295</v>
      </c>
      <c r="AB17" s="133">
        <v>497.58173653358295</v>
      </c>
      <c r="AC17" s="133">
        <v>497.58173653358295</v>
      </c>
      <c r="AD17" s="133">
        <f>$AC17*('Oregon Bill Impacts'!AD17/'Oregon Bill Impacts'!$AC17)</f>
        <v>569.62559897397887</v>
      </c>
      <c r="AE17" s="133">
        <f>$AC17*('Oregon Bill Impacts'!AE17/'Oregon Bill Impacts'!$AC17)</f>
        <v>930.20782340485562</v>
      </c>
      <c r="AF17" s="133">
        <f>$AC17*('Oregon Bill Impacts'!AF17/'Oregon Bill Impacts'!$AC17)</f>
        <v>1782.2251136857285</v>
      </c>
      <c r="AG17" s="133">
        <v>497.58173653358295</v>
      </c>
      <c r="AH17" s="133">
        <v>497.58173653358295</v>
      </c>
      <c r="AI17" s="133">
        <v>497.58173653358295</v>
      </c>
      <c r="AJ17" s="133"/>
      <c r="AK17">
        <v>2037</v>
      </c>
      <c r="AL17" s="8">
        <v>572.50079285558479</v>
      </c>
      <c r="AM17" s="8">
        <v>460.48993527494315</v>
      </c>
      <c r="AN17" s="8">
        <v>482.94765102760732</v>
      </c>
      <c r="AO17" s="8">
        <v>379.64080913078794</v>
      </c>
      <c r="AP17" s="8">
        <v>508.57106512814636</v>
      </c>
      <c r="AQ17" s="8">
        <v>616.05745950097776</v>
      </c>
      <c r="AR17" s="8">
        <v>620.66369150554976</v>
      </c>
      <c r="AS17" s="8">
        <v>469.23362175743847</v>
      </c>
      <c r="AT17" s="8">
        <v>469.23362175743847</v>
      </c>
      <c r="AU17" s="8">
        <v>485.55993765608645</v>
      </c>
      <c r="AW17">
        <v>2037</v>
      </c>
      <c r="AX17" s="133">
        <f t="shared" si="2"/>
        <v>745.15927748222396</v>
      </c>
      <c r="AY17" s="133">
        <f t="shared" si="3"/>
        <v>918.39015386137044</v>
      </c>
      <c r="AZ17" s="133">
        <f t="shared" si="3"/>
        <v>958.78447418963549</v>
      </c>
      <c r="BA17" s="133">
        <f t="shared" si="3"/>
        <v>820.35781078495461</v>
      </c>
      <c r="BB17" s="133">
        <f t="shared" si="3"/>
        <v>1000.9803130343264</v>
      </c>
      <c r="BC17" s="133">
        <f t="shared" si="3"/>
        <v>1395.2400449710942</v>
      </c>
      <c r="BD17" s="133">
        <f t="shared" si="3"/>
        <v>2230.2672865245295</v>
      </c>
      <c r="BE17" s="133">
        <f t="shared" si="3"/>
        <v>890.90498315346269</v>
      </c>
      <c r="BF17" s="133">
        <f t="shared" si="3"/>
        <v>963.63141529783388</v>
      </c>
      <c r="BG17" s="133">
        <f t="shared" si="3"/>
        <v>909.36768966242244</v>
      </c>
      <c r="BI17">
        <v>2037</v>
      </c>
      <c r="BJ17" s="219">
        <f t="shared" si="1"/>
        <v>0</v>
      </c>
      <c r="BK17" s="219">
        <f t="shared" si="1"/>
        <v>0.23247496423109215</v>
      </c>
      <c r="BL17" s="219">
        <f t="shared" si="1"/>
        <v>0.28668393880730775</v>
      </c>
      <c r="BM17" s="219">
        <f t="shared" si="1"/>
        <v>0.10091605321860136</v>
      </c>
      <c r="BN17" s="219">
        <f t="shared" si="1"/>
        <v>0.34331054216553741</v>
      </c>
      <c r="BO17" s="219">
        <f t="shared" si="1"/>
        <v>0.87240511811835852</v>
      </c>
      <c r="BP17" s="219">
        <f t="shared" si="1"/>
        <v>1.9930074735971242</v>
      </c>
      <c r="BQ17" s="219">
        <f t="shared" si="1"/>
        <v>0.19559000347374131</v>
      </c>
      <c r="BR17" s="219">
        <f t="shared" si="1"/>
        <v>0.29318850937989116</v>
      </c>
      <c r="BS17" s="219">
        <f t="shared" si="1"/>
        <v>0.22036686268609965</v>
      </c>
      <c r="BT17" s="219"/>
      <c r="BU17" s="224">
        <v>2020</v>
      </c>
      <c r="BV17" s="225">
        <v>643.68279815281073</v>
      </c>
      <c r="BW17" s="224">
        <f>'Oregon Bill Impacts'!BW17*('Washington Bill Impacts'!$AL$2/'Oregon Bill Impacts'!$AL$2)</f>
        <v>630.99881454493777</v>
      </c>
      <c r="BX17" s="225"/>
      <c r="BY17" s="224">
        <v>2037</v>
      </c>
      <c r="BZ17" s="225">
        <f t="array" ref="BZ17">INDEX($AY$2:$BG$30,$AW17-2021,$BU$21)</f>
        <v>1395.2400449710942</v>
      </c>
      <c r="CA17" s="224">
        <f t="array" ref="CA17">INDEX($AM$2:$AU$30,$BY17-2021,$BU$21)</f>
        <v>616.05745950097776</v>
      </c>
      <c r="CB17" s="219">
        <f t="array" ref="CB17">INDEX($BK$2:$BS$30,BY17-2021,$BU$21)</f>
        <v>0.87240511811835852</v>
      </c>
    </row>
    <row r="18" spans="1:80" x14ac:dyDescent="0.25">
      <c r="A18">
        <v>2038</v>
      </c>
      <c r="B18" s="223">
        <f>'[7]WACOG Calc'!C65</f>
        <v>3.6913669387607637</v>
      </c>
      <c r="C18" s="223">
        <f>'[7]WACOG Calc'!D65</f>
        <v>3.6777971853943403</v>
      </c>
      <c r="D18" s="223">
        <f>'[7]WACOG Calc'!E65</f>
        <v>3.6768987549594927</v>
      </c>
      <c r="E18" s="223">
        <f>'[7]WACOG Calc'!F65</f>
        <v>3.5921133544448733</v>
      </c>
      <c r="F18" s="223">
        <f>'[7]WACOG Calc'!G65</f>
        <v>3.6429748265822033</v>
      </c>
      <c r="G18" s="223">
        <f>'[7]WACOG Calc'!H65</f>
        <v>3.5992180775086782</v>
      </c>
      <c r="H18" s="223">
        <f>'[7]WACOG Calc'!I65</f>
        <v>3.4207746062668902</v>
      </c>
      <c r="I18" s="223">
        <f>'[7]WACOG Calc'!J65</f>
        <v>3.6842547217797397</v>
      </c>
      <c r="J18" s="223">
        <f>'[7]WACOG Calc'!K65</f>
        <v>3.6842547217843937</v>
      </c>
      <c r="K18" s="223">
        <f>'[7]WACOG Calc'!L65</f>
        <v>3.691772247117278</v>
      </c>
      <c r="M18">
        <v>2038</v>
      </c>
      <c r="N18" s="154">
        <v>4.0431732439389201</v>
      </c>
      <c r="O18" s="154">
        <v>4.5487896592617263</v>
      </c>
      <c r="P18" s="154">
        <v>5.2872177251037424</v>
      </c>
      <c r="Q18" s="154">
        <v>3.9218142421852029</v>
      </c>
      <c r="R18" s="154">
        <v>3.9186769340199881</v>
      </c>
      <c r="S18" s="154">
        <v>2.865068687141533</v>
      </c>
      <c r="T18" s="154">
        <v>2.2127375527852302</v>
      </c>
      <c r="U18" s="154">
        <v>3.819370502873932</v>
      </c>
      <c r="V18" s="154">
        <v>5.3257289658809999</v>
      </c>
      <c r="W18" s="154">
        <v>3.9793693832773114</v>
      </c>
      <c r="Y18">
        <v>2038</v>
      </c>
      <c r="Z18" s="133">
        <v>496.36513653358293</v>
      </c>
      <c r="AA18" s="133">
        <v>496.36513653358293</v>
      </c>
      <c r="AB18" s="133">
        <v>496.36513653358293</v>
      </c>
      <c r="AC18" s="133">
        <v>496.36513653358293</v>
      </c>
      <c r="AD18" s="133">
        <f>$AC18*('Oregon Bill Impacts'!AD18/'Oregon Bill Impacts'!$AC18)</f>
        <v>575.53994492251127</v>
      </c>
      <c r="AE18" s="133">
        <f>$AC18*('Oregon Bill Impacts'!AE18/'Oregon Bill Impacts'!$AC18)</f>
        <v>983.40262439057562</v>
      </c>
      <c r="AF18" s="133">
        <f>$AC18*('Oregon Bill Impacts'!AF18/'Oregon Bill Impacts'!$AC18)</f>
        <v>2132.2662155287362</v>
      </c>
      <c r="AG18" s="133">
        <v>496.36513653358293</v>
      </c>
      <c r="AH18" s="133">
        <v>496.36513653358293</v>
      </c>
      <c r="AI18" s="133">
        <v>496.36513653358293</v>
      </c>
      <c r="AJ18" s="133"/>
      <c r="AK18">
        <v>2038</v>
      </c>
      <c r="AL18" s="8">
        <v>568.32850337632294</v>
      </c>
      <c r="AM18" s="8">
        <v>449.28881800238184</v>
      </c>
      <c r="AN18" s="8">
        <v>470.94774348986851</v>
      </c>
      <c r="AO18" s="8">
        <v>363.21426325632694</v>
      </c>
      <c r="AP18" s="8">
        <v>499.13208874583694</v>
      </c>
      <c r="AQ18" s="8">
        <v>613.63262931975692</v>
      </c>
      <c r="AR18" s="8">
        <v>617.77520133463315</v>
      </c>
      <c r="AS18" s="8">
        <v>457.84311946115514</v>
      </c>
      <c r="AT18" s="8">
        <v>457.84311946115514</v>
      </c>
      <c r="AU18" s="8">
        <v>475.42960186639664</v>
      </c>
      <c r="AW18">
        <v>2038</v>
      </c>
      <c r="AX18" s="133">
        <f t="shared" si="2"/>
        <v>743.58231149464643</v>
      </c>
      <c r="AY18" s="133">
        <f t="shared" si="3"/>
        <v>911.87323817484582</v>
      </c>
      <c r="AZ18" s="133">
        <f t="shared" si="3"/>
        <v>967.21017290840564</v>
      </c>
      <c r="BA18" s="133">
        <f t="shared" si="3"/>
        <v>810.05363447070863</v>
      </c>
      <c r="BB18" s="133">
        <f t="shared" si="3"/>
        <v>1003.4734598666864</v>
      </c>
      <c r="BC18" s="133">
        <f t="shared" si="3"/>
        <v>1453.2161874957642</v>
      </c>
      <c r="BD18" s="133">
        <f t="shared" si="3"/>
        <v>2611.7460295535934</v>
      </c>
      <c r="BE18" s="133">
        <f t="shared" si="3"/>
        <v>884.42886763679871</v>
      </c>
      <c r="BF18" s="133">
        <f t="shared" si="3"/>
        <v>957.05173545597802</v>
      </c>
      <c r="BG18" s="133">
        <f t="shared" si="3"/>
        <v>906.71083528914278</v>
      </c>
      <c r="BI18">
        <v>2038</v>
      </c>
      <c r="BJ18" s="219">
        <f t="shared" ref="BJ18:BS30" si="4">(AX18-$AX18)/$AX18</f>
        <v>0</v>
      </c>
      <c r="BK18" s="219">
        <f t="shared" si="4"/>
        <v>0.22632454279597403</v>
      </c>
      <c r="BL18" s="219">
        <f t="shared" si="4"/>
        <v>0.30074392297505487</v>
      </c>
      <c r="BM18" s="219">
        <f t="shared" si="4"/>
        <v>8.9393362306387739E-2</v>
      </c>
      <c r="BN18" s="219">
        <f t="shared" si="4"/>
        <v>0.34951227907727217</v>
      </c>
      <c r="BO18" s="219">
        <f t="shared" si="4"/>
        <v>0.95434475112070616</v>
      </c>
      <c r="BP18" s="219">
        <f t="shared" si="4"/>
        <v>2.5123832145816141</v>
      </c>
      <c r="BQ18" s="219">
        <f t="shared" si="4"/>
        <v>0.18941622731589997</v>
      </c>
      <c r="BR18" s="219">
        <f t="shared" si="4"/>
        <v>0.28708243951129614</v>
      </c>
      <c r="BS18" s="219">
        <f t="shared" si="4"/>
        <v>0.21938193159355543</v>
      </c>
      <c r="BT18" s="219"/>
      <c r="BU18" s="224">
        <v>2021</v>
      </c>
      <c r="BV18" s="225">
        <v>667</v>
      </c>
      <c r="BW18" s="224">
        <f>'Oregon Bill Impacts'!BW18*('Washington Bill Impacts'!$AL$2/'Oregon Bill Impacts'!$AL$2)</f>
        <v>619.71265688641051</v>
      </c>
      <c r="BX18" s="225"/>
      <c r="BY18" s="224">
        <v>2038</v>
      </c>
      <c r="BZ18" s="225">
        <f t="array" ref="BZ18">INDEX($AY$2:$BG$30,$AW18-2021,$BU$21)</f>
        <v>1453.2161874957642</v>
      </c>
      <c r="CA18" s="224">
        <f t="array" ref="CA18">INDEX($AM$2:$AU$30,$BY18-2021,$BU$21)</f>
        <v>613.63262931975692</v>
      </c>
      <c r="CB18" s="219">
        <f t="array" ref="CB18">INDEX($BK$2:$BS$30,BY18-2021,$BU$21)</f>
        <v>0.95434475112070616</v>
      </c>
    </row>
    <row r="19" spans="1:80" x14ac:dyDescent="0.25">
      <c r="A19">
        <v>2039</v>
      </c>
      <c r="B19" s="223">
        <f>'[7]WACOG Calc'!C66</f>
        <v>3.7708942216689927</v>
      </c>
      <c r="C19" s="223">
        <f>'[7]WACOG Calc'!D66</f>
        <v>3.7522485656750741</v>
      </c>
      <c r="D19" s="223">
        <f>'[7]WACOG Calc'!E66</f>
        <v>3.7500807654465431</v>
      </c>
      <c r="E19" s="223">
        <f>'[7]WACOG Calc'!F66</f>
        <v>3.6635342671312476</v>
      </c>
      <c r="F19" s="223">
        <f>'[7]WACOG Calc'!G66</f>
        <v>3.7161757254011638</v>
      </c>
      <c r="G19" s="223">
        <f>'[7]WACOG Calc'!H66</f>
        <v>3.667307554817576</v>
      </c>
      <c r="H19" s="223">
        <f>'[7]WACOG Calc'!I66</f>
        <v>3.4787879827793655</v>
      </c>
      <c r="I19" s="223">
        <f>'[7]WACOG Calc'!J66</f>
        <v>3.7587766331561037</v>
      </c>
      <c r="J19" s="223">
        <f>'[7]WACOG Calc'!K66</f>
        <v>3.7587766331748491</v>
      </c>
      <c r="K19" s="223">
        <f>'[7]WACOG Calc'!L66</f>
        <v>3.7666941066810478</v>
      </c>
      <c r="M19">
        <v>2039</v>
      </c>
      <c r="N19" s="154">
        <v>3.3187597075705049</v>
      </c>
      <c r="O19" s="154">
        <v>3.7850204467071924</v>
      </c>
      <c r="P19" s="154">
        <v>4.8350729023953454</v>
      </c>
      <c r="Q19" s="154">
        <v>3.1804056483106815</v>
      </c>
      <c r="R19" s="154">
        <v>3.1282551651605917</v>
      </c>
      <c r="S19" s="154">
        <v>2.3286215889328012</v>
      </c>
      <c r="T19" s="154">
        <v>2.4271822131359819</v>
      </c>
      <c r="U19" s="154">
        <v>3.0453589217564696</v>
      </c>
      <c r="V19" s="154">
        <v>4.5815159426143373</v>
      </c>
      <c r="W19" s="154">
        <v>3.2537982039574791</v>
      </c>
      <c r="Y19">
        <v>2039</v>
      </c>
      <c r="Z19" s="133">
        <v>495.14853653358296</v>
      </c>
      <c r="AA19" s="133">
        <v>495.14853653358296</v>
      </c>
      <c r="AB19" s="133">
        <v>495.14853653358296</v>
      </c>
      <c r="AC19" s="133">
        <v>495.14853653358296</v>
      </c>
      <c r="AD19" s="133">
        <f>$AC19*('Oregon Bill Impacts'!AD19/'Oregon Bill Impacts'!$AC19)</f>
        <v>581.41798028559026</v>
      </c>
      <c r="AE19" s="133">
        <f>$AC19*('Oregon Bill Impacts'!AE19/'Oregon Bill Impacts'!$AC19)</f>
        <v>1042.6289451215011</v>
      </c>
      <c r="AF19" s="133">
        <f>$AC19*('Oregon Bill Impacts'!AF19/'Oregon Bill Impacts'!$AC19)</f>
        <v>2650.776730037483</v>
      </c>
      <c r="AG19" s="133">
        <v>495.14853653358296</v>
      </c>
      <c r="AH19" s="133">
        <v>495.14853653358296</v>
      </c>
      <c r="AI19" s="133">
        <v>495.14853653358296</v>
      </c>
      <c r="AJ19" s="133"/>
      <c r="AK19">
        <v>2039</v>
      </c>
      <c r="AL19" s="8">
        <v>564.23139719140011</v>
      </c>
      <c r="AM19" s="8">
        <v>438.08576056852866</v>
      </c>
      <c r="AN19" s="8">
        <v>459.03970580947112</v>
      </c>
      <c r="AO19" s="8">
        <v>345.66784229641132</v>
      </c>
      <c r="AP19" s="8">
        <v>489.48086091664942</v>
      </c>
      <c r="AQ19" s="8">
        <v>611.19332187531438</v>
      </c>
      <c r="AR19" s="8">
        <v>614.73769238574494</v>
      </c>
      <c r="AS19" s="8">
        <v>446.54007784287887</v>
      </c>
      <c r="AT19" s="8">
        <v>446.54007784287887</v>
      </c>
      <c r="AU19" s="8">
        <v>465.15615354467167</v>
      </c>
      <c r="AW19">
        <v>2039</v>
      </c>
      <c r="AX19" s="133">
        <f t="shared" si="2"/>
        <v>745.43368215656244</v>
      </c>
      <c r="AY19" s="133">
        <f t="shared" ref="AY19:BG30" si="5">(AA19+(AM19*0.1*(C19+O19)))*1.053</f>
        <v>869.0888739676368</v>
      </c>
      <c r="AZ19" s="133">
        <f t="shared" si="5"/>
        <v>936.370960365668</v>
      </c>
      <c r="BA19" s="133">
        <f t="shared" si="5"/>
        <v>770.50277200747098</v>
      </c>
      <c r="BB19" s="133">
        <f t="shared" si="5"/>
        <v>965.01108072181671</v>
      </c>
      <c r="BC19" s="133">
        <f t="shared" si="5"/>
        <v>1483.7782251335393</v>
      </c>
      <c r="BD19" s="133">
        <f t="shared" si="5"/>
        <v>3173.5724448776086</v>
      </c>
      <c r="BE19" s="133">
        <f t="shared" si="5"/>
        <v>841.32642287210285</v>
      </c>
      <c r="BF19" s="133">
        <f t="shared" si="5"/>
        <v>913.55755552132564</v>
      </c>
      <c r="BG19" s="133">
        <f t="shared" si="5"/>
        <v>865.26174244631375</v>
      </c>
      <c r="BI19">
        <v>2039</v>
      </c>
      <c r="BJ19" s="219">
        <f t="shared" si="4"/>
        <v>0</v>
      </c>
      <c r="BK19" s="219">
        <f t="shared" si="4"/>
        <v>0.16588355848549277</v>
      </c>
      <c r="BL19" s="219">
        <f t="shared" si="4"/>
        <v>0.25614254195855246</v>
      </c>
      <c r="BM19" s="219">
        <f t="shared" si="4"/>
        <v>3.3630208093606527E-2</v>
      </c>
      <c r="BN19" s="219">
        <f t="shared" si="4"/>
        <v>0.29456329090202921</v>
      </c>
      <c r="BO19" s="219">
        <f t="shared" si="4"/>
        <v>0.99048991298719358</v>
      </c>
      <c r="BP19" s="219">
        <f t="shared" si="4"/>
        <v>3.2573504804563784</v>
      </c>
      <c r="BQ19" s="219">
        <f t="shared" si="4"/>
        <v>0.12864020369742321</v>
      </c>
      <c r="BR19" s="219">
        <f t="shared" si="4"/>
        <v>0.22553833746601804</v>
      </c>
      <c r="BS19" s="219">
        <f t="shared" si="4"/>
        <v>0.16074945787676923</v>
      </c>
      <c r="BT19" s="219"/>
      <c r="BU19" s="224">
        <v>2022</v>
      </c>
      <c r="BV19" s="225">
        <f>AX2</f>
        <v>848.86456590037983</v>
      </c>
      <c r="BW19" s="219">
        <f>AL2</f>
        <v>644.08091285140131</v>
      </c>
      <c r="BX19" s="219"/>
      <c r="BY19" s="224">
        <v>2039</v>
      </c>
      <c r="BZ19" s="225">
        <f t="array" ref="BZ19">INDEX($AY$2:$BG$30,$AW19-2021,$BU$21)</f>
        <v>1483.7782251335393</v>
      </c>
      <c r="CA19" s="224">
        <f t="array" ref="CA19">INDEX($AM$2:$AU$30,$BY19-2021,$BU$21)</f>
        <v>611.19332187531438</v>
      </c>
      <c r="CB19" s="219">
        <f t="array" ref="CB19">INDEX($BK$2:$BS$30,BY19-2021,$BU$21)</f>
        <v>0.99048991298719358</v>
      </c>
    </row>
    <row r="20" spans="1:80" x14ac:dyDescent="0.25">
      <c r="A20">
        <v>2040</v>
      </c>
      <c r="B20" s="223">
        <f>'[7]WACOG Calc'!C67</f>
        <v>3.9774988820562851</v>
      </c>
      <c r="C20" s="223">
        <f>'[7]WACOG Calc'!D67</f>
        <v>3.9465795547343978</v>
      </c>
      <c r="D20" s="223">
        <f>'[7]WACOG Calc'!E67</f>
        <v>3.9398616853366497</v>
      </c>
      <c r="E20" s="223">
        <f>'[7]WACOG Calc'!F67</f>
        <v>3.8519584780295224</v>
      </c>
      <c r="F20" s="223">
        <f>'[7]WACOG Calc'!G67</f>
        <v>3.9054419504073348</v>
      </c>
      <c r="G20" s="223">
        <f>'[7]WACOG Calc'!H67</f>
        <v>3.8457142998643183</v>
      </c>
      <c r="H20" s="223">
        <f>'[7]WACOG Calc'!I67</f>
        <v>3.6368114618504688</v>
      </c>
      <c r="I20" s="223">
        <f>'[7]WACOG Calc'!J67</f>
        <v>3.9525347897047305</v>
      </c>
      <c r="J20" s="223">
        <f>'[7]WACOG Calc'!K67</f>
        <v>3.9525347896991141</v>
      </c>
      <c r="K20" s="223">
        <f>'[7]WACOG Calc'!L67</f>
        <v>3.9612203296690587</v>
      </c>
      <c r="M20">
        <v>2040</v>
      </c>
      <c r="N20" s="154">
        <v>4.2744232701814759</v>
      </c>
      <c r="O20" s="154">
        <v>4.6825927649738173</v>
      </c>
      <c r="P20" s="154">
        <v>6.0269419633910415</v>
      </c>
      <c r="Q20" s="154">
        <v>4.0842163203841579</v>
      </c>
      <c r="R20" s="154">
        <v>3.9742062243999143</v>
      </c>
      <c r="S20" s="154">
        <v>2.6277491193623472</v>
      </c>
      <c r="T20" s="154">
        <v>2.6686466620895044</v>
      </c>
      <c r="U20" s="154">
        <v>3.3908502163672147</v>
      </c>
      <c r="V20" s="154">
        <v>5.4934889572717589</v>
      </c>
      <c r="W20" s="154">
        <v>4.1972511683175497</v>
      </c>
      <c r="Y20">
        <v>2040</v>
      </c>
      <c r="Z20" s="133">
        <v>493.93193653358293</v>
      </c>
      <c r="AA20" s="133">
        <v>493.93193653358293</v>
      </c>
      <c r="AB20" s="133">
        <v>493.93193653358293</v>
      </c>
      <c r="AC20" s="133">
        <v>493.93193653358293</v>
      </c>
      <c r="AD20" s="133">
        <f>$AC20*('Oregon Bill Impacts'!AD20/'Oregon Bill Impacts'!$AC20)</f>
        <v>587.26161512431042</v>
      </c>
      <c r="AE20" s="133">
        <f>$AC20*('Oregon Bill Impacts'!AE20/'Oregon Bill Impacts'!$AC20)</f>
        <v>1109.0055529125661</v>
      </c>
      <c r="AF20" s="133">
        <f>$AC20*('Oregon Bill Impacts'!AF20/'Oregon Bill Impacts'!$AC20)</f>
        <v>3498.2789415930192</v>
      </c>
      <c r="AG20" s="133">
        <v>493.93193653358293</v>
      </c>
      <c r="AH20" s="133">
        <v>493.93193653358293</v>
      </c>
      <c r="AI20" s="133">
        <v>493.93193653358293</v>
      </c>
      <c r="AJ20" s="133"/>
      <c r="AK20">
        <v>2040</v>
      </c>
      <c r="AL20" s="8">
        <v>563.56504079938838</v>
      </c>
      <c r="AM20" s="8">
        <v>430.57900549643324</v>
      </c>
      <c r="AN20" s="8">
        <v>450.25363241381945</v>
      </c>
      <c r="AO20" s="8">
        <v>333.18465108813791</v>
      </c>
      <c r="AP20" s="8">
        <v>483.52780354332316</v>
      </c>
      <c r="AQ20" s="8">
        <v>612.36890463073803</v>
      </c>
      <c r="AR20" s="8">
        <v>615.23902798714835</v>
      </c>
      <c r="AS20" s="8">
        <v>438.85199566982129</v>
      </c>
      <c r="AT20" s="8">
        <v>438.85199566982129</v>
      </c>
      <c r="AU20" s="8">
        <v>458.50941398333839</v>
      </c>
      <c r="AW20">
        <v>2040</v>
      </c>
      <c r="AX20" s="133">
        <f t="shared" si="2"/>
        <v>756.14863153907152</v>
      </c>
      <c r="AY20" s="133">
        <f t="shared" si="5"/>
        <v>911.35673704668386</v>
      </c>
      <c r="AZ20" s="133">
        <f t="shared" si="5"/>
        <v>992.65350840525127</v>
      </c>
      <c r="BA20" s="133">
        <f t="shared" si="5"/>
        <v>798.54581393353112</v>
      </c>
      <c r="BB20" s="133">
        <f t="shared" si="5"/>
        <v>1019.5825317574604</v>
      </c>
      <c r="BC20" s="133">
        <f t="shared" si="5"/>
        <v>1585.2076003637851</v>
      </c>
      <c r="BD20" s="133">
        <f t="shared" si="5"/>
        <v>4092.1847470301868</v>
      </c>
      <c r="BE20" s="133">
        <f t="shared" si="5"/>
        <v>859.45633923241292</v>
      </c>
      <c r="BF20" s="133">
        <f t="shared" si="5"/>
        <v>956.62162019439609</v>
      </c>
      <c r="BG20" s="133">
        <f t="shared" si="5"/>
        <v>914.00982844739417</v>
      </c>
      <c r="BI20">
        <v>2040</v>
      </c>
      <c r="BJ20" s="219">
        <f t="shared" si="4"/>
        <v>0</v>
      </c>
      <c r="BK20" s="219">
        <f t="shared" si="4"/>
        <v>0.20526137194971894</v>
      </c>
      <c r="BL20" s="219">
        <f t="shared" si="4"/>
        <v>0.31277564621759041</v>
      </c>
      <c r="BM20" s="219">
        <f t="shared" si="4"/>
        <v>5.606990560594418E-2</v>
      </c>
      <c r="BN20" s="219">
        <f t="shared" si="4"/>
        <v>0.34838904579142493</v>
      </c>
      <c r="BO20" s="219">
        <f t="shared" si="4"/>
        <v>1.0964232880210862</v>
      </c>
      <c r="BP20" s="219">
        <f t="shared" si="4"/>
        <v>4.4118787978243352</v>
      </c>
      <c r="BQ20" s="219">
        <f t="shared" si="4"/>
        <v>0.13662354646211286</v>
      </c>
      <c r="BR20" s="219">
        <f t="shared" si="4"/>
        <v>0.26512378690321781</v>
      </c>
      <c r="BS20" s="219">
        <f t="shared" si="4"/>
        <v>0.20877006229186792</v>
      </c>
      <c r="BT20" s="219"/>
      <c r="BU20" s="219" t="s">
        <v>79</v>
      </c>
      <c r="BV20" s="219"/>
      <c r="BW20" s="219"/>
      <c r="BX20" s="219"/>
      <c r="BY20" s="224">
        <v>2040</v>
      </c>
      <c r="BZ20" s="225">
        <f t="array" ref="BZ20">INDEX($AY$2:$BG$30,$AW20-2021,$BU$21)</f>
        <v>1585.2076003637851</v>
      </c>
      <c r="CA20" s="224">
        <f t="array" ref="CA20">INDEX($AM$2:$AU$30,$BY20-2021,$BU$21)</f>
        <v>612.36890463073803</v>
      </c>
      <c r="CB20" s="219">
        <f t="array" ref="CB20">INDEX($BK$2:$BS$30,BY20-2021,$BU$21)</f>
        <v>1.0964232880210862</v>
      </c>
    </row>
    <row r="21" spans="1:80" x14ac:dyDescent="0.25">
      <c r="A21">
        <v>2041</v>
      </c>
      <c r="B21" s="223">
        <f>'[7]WACOG Calc'!C68</f>
        <v>4.0656028225976177</v>
      </c>
      <c r="C21" s="223">
        <f>'[7]WACOG Calc'!D68</f>
        <v>4.0353142940278097</v>
      </c>
      <c r="D21" s="223">
        <f>'[7]WACOG Calc'!E68</f>
        <v>4.0253063473642063</v>
      </c>
      <c r="E21" s="223">
        <f>'[7]WACOG Calc'!F68</f>
        <v>3.9381892319914629</v>
      </c>
      <c r="F21" s="223">
        <f>'[7]WACOG Calc'!G68</f>
        <v>3.9943416547984647</v>
      </c>
      <c r="G21" s="223">
        <f>'[7]WACOG Calc'!H68</f>
        <v>3.9307865199006957</v>
      </c>
      <c r="H21" s="223">
        <f>'[7]WACOG Calc'!I68</f>
        <v>3.7136714735098275</v>
      </c>
      <c r="I21" s="223">
        <f>'[7]WACOG Calc'!J68</f>
        <v>4.0415770987456101</v>
      </c>
      <c r="J21" s="223">
        <f>'[7]WACOG Calc'!K68</f>
        <v>4.0415770987385971</v>
      </c>
      <c r="K21" s="223">
        <f>'[7]WACOG Calc'!L68</f>
        <v>4.0508486773403325</v>
      </c>
      <c r="M21">
        <v>2041</v>
      </c>
      <c r="N21" s="154">
        <v>4.3772362392916691</v>
      </c>
      <c r="O21" s="154">
        <v>4.6936210781829226</v>
      </c>
      <c r="P21" s="154">
        <v>6.314221362719179</v>
      </c>
      <c r="Q21" s="154">
        <v>4.0976063389800208</v>
      </c>
      <c r="R21" s="154">
        <v>3.9731992423205473</v>
      </c>
      <c r="S21" s="154">
        <v>2.8590545367039617</v>
      </c>
      <c r="T21" s="154">
        <v>3.0014612920343455</v>
      </c>
      <c r="U21" s="154">
        <v>3.347631700783658</v>
      </c>
      <c r="V21" s="154">
        <v>5.5390510745848438</v>
      </c>
      <c r="W21" s="154">
        <v>4.2495748551871042</v>
      </c>
      <c r="Y21">
        <v>2041</v>
      </c>
      <c r="Z21" s="133">
        <v>492.71533653358296</v>
      </c>
      <c r="AA21" s="133">
        <v>492.71533653358296</v>
      </c>
      <c r="AB21" s="133">
        <v>492.71533653358296</v>
      </c>
      <c r="AC21" s="133">
        <v>492.71533653358296</v>
      </c>
      <c r="AD21" s="133">
        <f>$AC21*('Oregon Bill Impacts'!AD21/'Oregon Bill Impacts'!$AC21)</f>
        <v>593.04241358545596</v>
      </c>
      <c r="AE21" s="133">
        <f>$AC21*('Oregon Bill Impacts'!AE21/'Oregon Bill Impacts'!$AC21)</f>
        <v>1183.895351222244</v>
      </c>
      <c r="AF21" s="133">
        <f>$AC21*('Oregon Bill Impacts'!AF21/'Oregon Bill Impacts'!$AC21)</f>
        <v>3503.6149275500115</v>
      </c>
      <c r="AG21" s="133">
        <v>492.71533653358296</v>
      </c>
      <c r="AH21" s="133">
        <v>492.71533653358296</v>
      </c>
      <c r="AI21" s="133">
        <v>492.71533653358296</v>
      </c>
      <c r="AJ21" s="133"/>
      <c r="AK21">
        <v>2041</v>
      </c>
      <c r="AL21" s="8">
        <v>556.10479799669201</v>
      </c>
      <c r="AM21" s="8">
        <v>418.09444595773346</v>
      </c>
      <c r="AN21" s="8">
        <v>436.25335979065852</v>
      </c>
      <c r="AO21" s="8">
        <v>316.62129522643392</v>
      </c>
      <c r="AP21" s="8">
        <v>471.85992287296102</v>
      </c>
      <c r="AQ21" s="8">
        <v>606.11365440889574</v>
      </c>
      <c r="AR21" s="8">
        <v>607.83866465794301</v>
      </c>
      <c r="AS21" s="8">
        <v>426.1192904466219</v>
      </c>
      <c r="AT21" s="8">
        <v>426.1192904466219</v>
      </c>
      <c r="AU21" s="8">
        <v>446.39688920732772</v>
      </c>
      <c r="AW21">
        <v>2041</v>
      </c>
      <c r="AX21" s="133">
        <f t="shared" si="2"/>
        <v>756.90214956230147</v>
      </c>
      <c r="AY21" s="133">
        <f t="shared" si="5"/>
        <v>903.12364200509376</v>
      </c>
      <c r="AZ21" s="133">
        <f t="shared" si="5"/>
        <v>993.80108420862598</v>
      </c>
      <c r="BA21" s="133">
        <f t="shared" si="5"/>
        <v>786.74446076528193</v>
      </c>
      <c r="BB21" s="133">
        <f t="shared" si="5"/>
        <v>1020.3556699616282</v>
      </c>
      <c r="BC21" s="133">
        <f t="shared" si="5"/>
        <v>1679.995043895517</v>
      </c>
      <c r="BD21" s="133">
        <f t="shared" si="5"/>
        <v>4119.1113538970876</v>
      </c>
      <c r="BE21" s="133">
        <f t="shared" si="5"/>
        <v>850.38571780786936</v>
      </c>
      <c r="BF21" s="133">
        <f t="shared" si="5"/>
        <v>948.71549683483511</v>
      </c>
      <c r="BG21" s="133">
        <f t="shared" si="5"/>
        <v>908.99557496554212</v>
      </c>
      <c r="BI21">
        <v>2041</v>
      </c>
      <c r="BJ21" s="219">
        <f t="shared" si="4"/>
        <v>0</v>
      </c>
      <c r="BK21" s="219">
        <f t="shared" si="4"/>
        <v>0.19318414213428869</v>
      </c>
      <c r="BL21" s="219">
        <f t="shared" si="4"/>
        <v>0.31298488818312581</v>
      </c>
      <c r="BM21" s="219">
        <f t="shared" si="4"/>
        <v>3.9426907718834663E-2</v>
      </c>
      <c r="BN21" s="219">
        <f t="shared" si="4"/>
        <v>0.34806813608823234</v>
      </c>
      <c r="BO21" s="219">
        <f t="shared" si="4"/>
        <v>1.2195670138696504</v>
      </c>
      <c r="BP21" s="219">
        <f t="shared" si="4"/>
        <v>4.4420658684601069</v>
      </c>
      <c r="BQ21" s="219">
        <f t="shared" si="4"/>
        <v>0.12350812889040837</v>
      </c>
      <c r="BR21" s="219">
        <f t="shared" si="4"/>
        <v>0.25341894904573165</v>
      </c>
      <c r="BS21" s="219">
        <f t="shared" si="4"/>
        <v>0.20094199163153739</v>
      </c>
      <c r="BT21" s="219"/>
      <c r="BU21" s="224">
        <f>IF(Graphs!$B$1="Scenario 1- Balanced Decarbonization",1,IF(Graphs!$B$1="Scenario 2- Carbon Neutral",2,IF(Graphs!$B$1="Scenario 3- Dual-Fuel Heating",3,IF(Graphs!$B$1="Scenario 4- New Gas Customer Moratorium",4,IF(Graphs!$B$1="Scenario 5- Aggressive Building Electrification",5,IF(Graphs!$B$1="Scenario 6- Full Building Electrification",6,IF(Graphs!$B$1="Scenario 7- RNG and H2 Support",7,IF(Graphs!$B$1="Scenario 8- Limited RNG",8,9))))))))</f>
        <v>5</v>
      </c>
      <c r="BV21" s="219"/>
      <c r="BW21" s="219"/>
      <c r="BX21" s="219"/>
      <c r="BY21" s="224">
        <v>2041</v>
      </c>
      <c r="BZ21" s="225">
        <f t="array" ref="BZ21">INDEX($AY$2:$BG$30,$AW21-2021,$BU$21)</f>
        <v>1679.995043895517</v>
      </c>
      <c r="CA21" s="224">
        <f t="array" ref="CA21">INDEX($AM$2:$AU$30,$BY21-2021,$BU$21)</f>
        <v>606.11365440889574</v>
      </c>
      <c r="CB21" s="219">
        <f t="array" ref="CB21">INDEX($BK$2:$BS$30,BY21-2021,$BU$21)</f>
        <v>1.2195670138696504</v>
      </c>
    </row>
    <row r="22" spans="1:80" x14ac:dyDescent="0.25">
      <c r="A22">
        <v>2042</v>
      </c>
      <c r="B22" s="223">
        <f>'[7]WACOG Calc'!C69</f>
        <v>4.0862996979427164</v>
      </c>
      <c r="C22" s="223">
        <f>'[7]WACOG Calc'!D69</f>
        <v>4.050301626310806</v>
      </c>
      <c r="D22" s="223">
        <f>'[7]WACOG Calc'!E69</f>
        <v>4.0388178200702454</v>
      </c>
      <c r="E22" s="223">
        <f>'[7]WACOG Calc'!F69</f>
        <v>3.9426671501188828</v>
      </c>
      <c r="F22" s="223">
        <f>'[7]WACOG Calc'!G69</f>
        <v>4.0065660028635657</v>
      </c>
      <c r="G22" s="223">
        <f>'[7]WACOG Calc'!H69</f>
        <v>3.9368884553694725</v>
      </c>
      <c r="H22" s="223">
        <f>'[7]WACOG Calc'!I69</f>
        <v>3.6747959230689853</v>
      </c>
      <c r="I22" s="223">
        <f>'[7]WACOG Calc'!J69</f>
        <v>4.056796848106778</v>
      </c>
      <c r="J22" s="223">
        <f>'[7]WACOG Calc'!K69</f>
        <v>4.0567968482037848</v>
      </c>
      <c r="K22" s="223">
        <f>'[7]WACOG Calc'!L69</f>
        <v>4.0674208141921637</v>
      </c>
      <c r="M22">
        <v>2042</v>
      </c>
      <c r="N22" s="154">
        <v>4.3806072581091025</v>
      </c>
      <c r="O22" s="154">
        <v>4.5411256232097728</v>
      </c>
      <c r="P22" s="154">
        <v>6.1717398115039961</v>
      </c>
      <c r="Q22" s="154">
        <v>3.9343236393648628</v>
      </c>
      <c r="R22" s="154">
        <v>3.883926218153964</v>
      </c>
      <c r="S22" s="154">
        <v>2.8392912692974344</v>
      </c>
      <c r="T22" s="154">
        <v>3.397291286888418</v>
      </c>
      <c r="U22" s="154">
        <v>3.275998846349732</v>
      </c>
      <c r="V22" s="154">
        <v>5.5752094738435662</v>
      </c>
      <c r="W22" s="154">
        <v>3.9703810954781482</v>
      </c>
      <c r="Y22">
        <v>2042</v>
      </c>
      <c r="Z22" s="133">
        <v>491.49873653358293</v>
      </c>
      <c r="AA22" s="133">
        <v>491.49873653358293</v>
      </c>
      <c r="AB22" s="133">
        <v>491.49873653358293</v>
      </c>
      <c r="AC22" s="133">
        <v>491.49873653358293</v>
      </c>
      <c r="AD22" s="133">
        <f>$AC22*('Oregon Bill Impacts'!AD22/'Oregon Bill Impacts'!$AC22)</f>
        <v>598.7607849837002</v>
      </c>
      <c r="AE22" s="133">
        <f>$AC22*('Oregon Bill Impacts'!AE22/'Oregon Bill Impacts'!$AC22)</f>
        <v>1269.0948425174395</v>
      </c>
      <c r="AF22" s="133">
        <f>$AC22*('Oregon Bill Impacts'!AF22/'Oregon Bill Impacts'!$AC22)</f>
        <v>3508.5201196929079</v>
      </c>
      <c r="AG22" s="133">
        <v>491.49873653358293</v>
      </c>
      <c r="AH22" s="133">
        <v>491.49873653358293</v>
      </c>
      <c r="AI22" s="133">
        <v>491.49873653358293</v>
      </c>
      <c r="AJ22" s="133"/>
      <c r="AK22">
        <v>2042</v>
      </c>
      <c r="AL22" s="8">
        <v>552.20369299528136</v>
      </c>
      <c r="AM22" s="8">
        <v>409.35332529668977</v>
      </c>
      <c r="AN22" s="8">
        <v>425.96938217535597</v>
      </c>
      <c r="AO22" s="8">
        <v>303.98876205223746</v>
      </c>
      <c r="AP22" s="8">
        <v>463.75085426420327</v>
      </c>
      <c r="AQ22" s="8">
        <v>603.61370026145346</v>
      </c>
      <c r="AR22" s="8">
        <v>603.94101487509772</v>
      </c>
      <c r="AS22" s="8">
        <v>417.14706251552127</v>
      </c>
      <c r="AT22" s="8">
        <v>417.14706251552127</v>
      </c>
      <c r="AU22" s="8">
        <v>438.04849548747001</v>
      </c>
      <c r="AW22">
        <v>2042</v>
      </c>
      <c r="AX22" s="133">
        <f t="shared" si="2"/>
        <v>755.15443781342412</v>
      </c>
      <c r="AY22" s="133">
        <f t="shared" si="5"/>
        <v>887.88082629571704</v>
      </c>
      <c r="AZ22" s="133">
        <f t="shared" si="5"/>
        <v>975.53840227635135</v>
      </c>
      <c r="BA22" s="133">
        <f t="shared" si="5"/>
        <v>769.69077584666456</v>
      </c>
      <c r="BB22" s="133">
        <f t="shared" si="5"/>
        <v>1015.8112366867575</v>
      </c>
      <c r="BC22" s="133">
        <f t="shared" si="5"/>
        <v>1767.0543939565337</v>
      </c>
      <c r="BD22" s="133">
        <f t="shared" si="5"/>
        <v>4144.2209934157136</v>
      </c>
      <c r="BE22" s="133">
        <f t="shared" si="5"/>
        <v>839.645515141798</v>
      </c>
      <c r="BF22" s="133">
        <f t="shared" si="5"/>
        <v>940.63968856703775</v>
      </c>
      <c r="BG22" s="133">
        <f t="shared" si="5"/>
        <v>888.30389220345637</v>
      </c>
      <c r="BI22">
        <v>2042</v>
      </c>
      <c r="BJ22" s="219">
        <f t="shared" si="4"/>
        <v>0</v>
      </c>
      <c r="BK22" s="219">
        <f t="shared" si="4"/>
        <v>0.17576058861099564</v>
      </c>
      <c r="BL22" s="219">
        <f t="shared" si="4"/>
        <v>0.29183959389956926</v>
      </c>
      <c r="BM22" s="219">
        <f t="shared" si="4"/>
        <v>1.9249490309996602E-2</v>
      </c>
      <c r="BN22" s="219">
        <f t="shared" si="4"/>
        <v>0.3451701874759211</v>
      </c>
      <c r="BO22" s="219">
        <f t="shared" si="4"/>
        <v>1.3399907429175693</v>
      </c>
      <c r="BP22" s="219">
        <f t="shared" si="4"/>
        <v>4.4879118573618522</v>
      </c>
      <c r="BQ22" s="219">
        <f t="shared" si="4"/>
        <v>0.11188582506781093</v>
      </c>
      <c r="BR22" s="219">
        <f t="shared" si="4"/>
        <v>0.24562558526530362</v>
      </c>
      <c r="BS22" s="219">
        <f t="shared" si="4"/>
        <v>0.17632082620817421</v>
      </c>
      <c r="BT22" s="219"/>
      <c r="BU22" s="219"/>
      <c r="BV22" s="219"/>
      <c r="BW22" s="219"/>
      <c r="BX22" s="219"/>
      <c r="BY22" s="224">
        <v>2042</v>
      </c>
      <c r="BZ22" s="225">
        <f t="array" ref="BZ22">INDEX($AY$2:$BG$30,$AW22-2021,$BU$21)</f>
        <v>1767.0543939565337</v>
      </c>
      <c r="CA22" s="224">
        <f t="array" ref="CA22">INDEX($AM$2:$AU$30,$BY22-2021,$BU$21)</f>
        <v>603.61370026145346</v>
      </c>
      <c r="CB22" s="219">
        <f t="array" ref="CB22">INDEX($BK$2:$BS$30,BY22-2021,$BU$21)</f>
        <v>1.3399907429175693</v>
      </c>
    </row>
    <row r="23" spans="1:80" x14ac:dyDescent="0.25">
      <c r="A23">
        <v>2043</v>
      </c>
      <c r="B23" s="223">
        <f>'[7]WACOG Calc'!C70</f>
        <v>4.0551099828426675</v>
      </c>
      <c r="C23" s="223">
        <f>'[7]WACOG Calc'!D70</f>
        <v>4.0142092699353515</v>
      </c>
      <c r="D23" s="223">
        <f>'[7]WACOG Calc'!E70</f>
        <v>4.0028781361893131</v>
      </c>
      <c r="E23" s="223">
        <f>'[7]WACOG Calc'!F70</f>
        <v>3.8980709236047906</v>
      </c>
      <c r="F23" s="223">
        <f>'[7]WACOG Calc'!G70</f>
        <v>3.9690714779283374</v>
      </c>
      <c r="G23" s="223">
        <f>'[7]WACOG Calc'!H70</f>
        <v>3.8886971426475867</v>
      </c>
      <c r="H23" s="223">
        <f>'[7]WACOG Calc'!I70</f>
        <v>3.5976862719205824</v>
      </c>
      <c r="I23" s="223">
        <f>'[7]WACOG Calc'!J70</f>
        <v>4.0220427757261756</v>
      </c>
      <c r="J23" s="223">
        <f>'[7]WACOG Calc'!K70</f>
        <v>4.0220427757785133</v>
      </c>
      <c r="K23" s="223">
        <f>'[7]WACOG Calc'!L70</f>
        <v>4.0341502993365976</v>
      </c>
      <c r="M23">
        <v>2043</v>
      </c>
      <c r="N23" s="154">
        <v>3.6944221958833867</v>
      </c>
      <c r="O23" s="154">
        <v>3.9253786175259879</v>
      </c>
      <c r="P23" s="154">
        <v>6.0177953011503318</v>
      </c>
      <c r="Q23" s="154">
        <v>3.6403520592959788</v>
      </c>
      <c r="R23" s="154">
        <v>3.5051325540522424</v>
      </c>
      <c r="S23" s="154">
        <v>2.5635062775009723</v>
      </c>
      <c r="T23" s="154">
        <v>3.908152285452005</v>
      </c>
      <c r="U23" s="154">
        <v>3.2184615788563971</v>
      </c>
      <c r="V23" s="154">
        <v>4.9814188733409246</v>
      </c>
      <c r="W23" s="154">
        <v>3.6904924107949428</v>
      </c>
      <c r="Y23">
        <v>2043</v>
      </c>
      <c r="Z23" s="133">
        <v>490.28213653358296</v>
      </c>
      <c r="AA23" s="133">
        <v>490.28213653358296</v>
      </c>
      <c r="AB23" s="133">
        <v>490.28213653358296</v>
      </c>
      <c r="AC23" s="133">
        <v>490.28213653358296</v>
      </c>
      <c r="AD23" s="133">
        <f>$AC23*('Oregon Bill Impacts'!AD23/'Oregon Bill Impacts'!$AC23)</f>
        <v>604.44714960757824</v>
      </c>
      <c r="AE23" s="133">
        <f>$AC23*('Oregon Bill Impacts'!AE23/'Oregon Bill Impacts'!$AC23)</f>
        <v>1366.9978415675128</v>
      </c>
      <c r="AF23" s="133">
        <f>$AC23*('Oregon Bill Impacts'!AF23/'Oregon Bill Impacts'!$AC23)</f>
        <v>3513.003884710432</v>
      </c>
      <c r="AG23" s="133">
        <v>490.28213653358296</v>
      </c>
      <c r="AH23" s="133">
        <v>490.28213653358296</v>
      </c>
      <c r="AI23" s="133">
        <v>490.28213653358296</v>
      </c>
      <c r="AJ23" s="133"/>
      <c r="AK23">
        <v>2043</v>
      </c>
      <c r="AL23" s="8">
        <v>548.36175776758159</v>
      </c>
      <c r="AM23" s="8">
        <v>401.1645533175041</v>
      </c>
      <c r="AN23" s="8">
        <v>416.38099733444085</v>
      </c>
      <c r="AO23" s="8">
        <v>292.00955137581929</v>
      </c>
      <c r="AP23" s="8">
        <v>455.8675185154155</v>
      </c>
      <c r="AQ23" s="8">
        <v>601.08987830534477</v>
      </c>
      <c r="AR23" s="8">
        <v>599.47334026491455</v>
      </c>
      <c r="AS23" s="8">
        <v>408.74236652107402</v>
      </c>
      <c r="AT23" s="8">
        <v>408.74236652107402</v>
      </c>
      <c r="AU23" s="8">
        <v>430.18996554838714</v>
      </c>
      <c r="AW23">
        <v>2043</v>
      </c>
      <c r="AX23" s="133">
        <f t="shared" si="2"/>
        <v>750.41924994521219</v>
      </c>
      <c r="AY23" s="133">
        <f t="shared" si="5"/>
        <v>851.65614312022433</v>
      </c>
      <c r="AZ23" s="133">
        <f t="shared" si="5"/>
        <v>955.62270514903673</v>
      </c>
      <c r="BA23" s="133">
        <f t="shared" si="5"/>
        <v>748.0630861222503</v>
      </c>
      <c r="BB23" s="133">
        <f t="shared" si="5"/>
        <v>995.26594130863543</v>
      </c>
      <c r="BC23" s="133">
        <f t="shared" si="5"/>
        <v>1847.8394211261109</v>
      </c>
      <c r="BD23" s="133">
        <f t="shared" si="5"/>
        <v>4172.9957173386474</v>
      </c>
      <c r="BE23" s="133">
        <f t="shared" si="5"/>
        <v>827.90253292858563</v>
      </c>
      <c r="BF23" s="133">
        <f t="shared" si="5"/>
        <v>903.7812218772608</v>
      </c>
      <c r="BG23" s="133">
        <f t="shared" si="5"/>
        <v>866.18570594550044</v>
      </c>
      <c r="BI23">
        <v>2043</v>
      </c>
      <c r="BJ23" s="219">
        <f t="shared" si="4"/>
        <v>0</v>
      </c>
      <c r="BK23" s="219">
        <f t="shared" si="4"/>
        <v>0.13490711116806159</v>
      </c>
      <c r="BL23" s="219">
        <f t="shared" si="4"/>
        <v>0.27345174743159423</v>
      </c>
      <c r="BM23" s="219">
        <f t="shared" si="4"/>
        <v>-3.1397966178691602E-3</v>
      </c>
      <c r="BN23" s="219">
        <f t="shared" si="4"/>
        <v>0.32627986473068143</v>
      </c>
      <c r="BO23" s="219">
        <f t="shared" si="4"/>
        <v>1.4624094081555357</v>
      </c>
      <c r="BP23" s="219">
        <f t="shared" si="4"/>
        <v>4.5608857550540129</v>
      </c>
      <c r="BQ23" s="219">
        <f t="shared" si="4"/>
        <v>0.1032533253764885</v>
      </c>
      <c r="BR23" s="219">
        <f t="shared" si="4"/>
        <v>0.2043683873291437</v>
      </c>
      <c r="BS23" s="219">
        <f t="shared" si="4"/>
        <v>0.15426903828591859</v>
      </c>
      <c r="BT23" s="219"/>
      <c r="BU23" s="219"/>
      <c r="BV23" s="219"/>
      <c r="BW23" s="219"/>
      <c r="BX23" s="219"/>
      <c r="BY23" s="224">
        <v>2043</v>
      </c>
      <c r="BZ23" s="225">
        <f t="array" ref="BZ23">INDEX($AY$2:$BG$30,$AW23-2021,$BU$21)</f>
        <v>1847.8394211261109</v>
      </c>
      <c r="CA23" s="224">
        <f t="array" ref="CA23">INDEX($AM$2:$AU$30,$BY23-2021,$BU$21)</f>
        <v>601.08987830534477</v>
      </c>
      <c r="CB23" s="219">
        <f t="array" ref="CB23">INDEX($BK$2:$BS$30,BY23-2021,$BU$21)</f>
        <v>1.4624094081555357</v>
      </c>
    </row>
    <row r="24" spans="1:80" x14ac:dyDescent="0.25">
      <c r="A24">
        <v>2044</v>
      </c>
      <c r="B24" s="223">
        <f>'[7]WACOG Calc'!C71</f>
        <v>4.2603572813758426</v>
      </c>
      <c r="C24" s="223">
        <f>'[7]WACOG Calc'!D71</f>
        <v>4.2128591811741734</v>
      </c>
      <c r="D24" s="223">
        <f>'[7]WACOG Calc'!E71</f>
        <v>4.2005549395140545</v>
      </c>
      <c r="E24" s="223">
        <f>'[7]WACOG Calc'!F71</f>
        <v>4.0895701751765321</v>
      </c>
      <c r="F24" s="223">
        <f>'[7]WACOG Calc'!G71</f>
        <v>4.1620732694661999</v>
      </c>
      <c r="G24" s="223">
        <f>'[7]WACOG Calc'!H71</f>
        <v>4.0812959528142665</v>
      </c>
      <c r="H24" s="223">
        <f>'[7]WACOG Calc'!I71</f>
        <v>3.8107794940566229</v>
      </c>
      <c r="I24" s="223">
        <f>'[7]WACOG Calc'!J71</f>
        <v>4.2222931680153177</v>
      </c>
      <c r="J24" s="223">
        <f>'[7]WACOG Calc'!K71</f>
        <v>4.2222931679908982</v>
      </c>
      <c r="K24" s="223">
        <f>'[7]WACOG Calc'!L71</f>
        <v>4.2360061900379415</v>
      </c>
      <c r="M24">
        <v>2044</v>
      </c>
      <c r="N24" s="154">
        <v>4.6336525064190175</v>
      </c>
      <c r="O24" s="154">
        <v>4.777676399325431</v>
      </c>
      <c r="P24" s="154">
        <v>6.5226539377043293</v>
      </c>
      <c r="Q24" s="154">
        <v>3.8083452034104326</v>
      </c>
      <c r="R24" s="154">
        <v>3.7434963022475296</v>
      </c>
      <c r="S24" s="154">
        <v>2.6249185428721455</v>
      </c>
      <c r="T24" s="154">
        <v>4.5636507249046137</v>
      </c>
      <c r="U24" s="154">
        <v>3.2825341066551088</v>
      </c>
      <c r="V24" s="154">
        <v>5.9702989867492047</v>
      </c>
      <c r="W24" s="154">
        <v>3.7796534212100368</v>
      </c>
      <c r="Y24">
        <v>2044</v>
      </c>
      <c r="Z24" s="133">
        <v>489.06553653358293</v>
      </c>
      <c r="AA24" s="133">
        <v>489.06553653358293</v>
      </c>
      <c r="AB24" s="133">
        <v>489.06553653358293</v>
      </c>
      <c r="AC24" s="133">
        <v>489.06553653358293</v>
      </c>
      <c r="AD24" s="133">
        <f>$AC24*('Oregon Bill Impacts'!AD24/'Oregon Bill Impacts'!$AC24)</f>
        <v>610.10222910401876</v>
      </c>
      <c r="AE24" s="133">
        <f>$AC24*('Oregon Bill Impacts'!AE24/'Oregon Bill Impacts'!$AC24)</f>
        <v>1480.719299946757</v>
      </c>
      <c r="AF24" s="133">
        <f>$AC24*('Oregon Bill Impacts'!AF24/'Oregon Bill Impacts'!$AC24)</f>
        <v>3517.1834080589406</v>
      </c>
      <c r="AG24" s="133">
        <v>489.06553653358293</v>
      </c>
      <c r="AH24" s="133">
        <v>489.06553653358293</v>
      </c>
      <c r="AI24" s="133">
        <v>489.06553653358293</v>
      </c>
      <c r="AJ24" s="133"/>
      <c r="AK24">
        <v>2044</v>
      </c>
      <c r="AL24" s="8">
        <v>547.99762562253022</v>
      </c>
      <c r="AM24" s="8">
        <v>395.96704686900705</v>
      </c>
      <c r="AN24" s="8">
        <v>409.73712687317834</v>
      </c>
      <c r="AO24" s="8">
        <v>283.47660800210218</v>
      </c>
      <c r="AP24" s="8">
        <v>451.16213471388454</v>
      </c>
      <c r="AQ24" s="8">
        <v>602.26989595556472</v>
      </c>
      <c r="AR24" s="8">
        <v>598.00979252951083</v>
      </c>
      <c r="AS24" s="8">
        <v>403.33293965559739</v>
      </c>
      <c r="AT24" s="8">
        <v>403.33293965559739</v>
      </c>
      <c r="AU24" s="8">
        <v>425.45006643947858</v>
      </c>
      <c r="AW24">
        <v>2044</v>
      </c>
      <c r="AX24" s="133">
        <f t="shared" si="2"/>
        <v>760.82630549446208</v>
      </c>
      <c r="AY24" s="133">
        <f t="shared" si="5"/>
        <v>889.84935819295913</v>
      </c>
      <c r="AZ24" s="133">
        <f t="shared" si="5"/>
        <v>977.64228261103062</v>
      </c>
      <c r="BA24" s="133">
        <f t="shared" si="5"/>
        <v>750.73946973840009</v>
      </c>
      <c r="BB24" s="133">
        <f t="shared" si="5"/>
        <v>1018.0104879706298</v>
      </c>
      <c r="BC24" s="133">
        <f t="shared" si="5"/>
        <v>1984.4989743660462</v>
      </c>
      <c r="BD24" s="133">
        <f t="shared" si="5"/>
        <v>4230.9356102377596</v>
      </c>
      <c r="BE24" s="133">
        <f t="shared" si="5"/>
        <v>833.72321804528747</v>
      </c>
      <c r="BF24" s="133">
        <f t="shared" si="5"/>
        <v>947.87516884740728</v>
      </c>
      <c r="BG24" s="133">
        <f t="shared" si="5"/>
        <v>874.08669483108952</v>
      </c>
      <c r="BI24">
        <v>2044</v>
      </c>
      <c r="BJ24" s="219">
        <f t="shared" si="4"/>
        <v>0</v>
      </c>
      <c r="BK24" s="219">
        <f t="shared" si="4"/>
        <v>0.16958279671290385</v>
      </c>
      <c r="BL24" s="219">
        <f t="shared" si="4"/>
        <v>0.28497434375071923</v>
      </c>
      <c r="BM24" s="219">
        <f t="shared" si="4"/>
        <v>-1.3257737913657624E-2</v>
      </c>
      <c r="BN24" s="219">
        <f t="shared" si="4"/>
        <v>0.33803271603368573</v>
      </c>
      <c r="BO24" s="219">
        <f t="shared" si="4"/>
        <v>1.6083469512483768</v>
      </c>
      <c r="BP24" s="219">
        <f t="shared" si="4"/>
        <v>4.5609744033338453</v>
      </c>
      <c r="BQ24" s="219">
        <f t="shared" si="4"/>
        <v>9.5812818279790657E-2</v>
      </c>
      <c r="BR24" s="219">
        <f t="shared" si="4"/>
        <v>0.24584962691501824</v>
      </c>
      <c r="BS24" s="219">
        <f t="shared" si="4"/>
        <v>0.14886497551240602</v>
      </c>
      <c r="BT24" s="219"/>
      <c r="BU24" s="219"/>
      <c r="BV24" s="219"/>
      <c r="BW24" s="219"/>
      <c r="BX24" s="219"/>
      <c r="BY24" s="224">
        <v>2044</v>
      </c>
      <c r="BZ24" s="225">
        <f t="array" ref="BZ24">INDEX($AY$2:$BG$30,$AW24-2021,$BU$21)</f>
        <v>1984.4989743660462</v>
      </c>
      <c r="CA24" s="224">
        <f t="array" ref="CA24">INDEX($AM$2:$AU$30,$BY24-2021,$BU$21)</f>
        <v>602.26989595556472</v>
      </c>
      <c r="CB24" s="219">
        <f t="array" ref="CB24">INDEX($BK$2:$BS$30,BY24-2021,$BU$21)</f>
        <v>1.6083469512483768</v>
      </c>
    </row>
    <row r="25" spans="1:80" x14ac:dyDescent="0.25">
      <c r="A25">
        <v>2045</v>
      </c>
      <c r="B25" s="223">
        <f>'[7]WACOG Calc'!C72</f>
        <v>4.361266263937603</v>
      </c>
      <c r="C25" s="223">
        <f>'[7]WACOG Calc'!D72</f>
        <v>4.3111906933630815</v>
      </c>
      <c r="D25" s="223">
        <f>'[7]WACOG Calc'!E72</f>
        <v>4.2972988216551604</v>
      </c>
      <c r="E25" s="223">
        <f>'[7]WACOG Calc'!F72</f>
        <v>4.1898558544861659</v>
      </c>
      <c r="F25" s="223">
        <f>'[7]WACOG Calc'!G72</f>
        <v>4.2588054329416494</v>
      </c>
      <c r="G25" s="223">
        <f>'[7]WACOG Calc'!H72</f>
        <v>4.1851255186607172</v>
      </c>
      <c r="H25" s="223">
        <f>'[7]WACOG Calc'!I72</f>
        <v>3.8699902899238041</v>
      </c>
      <c r="I25" s="223">
        <f>'[7]WACOG Calc'!J72</f>
        <v>4.3182871457929402</v>
      </c>
      <c r="J25" s="223">
        <f>'[7]WACOG Calc'!K72</f>
        <v>4.3182871457750798</v>
      </c>
      <c r="K25" s="223">
        <f>'[7]WACOG Calc'!L72</f>
        <v>4.3336338162789287</v>
      </c>
      <c r="M25">
        <v>2045</v>
      </c>
      <c r="N25" s="154">
        <v>4.7592657228684594</v>
      </c>
      <c r="O25" s="154">
        <v>4.9135178063280236</v>
      </c>
      <c r="P25" s="154">
        <v>7.1310860977907389</v>
      </c>
      <c r="Q25" s="154">
        <v>4.2261942879908512</v>
      </c>
      <c r="R25" s="154">
        <v>4.1212591361481179</v>
      </c>
      <c r="S25" s="154">
        <v>2.672385153962094</v>
      </c>
      <c r="T25" s="154">
        <v>5.5559264153622276</v>
      </c>
      <c r="U25" s="154">
        <v>3.3283044664942931</v>
      </c>
      <c r="V25" s="154">
        <v>6.1179500471984252</v>
      </c>
      <c r="W25" s="154">
        <v>4.2443002474935501</v>
      </c>
      <c r="Y25">
        <v>2045</v>
      </c>
      <c r="Z25" s="133">
        <v>487.84893653358296</v>
      </c>
      <c r="AA25" s="133">
        <v>487.84893653358296</v>
      </c>
      <c r="AB25" s="133">
        <v>487.84893653358296</v>
      </c>
      <c r="AC25" s="133">
        <v>487.84893653358296</v>
      </c>
      <c r="AD25" s="133">
        <f>$AC25*('Oregon Bill Impacts'!AD25/'Oregon Bill Impacts'!$AC25)</f>
        <v>615.72654351411791</v>
      </c>
      <c r="AE25" s="133">
        <f>$AC25*('Oregon Bill Impacts'!AE25/'Oregon Bill Impacts'!$AC25)</f>
        <v>1614.4810395909726</v>
      </c>
      <c r="AF25" s="133">
        <f>$AC25*('Oregon Bill Impacts'!AF25/'Oregon Bill Impacts'!$AC25)</f>
        <v>3521.0664415706915</v>
      </c>
      <c r="AG25" s="133">
        <v>487.84893653358296</v>
      </c>
      <c r="AH25" s="133">
        <v>487.84893653358296</v>
      </c>
      <c r="AI25" s="133">
        <v>487.84893653358296</v>
      </c>
      <c r="AJ25" s="133"/>
      <c r="AK25">
        <v>2045</v>
      </c>
      <c r="AL25" s="8">
        <v>540.82755170778319</v>
      </c>
      <c r="AM25" s="8">
        <v>385.27749567322849</v>
      </c>
      <c r="AN25" s="8">
        <v>397.99569178824169</v>
      </c>
      <c r="AO25" s="8">
        <v>269.37870717735154</v>
      </c>
      <c r="AP25" s="8">
        <v>440.34955206518447</v>
      </c>
      <c r="AQ25" s="8">
        <v>595.94354319434592</v>
      </c>
      <c r="AR25" s="8">
        <v>587.20277484907558</v>
      </c>
      <c r="AS25" s="8">
        <v>392.43625344432257</v>
      </c>
      <c r="AT25" s="8">
        <v>392.43625344432257</v>
      </c>
      <c r="AU25" s="8">
        <v>414.83431207616024</v>
      </c>
      <c r="AW25">
        <v>2045</v>
      </c>
      <c r="AX25" s="133">
        <f t="shared" si="2"/>
        <v>762.07529842309214</v>
      </c>
      <c r="AY25" s="133">
        <f t="shared" si="5"/>
        <v>887.94877379962179</v>
      </c>
      <c r="AZ25" s="133">
        <f t="shared" si="5"/>
        <v>992.65650057237781</v>
      </c>
      <c r="BA25" s="133">
        <f t="shared" si="5"/>
        <v>752.43105580856241</v>
      </c>
      <c r="BB25" s="133">
        <f t="shared" si="5"/>
        <v>1036.9336539481292</v>
      </c>
      <c r="BC25" s="133">
        <f t="shared" si="5"/>
        <v>2130.3769082638823</v>
      </c>
      <c r="BD25" s="133">
        <f t="shared" si="5"/>
        <v>4290.5105070156123</v>
      </c>
      <c r="BE25" s="133">
        <f t="shared" si="5"/>
        <v>829.68914531324867</v>
      </c>
      <c r="BF25" s="133">
        <f t="shared" si="5"/>
        <v>944.96716904409845</v>
      </c>
      <c r="BG25" s="133">
        <f t="shared" si="5"/>
        <v>888.40670110264716</v>
      </c>
      <c r="BI25">
        <v>2045</v>
      </c>
      <c r="BJ25" s="219">
        <f t="shared" si="4"/>
        <v>0</v>
      </c>
      <c r="BK25" s="219">
        <f t="shared" si="4"/>
        <v>0.16517196612590729</v>
      </c>
      <c r="BL25" s="219">
        <f t="shared" si="4"/>
        <v>0.30257010380261745</v>
      </c>
      <c r="BM25" s="219">
        <f t="shared" si="4"/>
        <v>-1.2655235820509956E-2</v>
      </c>
      <c r="BN25" s="219">
        <f t="shared" si="4"/>
        <v>0.360670862962993</v>
      </c>
      <c r="BO25" s="219">
        <f t="shared" si="4"/>
        <v>1.7954939789704754</v>
      </c>
      <c r="BP25" s="219">
        <f t="shared" si="4"/>
        <v>4.6300348743669542</v>
      </c>
      <c r="BQ25" s="219">
        <f t="shared" si="4"/>
        <v>8.8723315176420264E-2</v>
      </c>
      <c r="BR25" s="219">
        <f t="shared" si="4"/>
        <v>0.239991863008093</v>
      </c>
      <c r="BS25" s="219">
        <f t="shared" si="4"/>
        <v>0.16577286121327323</v>
      </c>
      <c r="BT25" s="219"/>
      <c r="BU25" s="219"/>
      <c r="BV25" s="219"/>
      <c r="BW25" s="219"/>
      <c r="BX25" s="219"/>
      <c r="BY25" s="224">
        <v>2045</v>
      </c>
      <c r="BZ25" s="225">
        <f t="array" ref="BZ25">INDEX($AY$2:$BG$30,$AW25-2021,$BU$21)</f>
        <v>2130.3769082638823</v>
      </c>
      <c r="CA25" s="224">
        <f t="array" ref="CA25">INDEX($AM$2:$AU$30,$BY25-2021,$BU$21)</f>
        <v>595.94354319434592</v>
      </c>
      <c r="CB25" s="219">
        <f t="array" ref="CB25">INDEX($BK$2:$BS$30,BY25-2021,$BU$21)</f>
        <v>1.7954939789704754</v>
      </c>
    </row>
    <row r="26" spans="1:80" x14ac:dyDescent="0.25">
      <c r="A26">
        <v>2046</v>
      </c>
      <c r="B26" s="223">
        <f>'[7]WACOG Calc'!C73</f>
        <v>4.4064987112551979</v>
      </c>
      <c r="C26" s="223">
        <f>'[7]WACOG Calc'!D73</f>
        <v>4.352288148720068</v>
      </c>
      <c r="D26" s="223">
        <f>'[7]WACOG Calc'!E73</f>
        <v>4.3359938619759797</v>
      </c>
      <c r="E26" s="223">
        <f>'[7]WACOG Calc'!F73</f>
        <v>4.2296845518592372</v>
      </c>
      <c r="F26" s="223">
        <f>'[7]WACOG Calc'!G73</f>
        <v>4.2965526131007721</v>
      </c>
      <c r="G26" s="223">
        <f>'[7]WACOG Calc'!H73</f>
        <v>4.2099040279003344</v>
      </c>
      <c r="H26" s="223">
        <f>'[7]WACOG Calc'!I73</f>
        <v>3.9288948654356974</v>
      </c>
      <c r="I26" s="223">
        <f>'[7]WACOG Calc'!J73</f>
        <v>4.3592178027611101</v>
      </c>
      <c r="J26" s="223">
        <f>'[7]WACOG Calc'!K73</f>
        <v>4.3592178027890007</v>
      </c>
      <c r="K26" s="223">
        <f>'[7]WACOG Calc'!L73</f>
        <v>4.3753000146760277</v>
      </c>
      <c r="M26">
        <v>2046</v>
      </c>
      <c r="N26" s="154">
        <v>4.8918629475430437</v>
      </c>
      <c r="O26" s="154">
        <v>5.0462175146211301</v>
      </c>
      <c r="P26" s="154">
        <v>7.4991876300556788</v>
      </c>
      <c r="Q26" s="154">
        <v>4.3210220066047871</v>
      </c>
      <c r="R26" s="154">
        <v>4.20403451847851</v>
      </c>
      <c r="S26" s="154">
        <v>2.7141391738616107</v>
      </c>
      <c r="T26" s="154">
        <v>6.8445824975392933</v>
      </c>
      <c r="U26" s="154">
        <v>3.4012244123425464</v>
      </c>
      <c r="V26" s="154">
        <v>6.2930432176474129</v>
      </c>
      <c r="W26" s="154">
        <v>4.3493701035554961</v>
      </c>
      <c r="Y26">
        <v>2046</v>
      </c>
      <c r="Z26" s="133">
        <v>486.63233653358293</v>
      </c>
      <c r="AA26" s="133">
        <v>486.63233653358293</v>
      </c>
      <c r="AB26" s="133">
        <v>486.63233653358293</v>
      </c>
      <c r="AC26" s="133">
        <v>486.63233653358293</v>
      </c>
      <c r="AD26" s="133">
        <f>$AC26*('Oregon Bill Impacts'!AD26/'Oregon Bill Impacts'!$AC26)</f>
        <v>621.3204378897716</v>
      </c>
      <c r="AE26" s="133">
        <f>$AC26*('Oregon Bill Impacts'!AE26/'Oregon Bill Impacts'!$AC26)</f>
        <v>1774.1516892952343</v>
      </c>
      <c r="AF26" s="133">
        <f>$AC26*('Oregon Bill Impacts'!AF26/'Oregon Bill Impacts'!$AC26)</f>
        <v>3524.6598783084933</v>
      </c>
      <c r="AG26" s="133">
        <v>486.63233653358293</v>
      </c>
      <c r="AH26" s="133">
        <v>486.63233653358293</v>
      </c>
      <c r="AI26" s="133">
        <v>486.63233653358293</v>
      </c>
      <c r="AJ26" s="133"/>
      <c r="AK26">
        <v>2046</v>
      </c>
      <c r="AL26" s="8">
        <v>537.1555393070804</v>
      </c>
      <c r="AM26" s="8">
        <v>376.9954419059992</v>
      </c>
      <c r="AN26" s="8">
        <v>389.03920591343388</v>
      </c>
      <c r="AO26" s="8">
        <v>256.62435621771539</v>
      </c>
      <c r="AP26" s="8">
        <v>432.15451155221348</v>
      </c>
      <c r="AQ26" s="8">
        <v>593.3448200155857</v>
      </c>
      <c r="AR26" s="8">
        <v>556.63676104173123</v>
      </c>
      <c r="AS26" s="8">
        <v>384.01992671643313</v>
      </c>
      <c r="AT26" s="8">
        <v>384.01992671643313</v>
      </c>
      <c r="AU26" s="8">
        <v>406.76654648967565</v>
      </c>
      <c r="AW26">
        <v>2046</v>
      </c>
      <c r="AX26" s="133">
        <f t="shared" si="2"/>
        <v>761.66633805589811</v>
      </c>
      <c r="AY26" s="133">
        <f t="shared" si="5"/>
        <v>885.52215706837683</v>
      </c>
      <c r="AZ26" s="133">
        <f t="shared" si="5"/>
        <v>997.26186425035667</v>
      </c>
      <c r="BA26" s="133">
        <f t="shared" si="5"/>
        <v>743.48570064569947</v>
      </c>
      <c r="BB26" s="133">
        <f t="shared" si="5"/>
        <v>1041.0770345960968</v>
      </c>
      <c r="BC26" s="133">
        <f t="shared" si="5"/>
        <v>2300.7904749476866</v>
      </c>
      <c r="BD26" s="133">
        <f t="shared" si="5"/>
        <v>4342.9418480928825</v>
      </c>
      <c r="BE26" s="133">
        <f t="shared" si="5"/>
        <v>826.23516703186021</v>
      </c>
      <c r="BF26" s="133">
        <f t="shared" si="5"/>
        <v>943.17250664418475</v>
      </c>
      <c r="BG26" s="133">
        <f t="shared" si="5"/>
        <v>886.12343454158349</v>
      </c>
      <c r="BI26">
        <v>2046</v>
      </c>
      <c r="BJ26" s="219">
        <f t="shared" si="4"/>
        <v>0</v>
      </c>
      <c r="BK26" s="219">
        <f t="shared" si="4"/>
        <v>0.16261164872877581</v>
      </c>
      <c r="BL26" s="219">
        <f t="shared" si="4"/>
        <v>0.30931592276455361</v>
      </c>
      <c r="BM26" s="219">
        <f t="shared" si="4"/>
        <v>-2.3869556132155571E-2</v>
      </c>
      <c r="BN26" s="219">
        <f t="shared" si="4"/>
        <v>0.36684133534557356</v>
      </c>
      <c r="BO26" s="219">
        <f t="shared" si="4"/>
        <v>2.0207327802096375</v>
      </c>
      <c r="BP26" s="219">
        <f t="shared" si="4"/>
        <v>4.7018954771953672</v>
      </c>
      <c r="BQ26" s="219">
        <f t="shared" si="4"/>
        <v>8.4773116192543949E-2</v>
      </c>
      <c r="BR26" s="219">
        <f t="shared" si="4"/>
        <v>0.23830141824511883</v>
      </c>
      <c r="BS26" s="219">
        <f t="shared" si="4"/>
        <v>0.16340107244775148</v>
      </c>
      <c r="BT26" s="219"/>
      <c r="BU26" s="219"/>
      <c r="BV26" s="219"/>
      <c r="BW26" s="219"/>
      <c r="BX26" s="219"/>
      <c r="BY26" s="224">
        <v>2046</v>
      </c>
      <c r="BZ26" s="225">
        <f t="array" ref="BZ26">INDEX($AY$2:$BG$30,$AW26-2021,$BU$21)</f>
        <v>2300.7904749476866</v>
      </c>
      <c r="CA26" s="224">
        <f t="array" ref="CA26">INDEX($AM$2:$AU$30,$BY26-2021,$BU$21)</f>
        <v>593.3448200155857</v>
      </c>
      <c r="CB26" s="219">
        <f t="array" ref="CB26">INDEX($BK$2:$BS$30,BY26-2021,$BU$21)</f>
        <v>2.0207327802096375</v>
      </c>
    </row>
    <row r="27" spans="1:80" x14ac:dyDescent="0.25">
      <c r="A27">
        <v>2047</v>
      </c>
      <c r="B27" s="223">
        <f>'[7]WACOG Calc'!C74</f>
        <v>4.5027513476427492</v>
      </c>
      <c r="C27" s="223">
        <f>'[7]WACOG Calc'!D74</f>
        <v>4.4447116529880786</v>
      </c>
      <c r="D27" s="223">
        <f>'[7]WACOG Calc'!E74</f>
        <v>4.4253241373285181</v>
      </c>
      <c r="E27" s="223">
        <f>'[7]WACOG Calc'!F74</f>
        <v>4.3057982364108174</v>
      </c>
      <c r="F27" s="223">
        <f>'[7]WACOG Calc'!G74</f>
        <v>4.3857722558733547</v>
      </c>
      <c r="G27" s="223">
        <f>'[7]WACOG Calc'!H74</f>
        <v>4.2656574260057427</v>
      </c>
      <c r="H27" s="223">
        <f>'[7]WACOG Calc'!I74</f>
        <v>4.0177667213342243</v>
      </c>
      <c r="I27" s="223">
        <f>'[7]WACOG Calc'!J74</f>
        <v>4.451960301848823</v>
      </c>
      <c r="J27" s="223">
        <f>'[7]WACOG Calc'!K74</f>
        <v>4.4519603018072118</v>
      </c>
      <c r="K27" s="223">
        <f>'[7]WACOG Calc'!L74</f>
        <v>4.4690162585062154</v>
      </c>
      <c r="M27">
        <v>2047</v>
      </c>
      <c r="N27" s="154">
        <v>4.2748885278328972</v>
      </c>
      <c r="O27" s="154">
        <v>4.4241310863506405</v>
      </c>
      <c r="P27" s="154">
        <v>7.1201503072991947</v>
      </c>
      <c r="Q27" s="154">
        <v>4.0281376342195747</v>
      </c>
      <c r="R27" s="154">
        <v>3.8391087047026553</v>
      </c>
      <c r="S27" s="154">
        <v>2.7487670215638262</v>
      </c>
      <c r="T27" s="154">
        <v>7.882858286524784</v>
      </c>
      <c r="U27" s="154">
        <v>3.4650050501027994</v>
      </c>
      <c r="V27" s="154">
        <v>5.7079443370194234</v>
      </c>
      <c r="W27" s="154">
        <v>4.0162058185702509</v>
      </c>
      <c r="Y27">
        <v>2047</v>
      </c>
      <c r="Z27" s="133">
        <v>485.41573653358296</v>
      </c>
      <c r="AA27" s="133">
        <v>485.41573653358296</v>
      </c>
      <c r="AB27" s="133">
        <v>485.41573653358296</v>
      </c>
      <c r="AC27" s="133">
        <v>485.41573653358296</v>
      </c>
      <c r="AD27" s="133">
        <f>$AC27*('Oregon Bill Impacts'!AD27/'Oregon Bill Impacts'!$AC27)</f>
        <v>626.88410528222221</v>
      </c>
      <c r="AE27" s="133">
        <f>$AC27*('Oregon Bill Impacts'!AE27/'Oregon Bill Impacts'!$AC27)</f>
        <v>1968.1367791440809</v>
      </c>
      <c r="AF27" s="133">
        <f>$AC27*('Oregon Bill Impacts'!AF27/'Oregon Bill Impacts'!$AC27)</f>
        <v>3527.9698751903002</v>
      </c>
      <c r="AG27" s="133">
        <v>485.41573653358296</v>
      </c>
      <c r="AH27" s="133">
        <v>485.41573653358296</v>
      </c>
      <c r="AI27" s="133">
        <v>485.41573653358296</v>
      </c>
      <c r="AJ27" s="133"/>
      <c r="AK27">
        <v>2047</v>
      </c>
      <c r="AL27" s="8">
        <v>533.50636235825777</v>
      </c>
      <c r="AM27" s="8">
        <v>368.90946193003714</v>
      </c>
      <c r="AN27" s="8">
        <v>380.41893309503155</v>
      </c>
      <c r="AO27" s="8">
        <v>244.2598726796281</v>
      </c>
      <c r="AP27" s="8">
        <v>424.00736055912461</v>
      </c>
      <c r="AQ27" s="8">
        <v>590.68262018890516</v>
      </c>
      <c r="AR27" s="8">
        <v>485.5416952076888</v>
      </c>
      <c r="AS27" s="8">
        <v>375.80275660813874</v>
      </c>
      <c r="AT27" s="8">
        <v>375.80275660813874</v>
      </c>
      <c r="AU27" s="8">
        <v>398.85725004130239</v>
      </c>
      <c r="AW27">
        <v>2047</v>
      </c>
      <c r="AX27" s="133">
        <f t="shared" si="2"/>
        <v>764.09932618637401</v>
      </c>
      <c r="AY27" s="133">
        <f t="shared" si="5"/>
        <v>855.66331087645051</v>
      </c>
      <c r="AZ27" s="133">
        <f t="shared" si="5"/>
        <v>973.63269807258189</v>
      </c>
      <c r="BA27" s="133">
        <f t="shared" si="5"/>
        <v>725.49630644570516</v>
      </c>
      <c r="BB27" s="133">
        <f t="shared" si="5"/>
        <v>1027.3332429179993</v>
      </c>
      <c r="BC27" s="133">
        <f t="shared" si="5"/>
        <v>2508.7373722620473</v>
      </c>
      <c r="BD27" s="133">
        <f t="shared" si="5"/>
        <v>4323.4019657039125</v>
      </c>
      <c r="BE27" s="133">
        <f t="shared" si="5"/>
        <v>824.43316313046023</v>
      </c>
      <c r="BF27" s="133">
        <f t="shared" si="5"/>
        <v>913.19082448632776</v>
      </c>
      <c r="BG27" s="133">
        <f t="shared" si="5"/>
        <v>867.51928435646767</v>
      </c>
      <c r="BI27">
        <v>2047</v>
      </c>
      <c r="BJ27" s="219">
        <f t="shared" si="4"/>
        <v>0</v>
      </c>
      <c r="BK27" s="219">
        <f t="shared" si="4"/>
        <v>0.11983256829589563</v>
      </c>
      <c r="BL27" s="219">
        <f t="shared" si="4"/>
        <v>0.27422268899514757</v>
      </c>
      <c r="BM27" s="219">
        <f t="shared" si="4"/>
        <v>-5.0520944617680585E-2</v>
      </c>
      <c r="BN27" s="219">
        <f t="shared" si="4"/>
        <v>0.34450222335023895</v>
      </c>
      <c r="BO27" s="219">
        <f t="shared" si="4"/>
        <v>2.2832608095379117</v>
      </c>
      <c r="BP27" s="219">
        <f t="shared" si="4"/>
        <v>4.6581674888813831</v>
      </c>
      <c r="BQ27" s="219">
        <f t="shared" si="4"/>
        <v>7.8960725230858259E-2</v>
      </c>
      <c r="BR27" s="219">
        <f t="shared" si="4"/>
        <v>0.19512057292874557</v>
      </c>
      <c r="BS27" s="219">
        <f t="shared" si="4"/>
        <v>0.13534884095012034</v>
      </c>
      <c r="BT27" s="219"/>
      <c r="BU27" s="219"/>
      <c r="BV27" s="219"/>
      <c r="BW27" s="219"/>
      <c r="BX27" s="219"/>
      <c r="BY27" s="224">
        <v>2047</v>
      </c>
      <c r="BZ27" s="225">
        <f t="array" ref="BZ27">INDEX($AY$2:$BG$30,$AW27-2021,$BU$21)</f>
        <v>2508.7373722620473</v>
      </c>
      <c r="CA27" s="224">
        <f t="array" ref="CA27">INDEX($AM$2:$AU$30,$BY27-2021,$BU$21)</f>
        <v>590.68262018890516</v>
      </c>
      <c r="CB27" s="219">
        <f t="array" ref="CB27">INDEX($BK$2:$BS$30,BY27-2021,$BU$21)</f>
        <v>2.2832608095379117</v>
      </c>
    </row>
    <row r="28" spans="1:80" x14ac:dyDescent="0.25">
      <c r="A28">
        <v>2048</v>
      </c>
      <c r="B28" s="223">
        <f>'[7]WACOG Calc'!C75</f>
        <v>4.7042654840041109</v>
      </c>
      <c r="C28" s="223">
        <f>'[7]WACOG Calc'!D75</f>
        <v>4.6373431699786236</v>
      </c>
      <c r="D28" s="223">
        <f>'[7]WACOG Calc'!E75</f>
        <v>4.6133985564962572</v>
      </c>
      <c r="E28" s="223">
        <f>'[7]WACOG Calc'!F75</f>
        <v>4.5241727834859375</v>
      </c>
      <c r="F28" s="223">
        <f>'[7]WACOG Calc'!G75</f>
        <v>4.5709015941451243</v>
      </c>
      <c r="G28" s="223">
        <f>'[7]WACOG Calc'!H75</f>
        <v>4.5102561358589401</v>
      </c>
      <c r="H28" s="223">
        <f>'[7]WACOG Calc'!I75</f>
        <v>4.1980267025263966</v>
      </c>
      <c r="I28" s="223">
        <f>'[7]WACOG Calc'!J75</f>
        <v>4.6447615678293053</v>
      </c>
      <c r="J28" s="223">
        <f>'[7]WACOG Calc'!K75</f>
        <v>4.6447615678944638</v>
      </c>
      <c r="K28" s="223">
        <f>'[7]WACOG Calc'!L75</f>
        <v>4.6626366092030196</v>
      </c>
      <c r="M28">
        <v>2048</v>
      </c>
      <c r="N28" s="154">
        <v>5.1701662495559155</v>
      </c>
      <c r="O28" s="154">
        <v>5.3194173230785156</v>
      </c>
      <c r="P28" s="154">
        <v>8.2671954920187805</v>
      </c>
      <c r="Q28" s="154">
        <v>4.1267198372731881</v>
      </c>
      <c r="R28" s="154">
        <v>4.0968498689411597</v>
      </c>
      <c r="S28" s="154">
        <v>2.7943915533899628</v>
      </c>
      <c r="T28" s="154">
        <v>8.4360695898858058</v>
      </c>
      <c r="U28" s="154">
        <v>3.5496776134847794</v>
      </c>
      <c r="V28" s="154">
        <v>6.6267997013841233</v>
      </c>
      <c r="W28" s="154">
        <v>4.255255900668824</v>
      </c>
      <c r="Y28">
        <v>2048</v>
      </c>
      <c r="Z28" s="133">
        <v>484.19913653358293</v>
      </c>
      <c r="AA28" s="133">
        <v>484.19913653358293</v>
      </c>
      <c r="AB28" s="133">
        <v>484.19913653358293</v>
      </c>
      <c r="AC28" s="133">
        <v>484.19913653358293</v>
      </c>
      <c r="AD28" s="133">
        <f>$AC28*('Oregon Bill Impacts'!AD28/'Oregon Bill Impacts'!$AC28)</f>
        <v>632.41760659710872</v>
      </c>
      <c r="AE28" s="133">
        <f>$AC28*('Oregon Bill Impacts'!AE28/'Oregon Bill Impacts'!$AC28)</f>
        <v>2208.9160431314308</v>
      </c>
      <c r="AF28" s="133">
        <f>$AC28*('Oregon Bill Impacts'!AF28/'Oregon Bill Impacts'!$AC28)</f>
        <v>3531.0019581027714</v>
      </c>
      <c r="AG28" s="133">
        <v>484.19913653358293</v>
      </c>
      <c r="AH28" s="133">
        <v>484.19913653358293</v>
      </c>
      <c r="AI28" s="133">
        <v>484.19913653358293</v>
      </c>
      <c r="AJ28" s="133"/>
      <c r="AK28">
        <v>2048</v>
      </c>
      <c r="AL28" s="8">
        <v>533.2761721718017</v>
      </c>
      <c r="AM28" s="8">
        <v>363.77766619421698</v>
      </c>
      <c r="AN28" s="8">
        <v>374.72490817085952</v>
      </c>
      <c r="AO28" s="8">
        <v>235.53294964168492</v>
      </c>
      <c r="AP28" s="8">
        <v>418.99849766385381</v>
      </c>
      <c r="AQ28" s="8">
        <v>591.69124435685239</v>
      </c>
      <c r="AR28" s="8">
        <v>486.80958409497305</v>
      </c>
      <c r="AS28" s="8">
        <v>370.54393424818147</v>
      </c>
      <c r="AT28" s="8">
        <v>370.54393424818147</v>
      </c>
      <c r="AU28" s="8">
        <v>394.06049649228629</v>
      </c>
      <c r="AW28">
        <v>2048</v>
      </c>
      <c r="AX28" s="133">
        <f t="shared" si="2"/>
        <v>774.02492504683187</v>
      </c>
      <c r="AY28" s="133">
        <f t="shared" si="5"/>
        <v>891.26324987537475</v>
      </c>
      <c r="AZ28" s="133">
        <f t="shared" si="5"/>
        <v>1018.1110339081389</v>
      </c>
      <c r="BA28" s="133">
        <f t="shared" si="5"/>
        <v>724.4178387267558</v>
      </c>
      <c r="BB28" s="133">
        <f t="shared" si="5"/>
        <v>1048.361630520569</v>
      </c>
      <c r="BC28" s="133">
        <f t="shared" si="5"/>
        <v>2781.1053107298576</v>
      </c>
      <c r="BD28" s="133">
        <f t="shared" si="5"/>
        <v>4365.782093590803</v>
      </c>
      <c r="BE28" s="133">
        <f t="shared" si="5"/>
        <v>829.59458267598791</v>
      </c>
      <c r="BF28" s="133">
        <f t="shared" si="5"/>
        <v>949.65858244019512</v>
      </c>
      <c r="BG28" s="133">
        <f t="shared" si="5"/>
        <v>879.90580827591293</v>
      </c>
      <c r="BI28">
        <v>2048</v>
      </c>
      <c r="BJ28" s="219">
        <f t="shared" si="4"/>
        <v>0</v>
      </c>
      <c r="BK28" s="219">
        <f t="shared" si="4"/>
        <v>0.15146582627355243</v>
      </c>
      <c r="BL28" s="219">
        <f t="shared" si="4"/>
        <v>0.31534657471984995</v>
      </c>
      <c r="BM28" s="219">
        <f t="shared" si="4"/>
        <v>-6.4089778913869758E-2</v>
      </c>
      <c r="BN28" s="219">
        <f t="shared" si="4"/>
        <v>0.35442877431516628</v>
      </c>
      <c r="BO28" s="219">
        <f t="shared" si="4"/>
        <v>2.5930436097540253</v>
      </c>
      <c r="BP28" s="219">
        <f t="shared" si="4"/>
        <v>4.6403637044719899</v>
      </c>
      <c r="BQ28" s="219">
        <f t="shared" si="4"/>
        <v>7.1793111346890842E-2</v>
      </c>
      <c r="BR28" s="219">
        <f t="shared" si="4"/>
        <v>0.2269095628706487</v>
      </c>
      <c r="BS28" s="219">
        <f t="shared" si="4"/>
        <v>0.13679260163705298</v>
      </c>
      <c r="BT28" s="219"/>
      <c r="BU28" s="219"/>
      <c r="BV28" s="219"/>
      <c r="BW28" s="219"/>
      <c r="BX28" s="219"/>
      <c r="BY28" s="224">
        <v>2048</v>
      </c>
      <c r="BZ28" s="225">
        <f t="array" ref="BZ28">INDEX($AY$2:$BG$30,$AW28-2021,$BU$21)</f>
        <v>2781.1053107298576</v>
      </c>
      <c r="CA28" s="224">
        <f t="array" ref="CA28">INDEX($AM$2:$AU$30,$BY28-2021,$BU$21)</f>
        <v>591.69124435685239</v>
      </c>
      <c r="CB28" s="219">
        <f t="array" ref="CB28">INDEX($BK$2:$BS$30,BY28-2021,$BU$21)</f>
        <v>2.5930436097540253</v>
      </c>
    </row>
    <row r="29" spans="1:80" x14ac:dyDescent="0.25">
      <c r="A29">
        <v>2049</v>
      </c>
      <c r="B29" s="223">
        <f>'[7]WACOG Calc'!C76</f>
        <v>4.8534161872612875</v>
      </c>
      <c r="C29" s="223">
        <f>'[7]WACOG Calc'!D76</f>
        <v>4.7713619203691042</v>
      </c>
      <c r="D29" s="223">
        <f>'[7]WACOG Calc'!E76</f>
        <v>4.7446519924627761</v>
      </c>
      <c r="E29" s="223">
        <f>'[7]WACOG Calc'!F76</f>
        <v>4.6408489217550359</v>
      </c>
      <c r="F29" s="223">
        <f>'[7]WACOG Calc'!G76</f>
        <v>4.7011625589912649</v>
      </c>
      <c r="G29" s="223">
        <f>'[7]WACOG Calc'!H76</f>
        <v>4.5994608678601256</v>
      </c>
      <c r="H29" s="223">
        <f>'[7]WACOG Calc'!I76</f>
        <v>4.3538962743593581</v>
      </c>
      <c r="I29" s="223">
        <f>'[7]WACOG Calc'!J76</f>
        <v>4.7780782257386809</v>
      </c>
      <c r="J29" s="223">
        <f>'[7]WACOG Calc'!K76</f>
        <v>4.7780782257878132</v>
      </c>
      <c r="K29" s="223">
        <f>'[7]WACOG Calc'!L76</f>
        <v>4.7968896136586334</v>
      </c>
      <c r="M29">
        <v>2049</v>
      </c>
      <c r="N29" s="154">
        <v>4.8695276423571663</v>
      </c>
      <c r="O29" s="154">
        <v>5.180992423703259</v>
      </c>
      <c r="P29" s="154">
        <v>8.2594771699416061</v>
      </c>
      <c r="Q29" s="154">
        <v>4.3973643676613596</v>
      </c>
      <c r="R29" s="154">
        <v>4.3491979041303779</v>
      </c>
      <c r="S29" s="154">
        <v>2.9300911597112673</v>
      </c>
      <c r="T29" s="154">
        <v>9.0779762718161692</v>
      </c>
      <c r="U29" s="154">
        <v>3.6497839713444948</v>
      </c>
      <c r="V29" s="154">
        <v>6.8114556573519067</v>
      </c>
      <c r="W29" s="154">
        <v>4.4867265964915832</v>
      </c>
      <c r="Y29">
        <v>2049</v>
      </c>
      <c r="Z29" s="133">
        <v>482.98253653358296</v>
      </c>
      <c r="AA29" s="133">
        <v>482.98253653358296</v>
      </c>
      <c r="AB29" s="133">
        <v>482.98253653358296</v>
      </c>
      <c r="AC29" s="133">
        <v>482.98253653358296</v>
      </c>
      <c r="AD29" s="133">
        <f>$AC29*('Oregon Bill Impacts'!AD29/'Oregon Bill Impacts'!$AC29)</f>
        <v>637.92088774322178</v>
      </c>
      <c r="AE29" s="133">
        <f>$AC29*('Oregon Bill Impacts'!AE29/'Oregon Bill Impacts'!$AC29)</f>
        <v>2515.8526898243294</v>
      </c>
      <c r="AF29" s="133">
        <f>$AC29*('Oregon Bill Impacts'!AF29/'Oregon Bill Impacts'!$AC29)</f>
        <v>3533.7611120038769</v>
      </c>
      <c r="AG29" s="133">
        <v>482.98253653358296</v>
      </c>
      <c r="AH29" s="133">
        <v>482.98253653358296</v>
      </c>
      <c r="AI29" s="133">
        <v>482.98253653358296</v>
      </c>
      <c r="AJ29" s="133"/>
      <c r="AK29">
        <v>2049</v>
      </c>
      <c r="AL29" s="8">
        <v>526.33618465370159</v>
      </c>
      <c r="AM29" s="8">
        <v>354.17769257470945</v>
      </c>
      <c r="AN29" s="8">
        <v>364.51947051152933</v>
      </c>
      <c r="AO29" s="8">
        <v>224.44748324758118</v>
      </c>
      <c r="AP29" s="8">
        <v>409.06447307035916</v>
      </c>
      <c r="AQ29" s="8">
        <v>585.23817147226623</v>
      </c>
      <c r="AR29" s="8">
        <v>481.74034899672171</v>
      </c>
      <c r="AS29" s="8">
        <v>360.6175343987025</v>
      </c>
      <c r="AT29" s="8">
        <v>360.6175343987025</v>
      </c>
      <c r="AU29" s="8">
        <v>384.2373526086194</v>
      </c>
      <c r="AW29">
        <v>2049</v>
      </c>
      <c r="AX29" s="133">
        <f t="shared" si="2"/>
        <v>777.57246818408498</v>
      </c>
      <c r="AY29" s="133">
        <f t="shared" si="5"/>
        <v>879.75278075233439</v>
      </c>
      <c r="AZ29" s="133">
        <f t="shared" si="5"/>
        <v>1007.7298075109198</v>
      </c>
      <c r="BA29" s="133">
        <f t="shared" si="5"/>
        <v>722.19263595337907</v>
      </c>
      <c r="BB29" s="133">
        <f t="shared" si="5"/>
        <v>1061.5703471378806</v>
      </c>
      <c r="BC29" s="133">
        <f t="shared" si="5"/>
        <v>3113.2058891284287</v>
      </c>
      <c r="BD29" s="133">
        <f t="shared" si="5"/>
        <v>4402.4125250782836</v>
      </c>
      <c r="BE29" s="133">
        <f t="shared" si="5"/>
        <v>828.61204444082955</v>
      </c>
      <c r="BF29" s="133">
        <f t="shared" si="5"/>
        <v>948.67028675564018</v>
      </c>
      <c r="BG29" s="133">
        <f t="shared" si="5"/>
        <v>884.19751670280095</v>
      </c>
      <c r="BI29">
        <v>2049</v>
      </c>
      <c r="BJ29" s="219">
        <f t="shared" si="4"/>
        <v>0</v>
      </c>
      <c r="BK29" s="219">
        <f t="shared" si="4"/>
        <v>0.13140937565199248</v>
      </c>
      <c r="BL29" s="219">
        <f t="shared" si="4"/>
        <v>0.29599471270418831</v>
      </c>
      <c r="BM29" s="219">
        <f t="shared" si="4"/>
        <v>-7.1221441726245782E-2</v>
      </c>
      <c r="BN29" s="219">
        <f t="shared" si="4"/>
        <v>0.36523654138248252</v>
      </c>
      <c r="BO29" s="219">
        <f t="shared" si="4"/>
        <v>3.0037501538588409</v>
      </c>
      <c r="BP29" s="219">
        <f t="shared" si="4"/>
        <v>4.6617392014399908</v>
      </c>
      <c r="BQ29" s="219">
        <f t="shared" si="4"/>
        <v>6.5639639191367685E-2</v>
      </c>
      <c r="BR29" s="219">
        <f t="shared" si="4"/>
        <v>0.22004099369815772</v>
      </c>
      <c r="BS29" s="219">
        <f t="shared" si="4"/>
        <v>0.13712554505398616</v>
      </c>
      <c r="BT29" s="219"/>
      <c r="BU29" s="219"/>
      <c r="BV29" s="219"/>
      <c r="BW29" s="219"/>
      <c r="BX29" s="219"/>
      <c r="BY29" s="224">
        <v>2049</v>
      </c>
      <c r="BZ29" s="225">
        <f t="array" ref="BZ29">INDEX($AY$2:$BG$30,$AW29-2021,$BU$21)</f>
        <v>3113.2058891284287</v>
      </c>
      <c r="CA29" s="224">
        <f t="array" ref="CA29">INDEX($AM$2:$AU$30,$BY29-2021,$BU$21)</f>
        <v>585.23817147226623</v>
      </c>
      <c r="CB29" s="219">
        <f t="array" ref="CB29">INDEX($BK$2:$BS$30,BY29-2021,$BU$21)</f>
        <v>3.0037501538588409</v>
      </c>
    </row>
    <row r="30" spans="1:80" x14ac:dyDescent="0.25">
      <c r="A30">
        <v>2050</v>
      </c>
      <c r="B30" s="223">
        <f>'[7]WACOG Calc'!C77</f>
        <v>5.0911993324354556</v>
      </c>
      <c r="C30" s="223">
        <f>'[7]WACOG Calc'!D77</f>
        <v>4.9907904981615623</v>
      </c>
      <c r="D30" s="223">
        <f>'[7]WACOG Calc'!E77</f>
        <v>4.977915972202525</v>
      </c>
      <c r="E30" s="223">
        <f>'[7]WACOG Calc'!F77</f>
        <v>4.9007414613828342</v>
      </c>
      <c r="F30" s="223">
        <f>'[7]WACOG Calc'!G77</f>
        <v>4.9573502339054833</v>
      </c>
      <c r="G30" s="223">
        <f>'[7]WACOG Calc'!H77</f>
        <v>4.8302817950352726</v>
      </c>
      <c r="H30" s="223">
        <f>'[7]WACOG Calc'!I77</f>
        <v>4.5976408275586529</v>
      </c>
      <c r="I30" s="223">
        <f>'[7]WACOG Calc'!J77</f>
        <v>4.9932412251712002</v>
      </c>
      <c r="J30" s="223">
        <f>'[7]WACOG Calc'!K77</f>
        <v>4.9932412252323921</v>
      </c>
      <c r="K30" s="223">
        <f>'[7]WACOG Calc'!L77</f>
        <v>5.0025412423016702</v>
      </c>
      <c r="M30">
        <v>2050</v>
      </c>
      <c r="N30" s="154">
        <v>4.9138969467036047</v>
      </c>
      <c r="O30" s="154">
        <v>5.1690591235235237</v>
      </c>
      <c r="P30" s="154">
        <v>8.5452323434125859</v>
      </c>
      <c r="Q30" s="154">
        <v>4.427440139997401</v>
      </c>
      <c r="R30" s="154">
        <v>4.2842816408454087</v>
      </c>
      <c r="S30" s="154">
        <v>3.0574462168740513</v>
      </c>
      <c r="T30" s="154">
        <v>9.7422193623304061</v>
      </c>
      <c r="U30" s="154">
        <v>3.665220253792723</v>
      </c>
      <c r="V30" s="154">
        <v>6.9526496371723585</v>
      </c>
      <c r="W30" s="154">
        <v>4.5467204401019838</v>
      </c>
      <c r="Y30">
        <v>2050</v>
      </c>
      <c r="Z30" s="133">
        <v>481.76593653358293</v>
      </c>
      <c r="AA30" s="133">
        <v>481.76593653358293</v>
      </c>
      <c r="AB30" s="133">
        <v>481.76593653358293</v>
      </c>
      <c r="AC30" s="133">
        <v>481.76593653358293</v>
      </c>
      <c r="AD30" s="133">
        <f>$AC30*('Oregon Bill Impacts'!AD30/'Oregon Bill Impacts'!$AC30)</f>
        <v>643.39379444395411</v>
      </c>
      <c r="AE30" s="133">
        <f>$AC30*('Oregon Bill Impacts'!AE30/'Oregon Bill Impacts'!$AC30)</f>
        <v>2920.6988960571493</v>
      </c>
      <c r="AF30" s="133">
        <f>$AC30*('Oregon Bill Impacts'!AF30/'Oregon Bill Impacts'!$AC30)</f>
        <v>3536.2518581577665</v>
      </c>
      <c r="AG30" s="133">
        <v>481.76593653358293</v>
      </c>
      <c r="AH30" s="133">
        <v>481.76593653358293</v>
      </c>
      <c r="AI30" s="133">
        <v>481.76593653358293</v>
      </c>
      <c r="AJ30" s="133"/>
      <c r="AK30">
        <v>2050</v>
      </c>
      <c r="AL30" s="8">
        <v>522.86082006626702</v>
      </c>
      <c r="AM30" s="8">
        <v>346.89937174741965</v>
      </c>
      <c r="AN30" s="8">
        <v>356.84595227242727</v>
      </c>
      <c r="AO30" s="8">
        <v>213.17232197092309</v>
      </c>
      <c r="AP30" s="8">
        <v>402.09566224216314</v>
      </c>
      <c r="AQ30" s="8">
        <v>582.50108824342874</v>
      </c>
      <c r="AR30" s="8">
        <v>479.87731257293632</v>
      </c>
      <c r="AS30" s="8">
        <v>352.51499354392485</v>
      </c>
      <c r="AT30" s="8">
        <v>352.51499354392485</v>
      </c>
      <c r="AU30" s="8">
        <v>376.35416860242788</v>
      </c>
      <c r="AW30">
        <v>2050</v>
      </c>
      <c r="AX30" s="133">
        <f t="shared" si="2"/>
        <v>787.60693686547972</v>
      </c>
      <c r="AY30" s="133">
        <f t="shared" si="5"/>
        <v>878.42363714024168</v>
      </c>
      <c r="AZ30" s="133">
        <f t="shared" si="5"/>
        <v>1015.4437129241142</v>
      </c>
      <c r="BA30" s="133">
        <f t="shared" si="5"/>
        <v>716.68964804131269</v>
      </c>
      <c r="BB30" s="133">
        <f t="shared" si="5"/>
        <v>1068.7905809081522</v>
      </c>
      <c r="BC30" s="133">
        <f t="shared" si="5"/>
        <v>3559.3083864174523</v>
      </c>
      <c r="BD30" s="133">
        <f t="shared" si="5"/>
        <v>4448.2818436238449</v>
      </c>
      <c r="BE30" s="133">
        <f t="shared" si="5"/>
        <v>828.70013911508534</v>
      </c>
      <c r="BF30" s="133">
        <f t="shared" si="5"/>
        <v>950.72895508682325</v>
      </c>
      <c r="BG30" s="133">
        <f t="shared" si="5"/>
        <v>885.73766883328244</v>
      </c>
      <c r="BI30">
        <v>2050</v>
      </c>
      <c r="BJ30" s="219">
        <f t="shared" si="4"/>
        <v>0</v>
      </c>
      <c r="BK30" s="219">
        <f t="shared" si="4"/>
        <v>0.11530713611562959</v>
      </c>
      <c r="BL30" s="219">
        <f t="shared" si="4"/>
        <v>0.28927725924479519</v>
      </c>
      <c r="BM30" s="219">
        <f t="shared" si="4"/>
        <v>-9.004147310637442E-2</v>
      </c>
      <c r="BN30" s="219">
        <f t="shared" si="4"/>
        <v>0.35701011619035233</v>
      </c>
      <c r="BO30" s="219">
        <f t="shared" si="4"/>
        <v>3.5191430138779598</v>
      </c>
      <c r="BP30" s="219">
        <f t="shared" si="4"/>
        <v>4.6478449279879746</v>
      </c>
      <c r="BQ30" s="219">
        <f t="shared" si="4"/>
        <v>5.2174759167495977E-2</v>
      </c>
      <c r="BR30" s="219">
        <f t="shared" si="4"/>
        <v>0.20711094657258478</v>
      </c>
      <c r="BS30" s="219">
        <f t="shared" si="4"/>
        <v>0.12459353438193889</v>
      </c>
      <c r="BT30" s="219"/>
      <c r="BU30" s="219"/>
      <c r="BV30" s="219"/>
      <c r="BW30" s="219"/>
      <c r="BX30" s="219"/>
      <c r="BY30" s="224">
        <v>2050</v>
      </c>
      <c r="BZ30" s="225">
        <f t="array" ref="BZ30">INDEX($AY$2:$BG$30,$AW30-2021,$BU$21)</f>
        <v>3559.3083864174523</v>
      </c>
      <c r="CA30" s="224">
        <f t="array" ref="CA30">INDEX($AM$2:$AU$30,$BY30-2021,$BU$21)</f>
        <v>582.50108824342874</v>
      </c>
      <c r="CB30" s="219">
        <f t="array" ref="CB30">INDEX($BK$2:$BS$30,BY30-2021,$BU$21)</f>
        <v>3.5191430138779598</v>
      </c>
    </row>
    <row r="31" spans="1:80" x14ac:dyDescent="0.25">
      <c r="AE31" s="133"/>
    </row>
    <row r="33" spans="49:49" x14ac:dyDescent="0.25">
      <c r="AW33" s="15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F6AF9-64E4-4C8E-BDC3-36C430F5E8B4}">
  <sheetPr>
    <tabColor theme="7"/>
  </sheetPr>
  <dimension ref="A1:L301"/>
  <sheetViews>
    <sheetView workbookViewId="0">
      <selection activeCell="H2" sqref="H2"/>
    </sheetView>
  </sheetViews>
  <sheetFormatPr defaultRowHeight="15" x14ac:dyDescent="0.25"/>
  <cols>
    <col min="8" max="8" width="14.42578125" customWidth="1"/>
  </cols>
  <sheetData>
    <row r="1" spans="1:9" x14ac:dyDescent="0.25">
      <c r="A1" t="s">
        <v>43</v>
      </c>
      <c r="B1" t="s">
        <v>44</v>
      </c>
      <c r="C1" t="s">
        <v>45</v>
      </c>
      <c r="D1" t="s">
        <v>46</v>
      </c>
      <c r="E1" t="s">
        <v>47</v>
      </c>
      <c r="F1" t="s">
        <v>0</v>
      </c>
      <c r="G1" t="s">
        <v>48</v>
      </c>
      <c r="H1" t="s">
        <v>72</v>
      </c>
      <c r="I1" t="s">
        <v>73</v>
      </c>
    </row>
    <row r="2" spans="1:9" x14ac:dyDescent="0.25">
      <c r="A2" t="s">
        <v>1</v>
      </c>
      <c r="B2" t="s">
        <v>59</v>
      </c>
      <c r="C2" t="s">
        <v>60</v>
      </c>
      <c r="D2">
        <v>1</v>
      </c>
      <c r="E2" t="s">
        <v>61</v>
      </c>
      <c r="F2">
        <v>2022</v>
      </c>
      <c r="G2" t="s">
        <v>2</v>
      </c>
      <c r="H2" s="2">
        <v>108696.68610504</v>
      </c>
      <c r="I2" s="2">
        <v>10334.428001759999</v>
      </c>
    </row>
    <row r="3" spans="1:9" x14ac:dyDescent="0.25">
      <c r="A3" t="s">
        <v>1</v>
      </c>
      <c r="B3" t="s">
        <v>59</v>
      </c>
      <c r="C3" t="s">
        <v>60</v>
      </c>
      <c r="D3">
        <v>1</v>
      </c>
      <c r="E3" t="s">
        <v>61</v>
      </c>
      <c r="F3">
        <v>2023</v>
      </c>
      <c r="G3" t="s">
        <v>2</v>
      </c>
      <c r="H3" s="2">
        <v>110346.17145143999</v>
      </c>
      <c r="I3" s="2">
        <v>10516.227997919999</v>
      </c>
    </row>
    <row r="4" spans="1:9" x14ac:dyDescent="0.25">
      <c r="A4" t="s">
        <v>1</v>
      </c>
      <c r="B4" t="s">
        <v>59</v>
      </c>
      <c r="C4" t="s">
        <v>60</v>
      </c>
      <c r="D4">
        <v>1</v>
      </c>
      <c r="E4" t="s">
        <v>61</v>
      </c>
      <c r="F4">
        <v>2024</v>
      </c>
      <c r="G4" t="s">
        <v>2</v>
      </c>
      <c r="H4" s="2">
        <v>107184.58755552</v>
      </c>
      <c r="I4" s="2">
        <v>10634.771998079999</v>
      </c>
    </row>
    <row r="5" spans="1:9" x14ac:dyDescent="0.25">
      <c r="A5" t="s">
        <v>1</v>
      </c>
      <c r="B5" t="s">
        <v>59</v>
      </c>
      <c r="C5" t="s">
        <v>60</v>
      </c>
      <c r="D5">
        <v>1</v>
      </c>
      <c r="E5" t="s">
        <v>61</v>
      </c>
      <c r="F5">
        <v>2025</v>
      </c>
      <c r="G5" t="s">
        <v>2</v>
      </c>
      <c r="H5" s="2">
        <v>110279.5656168</v>
      </c>
      <c r="I5" s="2">
        <v>10637.54199912</v>
      </c>
    </row>
    <row r="6" spans="1:9" x14ac:dyDescent="0.25">
      <c r="A6" t="s">
        <v>1</v>
      </c>
      <c r="B6" t="s">
        <v>59</v>
      </c>
      <c r="C6" t="s">
        <v>60</v>
      </c>
      <c r="D6">
        <v>1</v>
      </c>
      <c r="E6" t="s">
        <v>61</v>
      </c>
      <c r="F6">
        <v>2026</v>
      </c>
      <c r="G6" t="s">
        <v>2</v>
      </c>
      <c r="H6" s="2">
        <v>107971.57921919999</v>
      </c>
      <c r="I6" s="2">
        <v>10708.749001439999</v>
      </c>
    </row>
    <row r="7" spans="1:9" x14ac:dyDescent="0.25">
      <c r="A7" t="s">
        <v>1</v>
      </c>
      <c r="B7" t="s">
        <v>59</v>
      </c>
      <c r="C7" t="s">
        <v>60</v>
      </c>
      <c r="D7">
        <v>1</v>
      </c>
      <c r="E7" t="s">
        <v>61</v>
      </c>
      <c r="F7">
        <v>2027</v>
      </c>
      <c r="G7" t="s">
        <v>2</v>
      </c>
      <c r="H7" s="2">
        <v>108750.78725736</v>
      </c>
      <c r="I7" s="2">
        <v>10776.660999600001</v>
      </c>
    </row>
    <row r="8" spans="1:9" x14ac:dyDescent="0.25">
      <c r="A8" t="s">
        <v>1</v>
      </c>
      <c r="B8" t="s">
        <v>59</v>
      </c>
      <c r="C8" t="s">
        <v>60</v>
      </c>
      <c r="D8">
        <v>1</v>
      </c>
      <c r="E8" t="s">
        <v>61</v>
      </c>
      <c r="F8">
        <v>2028</v>
      </c>
      <c r="G8" t="s">
        <v>2</v>
      </c>
      <c r="H8" s="2">
        <v>109923.57020664</v>
      </c>
      <c r="I8" s="2">
        <v>10909.602999840001</v>
      </c>
    </row>
    <row r="9" spans="1:9" x14ac:dyDescent="0.25">
      <c r="A9" t="s">
        <v>1</v>
      </c>
      <c r="B9" t="s">
        <v>59</v>
      </c>
      <c r="C9" t="s">
        <v>60</v>
      </c>
      <c r="D9">
        <v>1</v>
      </c>
      <c r="E9" t="s">
        <v>61</v>
      </c>
      <c r="F9">
        <v>2029</v>
      </c>
      <c r="G9" t="s">
        <v>2</v>
      </c>
      <c r="H9" s="2">
        <v>109069.18302431999</v>
      </c>
      <c r="I9" s="2">
        <v>10908.97100136</v>
      </c>
    </row>
    <row r="10" spans="1:9" x14ac:dyDescent="0.25">
      <c r="A10" t="s">
        <v>1</v>
      </c>
      <c r="B10" t="s">
        <v>59</v>
      </c>
      <c r="C10" t="s">
        <v>60</v>
      </c>
      <c r="D10">
        <v>1</v>
      </c>
      <c r="E10" t="s">
        <v>61</v>
      </c>
      <c r="F10">
        <v>2030</v>
      </c>
      <c r="G10" t="s">
        <v>2</v>
      </c>
      <c r="H10" s="2">
        <v>109222.53467232001</v>
      </c>
      <c r="I10" s="2">
        <v>10975.16999952</v>
      </c>
    </row>
    <row r="11" spans="1:9" x14ac:dyDescent="0.25">
      <c r="A11" t="s">
        <v>1</v>
      </c>
      <c r="B11" t="s">
        <v>59</v>
      </c>
      <c r="C11" t="s">
        <v>60</v>
      </c>
      <c r="D11">
        <v>1</v>
      </c>
      <c r="E11" t="s">
        <v>61</v>
      </c>
      <c r="F11">
        <v>2031</v>
      </c>
      <c r="G11" t="s">
        <v>2</v>
      </c>
      <c r="H11" s="2">
        <v>109353.1098012</v>
      </c>
      <c r="I11" s="2">
        <v>11039.57299968</v>
      </c>
    </row>
    <row r="12" spans="1:9" x14ac:dyDescent="0.25">
      <c r="A12" t="s">
        <v>1</v>
      </c>
      <c r="B12" t="s">
        <v>59</v>
      </c>
      <c r="C12" t="s">
        <v>60</v>
      </c>
      <c r="D12">
        <v>1</v>
      </c>
      <c r="E12" t="s">
        <v>61</v>
      </c>
      <c r="F12">
        <v>2032</v>
      </c>
      <c r="G12" t="s">
        <v>2</v>
      </c>
      <c r="H12" s="2">
        <v>110165.57111136</v>
      </c>
      <c r="I12" s="2">
        <v>11170.33500216</v>
      </c>
    </row>
    <row r="13" spans="1:9" x14ac:dyDescent="0.25">
      <c r="A13" t="s">
        <v>1</v>
      </c>
      <c r="B13" t="s">
        <v>59</v>
      </c>
      <c r="C13" t="s">
        <v>60</v>
      </c>
      <c r="D13">
        <v>1</v>
      </c>
      <c r="E13" t="s">
        <v>61</v>
      </c>
      <c r="F13">
        <v>2033</v>
      </c>
      <c r="G13" t="s">
        <v>2</v>
      </c>
      <c r="H13" s="2">
        <v>109567.64515872</v>
      </c>
      <c r="I13" s="2">
        <v>11165.428999199999</v>
      </c>
    </row>
    <row r="14" spans="1:9" x14ac:dyDescent="0.25">
      <c r="A14" t="s">
        <v>1</v>
      </c>
      <c r="B14" t="s">
        <v>59</v>
      </c>
      <c r="C14" t="s">
        <v>60</v>
      </c>
      <c r="D14">
        <v>1</v>
      </c>
      <c r="E14" t="s">
        <v>61</v>
      </c>
      <c r="F14">
        <v>2034</v>
      </c>
      <c r="G14" t="s">
        <v>2</v>
      </c>
      <c r="H14" s="2">
        <v>109604.91727583999</v>
      </c>
      <c r="I14" s="2">
        <v>11227.96100064</v>
      </c>
    </row>
    <row r="15" spans="1:9" x14ac:dyDescent="0.25">
      <c r="A15" t="s">
        <v>1</v>
      </c>
      <c r="B15" t="s">
        <v>59</v>
      </c>
      <c r="C15" t="s">
        <v>60</v>
      </c>
      <c r="D15">
        <v>1</v>
      </c>
      <c r="E15" t="s">
        <v>61</v>
      </c>
      <c r="F15">
        <v>2035</v>
      </c>
      <c r="G15" t="s">
        <v>2</v>
      </c>
      <c r="H15" s="2">
        <v>109413.61303224</v>
      </c>
      <c r="I15" s="2">
        <v>11289.888999119999</v>
      </c>
    </row>
    <row r="16" spans="1:9" x14ac:dyDescent="0.25">
      <c r="A16" t="s">
        <v>1</v>
      </c>
      <c r="B16" t="s">
        <v>59</v>
      </c>
      <c r="C16" t="s">
        <v>60</v>
      </c>
      <c r="D16">
        <v>1</v>
      </c>
      <c r="E16" t="s">
        <v>61</v>
      </c>
      <c r="F16">
        <v>2036</v>
      </c>
      <c r="G16" t="s">
        <v>2</v>
      </c>
      <c r="H16" s="2">
        <v>110244.3903264</v>
      </c>
      <c r="I16" s="2">
        <v>11420.80600104</v>
      </c>
    </row>
    <row r="17" spans="1:9" x14ac:dyDescent="0.25">
      <c r="A17" t="s">
        <v>1</v>
      </c>
      <c r="B17" t="s">
        <v>59</v>
      </c>
      <c r="C17" t="s">
        <v>60</v>
      </c>
      <c r="D17">
        <v>1</v>
      </c>
      <c r="E17" t="s">
        <v>61</v>
      </c>
      <c r="F17">
        <v>2037</v>
      </c>
      <c r="G17" t="s">
        <v>2</v>
      </c>
      <c r="H17" s="2">
        <v>113803.03962792001</v>
      </c>
      <c r="I17" s="2">
        <v>11411.60600064</v>
      </c>
    </row>
    <row r="18" spans="1:9" x14ac:dyDescent="0.25">
      <c r="A18" t="s">
        <v>1</v>
      </c>
      <c r="B18" t="s">
        <v>59</v>
      </c>
      <c r="C18" t="s">
        <v>60</v>
      </c>
      <c r="D18">
        <v>1</v>
      </c>
      <c r="E18" t="s">
        <v>61</v>
      </c>
      <c r="F18">
        <v>2038</v>
      </c>
      <c r="G18" t="s">
        <v>2</v>
      </c>
      <c r="H18" s="2">
        <v>109596.1549176</v>
      </c>
      <c r="I18" s="2">
        <v>11470.53899856</v>
      </c>
    </row>
    <row r="19" spans="1:9" x14ac:dyDescent="0.25">
      <c r="A19" t="s">
        <v>1</v>
      </c>
      <c r="B19" t="s">
        <v>59</v>
      </c>
      <c r="C19" t="s">
        <v>60</v>
      </c>
      <c r="D19">
        <v>1</v>
      </c>
      <c r="E19" t="s">
        <v>61</v>
      </c>
      <c r="F19">
        <v>2039</v>
      </c>
      <c r="G19" t="s">
        <v>2</v>
      </c>
      <c r="H19" s="2">
        <v>109573.94663592</v>
      </c>
      <c r="I19" s="2">
        <v>11528.799999360001</v>
      </c>
    </row>
    <row r="20" spans="1:9" x14ac:dyDescent="0.25">
      <c r="A20" t="s">
        <v>1</v>
      </c>
      <c r="B20" t="s">
        <v>59</v>
      </c>
      <c r="C20" t="s">
        <v>60</v>
      </c>
      <c r="D20">
        <v>1</v>
      </c>
      <c r="E20" t="s">
        <v>61</v>
      </c>
      <c r="F20">
        <v>2040</v>
      </c>
      <c r="G20" t="s">
        <v>2</v>
      </c>
      <c r="H20" s="2">
        <v>110217.26173704</v>
      </c>
      <c r="I20" s="2">
        <v>11654.86299912</v>
      </c>
    </row>
    <row r="21" spans="1:9" x14ac:dyDescent="0.25">
      <c r="A21" t="s">
        <v>1</v>
      </c>
      <c r="B21" t="s">
        <v>59</v>
      </c>
      <c r="C21" t="s">
        <v>60</v>
      </c>
      <c r="D21">
        <v>1</v>
      </c>
      <c r="E21" t="s">
        <v>61</v>
      </c>
      <c r="F21">
        <v>2041</v>
      </c>
      <c r="G21" t="s">
        <v>2</v>
      </c>
      <c r="H21" s="2">
        <v>109507.6190472</v>
      </c>
      <c r="I21" s="2">
        <v>11640.72499896</v>
      </c>
    </row>
    <row r="22" spans="1:9" x14ac:dyDescent="0.25">
      <c r="A22" t="s">
        <v>1</v>
      </c>
      <c r="B22" t="s">
        <v>59</v>
      </c>
      <c r="C22" t="s">
        <v>60</v>
      </c>
      <c r="D22">
        <v>1</v>
      </c>
      <c r="E22" t="s">
        <v>61</v>
      </c>
      <c r="F22">
        <v>2042</v>
      </c>
      <c r="G22" t="s">
        <v>2</v>
      </c>
      <c r="H22" s="2">
        <v>109461.37686624</v>
      </c>
      <c r="I22" s="2">
        <v>11697.82099848</v>
      </c>
    </row>
    <row r="23" spans="1:9" x14ac:dyDescent="0.25">
      <c r="A23" t="s">
        <v>1</v>
      </c>
      <c r="B23" t="s">
        <v>59</v>
      </c>
      <c r="C23" t="s">
        <v>60</v>
      </c>
      <c r="D23">
        <v>1</v>
      </c>
      <c r="E23" t="s">
        <v>61</v>
      </c>
      <c r="F23">
        <v>2043</v>
      </c>
      <c r="G23" t="s">
        <v>2</v>
      </c>
      <c r="H23" s="2">
        <v>109419.9896568</v>
      </c>
      <c r="I23" s="2">
        <v>11754.66999936</v>
      </c>
    </row>
    <row r="24" spans="1:9" x14ac:dyDescent="0.25">
      <c r="A24" t="s">
        <v>1</v>
      </c>
      <c r="B24" t="s">
        <v>59</v>
      </c>
      <c r="C24" t="s">
        <v>60</v>
      </c>
      <c r="D24">
        <v>1</v>
      </c>
      <c r="E24" t="s">
        <v>61</v>
      </c>
      <c r="F24">
        <v>2044</v>
      </c>
      <c r="G24" t="s">
        <v>2</v>
      </c>
      <c r="H24" s="2">
        <v>110060.00337599999</v>
      </c>
      <c r="I24" s="2">
        <v>11883.1300008</v>
      </c>
    </row>
    <row r="25" spans="1:9" x14ac:dyDescent="0.25">
      <c r="A25" t="s">
        <v>1</v>
      </c>
      <c r="B25" t="s">
        <v>59</v>
      </c>
      <c r="C25" t="s">
        <v>60</v>
      </c>
      <c r="D25">
        <v>1</v>
      </c>
      <c r="E25" t="s">
        <v>61</v>
      </c>
      <c r="F25">
        <v>2045</v>
      </c>
      <c r="G25" t="s">
        <v>2</v>
      </c>
      <c r="H25" s="2">
        <v>109353.50139552</v>
      </c>
      <c r="I25" s="2">
        <v>11866.508002320001</v>
      </c>
    </row>
    <row r="26" spans="1:9" x14ac:dyDescent="0.25">
      <c r="A26" t="s">
        <v>1</v>
      </c>
      <c r="B26" t="s">
        <v>59</v>
      </c>
      <c r="C26" t="s">
        <v>60</v>
      </c>
      <c r="D26">
        <v>1</v>
      </c>
      <c r="E26" t="s">
        <v>61</v>
      </c>
      <c r="F26">
        <v>2046</v>
      </c>
      <c r="G26" t="s">
        <v>2</v>
      </c>
      <c r="H26" s="2">
        <v>109306.55128416</v>
      </c>
      <c r="I26" s="2">
        <v>11922.04500072</v>
      </c>
    </row>
    <row r="27" spans="1:9" x14ac:dyDescent="0.25">
      <c r="A27" t="s">
        <v>1</v>
      </c>
      <c r="B27" t="s">
        <v>59</v>
      </c>
      <c r="C27" t="s">
        <v>60</v>
      </c>
      <c r="D27">
        <v>1</v>
      </c>
      <c r="E27" t="s">
        <v>61</v>
      </c>
      <c r="F27">
        <v>2047</v>
      </c>
      <c r="G27" t="s">
        <v>2</v>
      </c>
      <c r="H27" s="2">
        <v>109252.61964504</v>
      </c>
      <c r="I27" s="2">
        <v>11976.33699888</v>
      </c>
    </row>
    <row r="28" spans="1:9" x14ac:dyDescent="0.25">
      <c r="A28" t="s">
        <v>1</v>
      </c>
      <c r="B28" t="s">
        <v>59</v>
      </c>
      <c r="C28" t="s">
        <v>60</v>
      </c>
      <c r="D28">
        <v>1</v>
      </c>
      <c r="E28" t="s">
        <v>61</v>
      </c>
      <c r="F28">
        <v>2048</v>
      </c>
      <c r="G28" t="s">
        <v>2</v>
      </c>
      <c r="H28" s="2">
        <v>109887.19227191999</v>
      </c>
      <c r="I28" s="2">
        <v>12104.128000320001</v>
      </c>
    </row>
    <row r="29" spans="1:9" x14ac:dyDescent="0.25">
      <c r="A29" t="s">
        <v>1</v>
      </c>
      <c r="B29" t="s">
        <v>59</v>
      </c>
      <c r="C29" t="s">
        <v>60</v>
      </c>
      <c r="D29">
        <v>1</v>
      </c>
      <c r="E29" t="s">
        <v>61</v>
      </c>
      <c r="F29">
        <v>2049</v>
      </c>
      <c r="G29" t="s">
        <v>2</v>
      </c>
      <c r="H29" s="2">
        <v>109176.09333384001</v>
      </c>
      <c r="I29" s="2">
        <v>12083.507999760001</v>
      </c>
    </row>
    <row r="30" spans="1:9" x14ac:dyDescent="0.25">
      <c r="A30" t="s">
        <v>1</v>
      </c>
      <c r="B30" t="s">
        <v>59</v>
      </c>
      <c r="C30" t="s">
        <v>60</v>
      </c>
      <c r="D30">
        <v>1</v>
      </c>
      <c r="E30" t="s">
        <v>61</v>
      </c>
      <c r="F30">
        <v>2050</v>
      </c>
      <c r="G30" t="s">
        <v>2</v>
      </c>
      <c r="H30" s="2">
        <v>106837.94314079999</v>
      </c>
      <c r="I30" s="2">
        <v>12136.980000719999</v>
      </c>
    </row>
    <row r="31" spans="1:9" x14ac:dyDescent="0.25">
      <c r="A31" t="s">
        <v>1</v>
      </c>
      <c r="B31" t="s">
        <v>59</v>
      </c>
      <c r="C31" t="s">
        <v>60</v>
      </c>
      <c r="D31">
        <v>1</v>
      </c>
      <c r="E31" t="s">
        <v>61</v>
      </c>
      <c r="F31">
        <v>2051</v>
      </c>
      <c r="G31" t="s">
        <v>2</v>
      </c>
      <c r="H31" s="2">
        <v>105622.23865416</v>
      </c>
      <c r="I31" s="2">
        <v>12136.980000719999</v>
      </c>
    </row>
    <row r="32" spans="1:9" x14ac:dyDescent="0.25">
      <c r="A32" t="s">
        <v>1</v>
      </c>
      <c r="B32" t="s">
        <v>59</v>
      </c>
      <c r="C32" t="s">
        <v>60</v>
      </c>
      <c r="D32">
        <v>1</v>
      </c>
      <c r="E32" t="s">
        <v>62</v>
      </c>
      <c r="F32">
        <v>2022</v>
      </c>
      <c r="G32" t="s">
        <v>2</v>
      </c>
      <c r="H32">
        <v>108623.81473319991</v>
      </c>
      <c r="I32">
        <v>10313.269999679997</v>
      </c>
    </row>
    <row r="33" spans="1:9" x14ac:dyDescent="0.25">
      <c r="A33" t="s">
        <v>1</v>
      </c>
      <c r="B33" t="s">
        <v>59</v>
      </c>
      <c r="C33" t="s">
        <v>60</v>
      </c>
      <c r="D33">
        <v>1</v>
      </c>
      <c r="E33" t="s">
        <v>62</v>
      </c>
      <c r="F33">
        <v>2023</v>
      </c>
      <c r="G33" t="s">
        <v>2</v>
      </c>
      <c r="H33">
        <v>109777.29375335996</v>
      </c>
      <c r="I33">
        <v>10443.243000960007</v>
      </c>
    </row>
    <row r="34" spans="1:9" x14ac:dyDescent="0.25">
      <c r="A34" t="s">
        <v>1</v>
      </c>
      <c r="B34" t="s">
        <v>59</v>
      </c>
      <c r="C34" t="s">
        <v>60</v>
      </c>
      <c r="D34">
        <v>1</v>
      </c>
      <c r="E34" t="s">
        <v>62</v>
      </c>
      <c r="F34">
        <v>2024</v>
      </c>
      <c r="G34" t="s">
        <v>2</v>
      </c>
      <c r="H34">
        <v>106356.54974207994</v>
      </c>
      <c r="I34">
        <v>10498.283997840004</v>
      </c>
    </row>
    <row r="35" spans="1:9" x14ac:dyDescent="0.25">
      <c r="A35" t="s">
        <v>1</v>
      </c>
      <c r="B35" t="s">
        <v>59</v>
      </c>
      <c r="C35" t="s">
        <v>60</v>
      </c>
      <c r="D35">
        <v>1</v>
      </c>
      <c r="E35" t="s">
        <v>62</v>
      </c>
      <c r="F35">
        <v>2025</v>
      </c>
      <c r="G35" t="s">
        <v>2</v>
      </c>
      <c r="H35">
        <v>107677.82548367996</v>
      </c>
      <c r="I35">
        <v>10402.223000879992</v>
      </c>
    </row>
    <row r="36" spans="1:9" x14ac:dyDescent="0.25">
      <c r="A36" t="s">
        <v>1</v>
      </c>
      <c r="B36" t="s">
        <v>59</v>
      </c>
      <c r="C36" t="s">
        <v>60</v>
      </c>
      <c r="D36">
        <v>1</v>
      </c>
      <c r="E36" t="s">
        <v>62</v>
      </c>
      <c r="F36">
        <v>2026</v>
      </c>
      <c r="G36" t="s">
        <v>2</v>
      </c>
      <c r="H36">
        <v>105742.74746760001</v>
      </c>
      <c r="I36">
        <v>10335.407999999999</v>
      </c>
    </row>
    <row r="37" spans="1:9" x14ac:dyDescent="0.25">
      <c r="A37" t="s">
        <v>1</v>
      </c>
      <c r="B37" t="s">
        <v>59</v>
      </c>
      <c r="C37" t="s">
        <v>60</v>
      </c>
      <c r="D37">
        <v>1</v>
      </c>
      <c r="E37" t="s">
        <v>62</v>
      </c>
      <c r="F37">
        <v>2027</v>
      </c>
      <c r="G37" t="s">
        <v>2</v>
      </c>
      <c r="H37">
        <v>105998.2994702399</v>
      </c>
      <c r="I37">
        <v>10261.110999120008</v>
      </c>
    </row>
    <row r="38" spans="1:9" x14ac:dyDescent="0.25">
      <c r="A38" t="s">
        <v>1</v>
      </c>
      <c r="B38" t="s">
        <v>59</v>
      </c>
      <c r="C38" t="s">
        <v>60</v>
      </c>
      <c r="D38">
        <v>1</v>
      </c>
      <c r="E38" t="s">
        <v>62</v>
      </c>
      <c r="F38">
        <v>2028</v>
      </c>
      <c r="G38" t="s">
        <v>2</v>
      </c>
      <c r="H38">
        <v>105361.88263199989</v>
      </c>
      <c r="I38">
        <v>10246.037000160002</v>
      </c>
    </row>
    <row r="39" spans="1:9" x14ac:dyDescent="0.25">
      <c r="A39" t="s">
        <v>1</v>
      </c>
      <c r="B39" t="s">
        <v>59</v>
      </c>
      <c r="C39" t="s">
        <v>60</v>
      </c>
      <c r="D39">
        <v>1</v>
      </c>
      <c r="E39" t="s">
        <v>62</v>
      </c>
      <c r="F39">
        <v>2029</v>
      </c>
      <c r="G39" t="s">
        <v>2</v>
      </c>
      <c r="H39">
        <v>103569.49808904011</v>
      </c>
      <c r="I39">
        <v>10097.083001520008</v>
      </c>
    </row>
    <row r="40" spans="1:9" x14ac:dyDescent="0.25">
      <c r="A40" t="s">
        <v>1</v>
      </c>
      <c r="B40" t="s">
        <v>59</v>
      </c>
      <c r="C40" t="s">
        <v>60</v>
      </c>
      <c r="D40">
        <v>1</v>
      </c>
      <c r="E40" t="s">
        <v>62</v>
      </c>
      <c r="F40">
        <v>2030</v>
      </c>
      <c r="G40" t="s">
        <v>2</v>
      </c>
      <c r="H40">
        <v>102665.62673999993</v>
      </c>
      <c r="I40">
        <v>10011.625002000001</v>
      </c>
    </row>
    <row r="41" spans="1:9" x14ac:dyDescent="0.25">
      <c r="A41" t="s">
        <v>1</v>
      </c>
      <c r="B41" t="s">
        <v>59</v>
      </c>
      <c r="C41" t="s">
        <v>60</v>
      </c>
      <c r="D41">
        <v>1</v>
      </c>
      <c r="E41" t="s">
        <v>62</v>
      </c>
      <c r="F41">
        <v>2031</v>
      </c>
      <c r="G41" t="s">
        <v>2</v>
      </c>
      <c r="H41">
        <v>101678.13147767997</v>
      </c>
      <c r="I41">
        <v>9924.8679976799922</v>
      </c>
    </row>
    <row r="42" spans="1:9" x14ac:dyDescent="0.25">
      <c r="A42" t="s">
        <v>1</v>
      </c>
      <c r="B42" t="s">
        <v>59</v>
      </c>
      <c r="C42" t="s">
        <v>60</v>
      </c>
      <c r="D42">
        <v>1</v>
      </c>
      <c r="E42" t="s">
        <v>62</v>
      </c>
      <c r="F42">
        <v>2032</v>
      </c>
      <c r="G42" t="s">
        <v>2</v>
      </c>
      <c r="H42">
        <v>101394.64146432</v>
      </c>
      <c r="I42">
        <v>9902.3479999200008</v>
      </c>
    </row>
    <row r="43" spans="1:9" x14ac:dyDescent="0.25">
      <c r="A43" t="s">
        <v>1</v>
      </c>
      <c r="B43" t="s">
        <v>59</v>
      </c>
      <c r="C43" t="s">
        <v>60</v>
      </c>
      <c r="D43">
        <v>1</v>
      </c>
      <c r="E43" t="s">
        <v>62</v>
      </c>
      <c r="F43">
        <v>2033</v>
      </c>
      <c r="G43" t="s">
        <v>2</v>
      </c>
      <c r="H43">
        <v>99791.727219840061</v>
      </c>
      <c r="I43">
        <v>9752.2619990399962</v>
      </c>
    </row>
    <row r="44" spans="1:9" x14ac:dyDescent="0.25">
      <c r="A44" t="s">
        <v>1</v>
      </c>
      <c r="B44" t="s">
        <v>59</v>
      </c>
      <c r="C44" t="s">
        <v>60</v>
      </c>
      <c r="D44">
        <v>1</v>
      </c>
      <c r="E44" t="s">
        <v>62</v>
      </c>
      <c r="F44">
        <v>2034</v>
      </c>
      <c r="G44" t="s">
        <v>2</v>
      </c>
      <c r="H44">
        <v>98810.220510960076</v>
      </c>
      <c r="I44">
        <v>9674.0710012799955</v>
      </c>
    </row>
    <row r="45" spans="1:9" x14ac:dyDescent="0.25">
      <c r="A45" t="s">
        <v>1</v>
      </c>
      <c r="B45" t="s">
        <v>59</v>
      </c>
      <c r="C45" t="s">
        <v>60</v>
      </c>
      <c r="D45">
        <v>1</v>
      </c>
      <c r="E45" t="s">
        <v>62</v>
      </c>
      <c r="F45">
        <v>2035</v>
      </c>
      <c r="G45" t="s">
        <v>2</v>
      </c>
      <c r="H45">
        <v>97935.596488080046</v>
      </c>
      <c r="I45">
        <v>9602.596001999993</v>
      </c>
    </row>
    <row r="46" spans="1:9" x14ac:dyDescent="0.25">
      <c r="A46" t="s">
        <v>1</v>
      </c>
      <c r="B46" t="s">
        <v>59</v>
      </c>
      <c r="C46" t="s">
        <v>60</v>
      </c>
      <c r="D46">
        <v>1</v>
      </c>
      <c r="E46" t="s">
        <v>62</v>
      </c>
      <c r="F46">
        <v>2036</v>
      </c>
      <c r="G46" t="s">
        <v>2</v>
      </c>
      <c r="H46">
        <v>97723.285627920006</v>
      </c>
      <c r="I46">
        <v>9594.2489995199921</v>
      </c>
    </row>
    <row r="47" spans="1:9" x14ac:dyDescent="0.25">
      <c r="A47" t="s">
        <v>1</v>
      </c>
      <c r="B47" t="s">
        <v>59</v>
      </c>
      <c r="C47" t="s">
        <v>60</v>
      </c>
      <c r="D47">
        <v>1</v>
      </c>
      <c r="E47" t="s">
        <v>62</v>
      </c>
      <c r="F47">
        <v>2037</v>
      </c>
      <c r="G47" t="s">
        <v>2</v>
      </c>
      <c r="H47">
        <v>96198.208616159958</v>
      </c>
      <c r="I47">
        <v>9459.9070003199977</v>
      </c>
    </row>
    <row r="48" spans="1:9" x14ac:dyDescent="0.25">
      <c r="A48" t="s">
        <v>1</v>
      </c>
      <c r="B48" t="s">
        <v>59</v>
      </c>
      <c r="C48" t="s">
        <v>60</v>
      </c>
      <c r="D48">
        <v>1</v>
      </c>
      <c r="E48" t="s">
        <v>62</v>
      </c>
      <c r="F48">
        <v>2038</v>
      </c>
      <c r="G48" t="s">
        <v>2</v>
      </c>
      <c r="H48">
        <v>95312.345881680027</v>
      </c>
      <c r="I48">
        <v>9383.3280004800017</v>
      </c>
    </row>
    <row r="49" spans="1:9" x14ac:dyDescent="0.25">
      <c r="A49" t="s">
        <v>1</v>
      </c>
      <c r="B49" t="s">
        <v>59</v>
      </c>
      <c r="C49" t="s">
        <v>60</v>
      </c>
      <c r="D49">
        <v>1</v>
      </c>
      <c r="E49" t="s">
        <v>62</v>
      </c>
      <c r="F49">
        <v>2039</v>
      </c>
      <c r="G49" t="s">
        <v>2</v>
      </c>
      <c r="H49">
        <v>94465.546582800016</v>
      </c>
      <c r="I49">
        <v>9304.2599985600009</v>
      </c>
    </row>
    <row r="50" spans="1:9" x14ac:dyDescent="0.25">
      <c r="A50" t="s">
        <v>1</v>
      </c>
      <c r="B50" t="s">
        <v>59</v>
      </c>
      <c r="C50" t="s">
        <v>60</v>
      </c>
      <c r="D50">
        <v>1</v>
      </c>
      <c r="E50" t="s">
        <v>62</v>
      </c>
      <c r="F50">
        <v>2040</v>
      </c>
      <c r="G50" t="s">
        <v>2</v>
      </c>
      <c r="H50">
        <v>94177.989423840059</v>
      </c>
      <c r="I50">
        <v>9294.7060000799866</v>
      </c>
    </row>
    <row r="51" spans="1:9" x14ac:dyDescent="0.25">
      <c r="A51" t="s">
        <v>1</v>
      </c>
      <c r="B51" t="s">
        <v>59</v>
      </c>
      <c r="C51" t="s">
        <v>60</v>
      </c>
      <c r="D51">
        <v>1</v>
      </c>
      <c r="E51" t="s">
        <v>62</v>
      </c>
      <c r="F51">
        <v>2041</v>
      </c>
      <c r="G51" t="s">
        <v>2</v>
      </c>
      <c r="H51">
        <v>92842.689900959958</v>
      </c>
      <c r="I51">
        <v>9174.9630011999961</v>
      </c>
    </row>
    <row r="52" spans="1:9" x14ac:dyDescent="0.25">
      <c r="A52" t="s">
        <v>1</v>
      </c>
      <c r="B52" t="s">
        <v>59</v>
      </c>
      <c r="C52" t="s">
        <v>60</v>
      </c>
      <c r="D52">
        <v>1</v>
      </c>
      <c r="E52" t="s">
        <v>62</v>
      </c>
      <c r="F52">
        <v>2042</v>
      </c>
      <c r="G52" t="s">
        <v>2</v>
      </c>
      <c r="H52">
        <v>92169.267073439943</v>
      </c>
      <c r="I52">
        <v>9126.6750002400058</v>
      </c>
    </row>
    <row r="53" spans="1:9" x14ac:dyDescent="0.25">
      <c r="A53" t="s">
        <v>1</v>
      </c>
      <c r="B53" t="s">
        <v>59</v>
      </c>
      <c r="C53" t="s">
        <v>60</v>
      </c>
      <c r="D53">
        <v>1</v>
      </c>
      <c r="E53" t="s">
        <v>62</v>
      </c>
      <c r="F53">
        <v>2043</v>
      </c>
      <c r="G53" t="s">
        <v>2</v>
      </c>
      <c r="H53">
        <v>91483.060573680021</v>
      </c>
      <c r="I53">
        <v>9085.1680003199908</v>
      </c>
    </row>
    <row r="54" spans="1:9" x14ac:dyDescent="0.25">
      <c r="A54" t="s">
        <v>1</v>
      </c>
      <c r="B54" t="s">
        <v>59</v>
      </c>
      <c r="C54" t="s">
        <v>60</v>
      </c>
      <c r="D54">
        <v>1</v>
      </c>
      <c r="E54" t="s">
        <v>62</v>
      </c>
      <c r="F54">
        <v>2044</v>
      </c>
      <c r="G54" t="s">
        <v>2</v>
      </c>
      <c r="H54">
        <v>91176.967509840062</v>
      </c>
      <c r="I54">
        <v>9103.9490004000018</v>
      </c>
    </row>
    <row r="55" spans="1:9" x14ac:dyDescent="0.25">
      <c r="A55" t="s">
        <v>1</v>
      </c>
      <c r="B55" t="s">
        <v>59</v>
      </c>
      <c r="C55" t="s">
        <v>60</v>
      </c>
      <c r="D55">
        <v>1</v>
      </c>
      <c r="E55" t="s">
        <v>62</v>
      </c>
      <c r="F55">
        <v>2045</v>
      </c>
      <c r="G55" t="s">
        <v>2</v>
      </c>
      <c r="H55">
        <v>90046.804684320014</v>
      </c>
      <c r="I55">
        <v>9003.3740016000011</v>
      </c>
    </row>
    <row r="56" spans="1:9" x14ac:dyDescent="0.25">
      <c r="A56" t="s">
        <v>1</v>
      </c>
      <c r="B56" t="s">
        <v>59</v>
      </c>
      <c r="C56" t="s">
        <v>60</v>
      </c>
      <c r="D56">
        <v>1</v>
      </c>
      <c r="E56" t="s">
        <v>62</v>
      </c>
      <c r="F56">
        <v>2046</v>
      </c>
      <c r="G56" t="s">
        <v>2</v>
      </c>
      <c r="H56">
        <v>89463.210414959991</v>
      </c>
      <c r="I56">
        <v>8955.0470008800003</v>
      </c>
    </row>
    <row r="57" spans="1:9" x14ac:dyDescent="0.25">
      <c r="A57" t="s">
        <v>1</v>
      </c>
      <c r="B57" t="s">
        <v>59</v>
      </c>
      <c r="C57" t="s">
        <v>60</v>
      </c>
      <c r="D57">
        <v>1</v>
      </c>
      <c r="E57" t="s">
        <v>62</v>
      </c>
      <c r="F57">
        <v>2047</v>
      </c>
      <c r="G57" t="s">
        <v>2</v>
      </c>
      <c r="H57">
        <v>88872.103926240074</v>
      </c>
      <c r="I57">
        <v>8906.4209990399977</v>
      </c>
    </row>
    <row r="58" spans="1:9" x14ac:dyDescent="0.25">
      <c r="A58" t="s">
        <v>1</v>
      </c>
      <c r="B58" t="s">
        <v>59</v>
      </c>
      <c r="C58" t="s">
        <v>60</v>
      </c>
      <c r="D58">
        <v>1</v>
      </c>
      <c r="E58" t="s">
        <v>62</v>
      </c>
      <c r="F58">
        <v>2048</v>
      </c>
      <c r="G58" t="s">
        <v>2</v>
      </c>
      <c r="H58">
        <v>88821.651473039965</v>
      </c>
      <c r="I58">
        <v>8919.9900011999907</v>
      </c>
    </row>
    <row r="59" spans="1:9" x14ac:dyDescent="0.25">
      <c r="A59" t="s">
        <v>1</v>
      </c>
      <c r="B59" t="s">
        <v>59</v>
      </c>
      <c r="C59" t="s">
        <v>60</v>
      </c>
      <c r="D59">
        <v>1</v>
      </c>
      <c r="E59" t="s">
        <v>62</v>
      </c>
      <c r="F59">
        <v>2049</v>
      </c>
      <c r="G59" t="s">
        <v>2</v>
      </c>
      <c r="H59">
        <v>87746.525574240019</v>
      </c>
      <c r="I59">
        <v>8825.406000479994</v>
      </c>
    </row>
    <row r="60" spans="1:9" x14ac:dyDescent="0.25">
      <c r="A60" t="s">
        <v>1</v>
      </c>
      <c r="B60" t="s">
        <v>59</v>
      </c>
      <c r="C60" t="s">
        <v>60</v>
      </c>
      <c r="D60">
        <v>1</v>
      </c>
      <c r="E60" t="s">
        <v>62</v>
      </c>
      <c r="F60">
        <v>2050</v>
      </c>
      <c r="G60" t="s">
        <v>2</v>
      </c>
      <c r="H60">
        <v>84948.748207440047</v>
      </c>
      <c r="I60">
        <v>8783.909000640002</v>
      </c>
    </row>
    <row r="61" spans="1:9" x14ac:dyDescent="0.25">
      <c r="A61" t="s">
        <v>1</v>
      </c>
      <c r="B61" t="s">
        <v>59</v>
      </c>
      <c r="C61" t="s">
        <v>60</v>
      </c>
      <c r="D61">
        <v>1</v>
      </c>
      <c r="E61" t="s">
        <v>62</v>
      </c>
      <c r="F61">
        <v>2051</v>
      </c>
      <c r="G61" t="s">
        <v>2</v>
      </c>
      <c r="H61">
        <v>85909.595570880017</v>
      </c>
      <c r="I61">
        <v>8783.909000640002</v>
      </c>
    </row>
    <row r="62" spans="1:9" x14ac:dyDescent="0.25">
      <c r="A62" t="s">
        <v>1</v>
      </c>
      <c r="B62" t="s">
        <v>59</v>
      </c>
      <c r="C62" t="s">
        <v>60</v>
      </c>
      <c r="D62">
        <v>1</v>
      </c>
      <c r="E62" t="s">
        <v>63</v>
      </c>
      <c r="F62">
        <v>2022</v>
      </c>
      <c r="G62" t="s">
        <v>2</v>
      </c>
      <c r="H62">
        <v>108607.98221615999</v>
      </c>
      <c r="I62">
        <v>10310.539000560006</v>
      </c>
    </row>
    <row r="63" spans="1:9" x14ac:dyDescent="0.25">
      <c r="A63" t="s">
        <v>1</v>
      </c>
      <c r="B63" t="s">
        <v>59</v>
      </c>
      <c r="C63" t="s">
        <v>60</v>
      </c>
      <c r="D63">
        <v>1</v>
      </c>
      <c r="E63" t="s">
        <v>63</v>
      </c>
      <c r="F63">
        <v>2023</v>
      </c>
      <c r="G63" t="s">
        <v>2</v>
      </c>
      <c r="H63">
        <v>109330.37849135998</v>
      </c>
      <c r="I63">
        <v>10422.146001359999</v>
      </c>
    </row>
    <row r="64" spans="1:9" x14ac:dyDescent="0.25">
      <c r="A64" t="s">
        <v>1</v>
      </c>
      <c r="B64" t="s">
        <v>59</v>
      </c>
      <c r="C64" t="s">
        <v>60</v>
      </c>
      <c r="D64">
        <v>1</v>
      </c>
      <c r="E64" t="s">
        <v>63</v>
      </c>
      <c r="F64">
        <v>2024</v>
      </c>
      <c r="G64" t="s">
        <v>2</v>
      </c>
      <c r="H64">
        <v>105622.6061575199</v>
      </c>
      <c r="I64">
        <v>10457.181000719997</v>
      </c>
    </row>
    <row r="65" spans="1:9" x14ac:dyDescent="0.25">
      <c r="A65" t="s">
        <v>1</v>
      </c>
      <c r="B65" t="s">
        <v>59</v>
      </c>
      <c r="C65" t="s">
        <v>60</v>
      </c>
      <c r="D65">
        <v>1</v>
      </c>
      <c r="E65" t="s">
        <v>63</v>
      </c>
      <c r="F65">
        <v>2025</v>
      </c>
      <c r="G65" t="s">
        <v>2</v>
      </c>
      <c r="H65">
        <v>106129.72785695996</v>
      </c>
      <c r="I65">
        <v>10350.1779996</v>
      </c>
    </row>
    <row r="66" spans="1:9" x14ac:dyDescent="0.25">
      <c r="A66" t="s">
        <v>1</v>
      </c>
      <c r="B66" t="s">
        <v>59</v>
      </c>
      <c r="C66" t="s">
        <v>60</v>
      </c>
      <c r="D66">
        <v>1</v>
      </c>
      <c r="E66" t="s">
        <v>63</v>
      </c>
      <c r="F66">
        <v>2026</v>
      </c>
      <c r="G66" t="s">
        <v>2</v>
      </c>
      <c r="H66">
        <v>104310.33262367992</v>
      </c>
      <c r="I66">
        <v>10297.296999839997</v>
      </c>
    </row>
    <row r="67" spans="1:9" x14ac:dyDescent="0.25">
      <c r="A67" t="s">
        <v>1</v>
      </c>
      <c r="B67" t="s">
        <v>59</v>
      </c>
      <c r="C67" t="s">
        <v>60</v>
      </c>
      <c r="D67">
        <v>1</v>
      </c>
      <c r="E67" t="s">
        <v>63</v>
      </c>
      <c r="F67">
        <v>2027</v>
      </c>
      <c r="G67" t="s">
        <v>2</v>
      </c>
      <c r="H67">
        <v>104550.89849568003</v>
      </c>
      <c r="I67">
        <v>10238.593999679995</v>
      </c>
    </row>
    <row r="68" spans="1:9" x14ac:dyDescent="0.25">
      <c r="A68" t="s">
        <v>1</v>
      </c>
      <c r="B68" t="s">
        <v>59</v>
      </c>
      <c r="C68" t="s">
        <v>60</v>
      </c>
      <c r="D68">
        <v>1</v>
      </c>
      <c r="E68" t="s">
        <v>63</v>
      </c>
      <c r="F68">
        <v>2028</v>
      </c>
      <c r="G68" t="s">
        <v>2</v>
      </c>
      <c r="H68">
        <v>103601.14395624</v>
      </c>
      <c r="I68">
        <v>10238.828002079996</v>
      </c>
    </row>
    <row r="69" spans="1:9" x14ac:dyDescent="0.25">
      <c r="A69" t="s">
        <v>1</v>
      </c>
      <c r="B69" t="s">
        <v>59</v>
      </c>
      <c r="C69" t="s">
        <v>60</v>
      </c>
      <c r="D69">
        <v>1</v>
      </c>
      <c r="E69" t="s">
        <v>63</v>
      </c>
      <c r="F69">
        <v>2029</v>
      </c>
      <c r="G69" t="s">
        <v>2</v>
      </c>
      <c r="H69">
        <v>101700.65504736002</v>
      </c>
      <c r="I69">
        <v>10108.62799968</v>
      </c>
    </row>
    <row r="70" spans="1:9" x14ac:dyDescent="0.25">
      <c r="A70" t="s">
        <v>1</v>
      </c>
      <c r="B70" t="s">
        <v>59</v>
      </c>
      <c r="C70" t="s">
        <v>60</v>
      </c>
      <c r="D70">
        <v>1</v>
      </c>
      <c r="E70" t="s">
        <v>63</v>
      </c>
      <c r="F70">
        <v>2030</v>
      </c>
      <c r="G70" t="s">
        <v>2</v>
      </c>
      <c r="H70">
        <v>100670.16086040002</v>
      </c>
      <c r="I70">
        <v>10039.327999440005</v>
      </c>
    </row>
    <row r="71" spans="1:9" x14ac:dyDescent="0.25">
      <c r="A71" t="s">
        <v>1</v>
      </c>
      <c r="B71" t="s">
        <v>59</v>
      </c>
      <c r="C71" t="s">
        <v>60</v>
      </c>
      <c r="D71">
        <v>1</v>
      </c>
      <c r="E71" t="s">
        <v>63</v>
      </c>
      <c r="F71">
        <v>2031</v>
      </c>
      <c r="G71" t="s">
        <v>2</v>
      </c>
      <c r="H71">
        <v>99558.392240160028</v>
      </c>
      <c r="I71">
        <v>9965.991</v>
      </c>
    </row>
    <row r="72" spans="1:9" x14ac:dyDescent="0.25">
      <c r="A72" t="s">
        <v>1</v>
      </c>
      <c r="B72" t="s">
        <v>59</v>
      </c>
      <c r="C72" t="s">
        <v>60</v>
      </c>
      <c r="D72">
        <v>1</v>
      </c>
      <c r="E72" t="s">
        <v>63</v>
      </c>
      <c r="F72">
        <v>2032</v>
      </c>
      <c r="G72" t="s">
        <v>2</v>
      </c>
      <c r="H72">
        <v>99088.208078399955</v>
      </c>
      <c r="I72">
        <v>9949.6570007999944</v>
      </c>
    </row>
    <row r="73" spans="1:9" x14ac:dyDescent="0.25">
      <c r="A73" t="s">
        <v>1</v>
      </c>
      <c r="B73" t="s">
        <v>59</v>
      </c>
      <c r="C73" t="s">
        <v>60</v>
      </c>
      <c r="D73">
        <v>1</v>
      </c>
      <c r="E73" t="s">
        <v>63</v>
      </c>
      <c r="F73">
        <v>2033</v>
      </c>
      <c r="G73" t="s">
        <v>2</v>
      </c>
      <c r="H73">
        <v>97321.878036719951</v>
      </c>
      <c r="I73">
        <v>9805.348000320002</v>
      </c>
    </row>
    <row r="74" spans="1:9" x14ac:dyDescent="0.25">
      <c r="A74" t="s">
        <v>1</v>
      </c>
      <c r="B74" t="s">
        <v>59</v>
      </c>
      <c r="C74" t="s">
        <v>60</v>
      </c>
      <c r="D74">
        <v>1</v>
      </c>
      <c r="E74" t="s">
        <v>63</v>
      </c>
      <c r="F74">
        <v>2034</v>
      </c>
      <c r="G74" t="s">
        <v>2</v>
      </c>
      <c r="H74">
        <v>96119.394394319999</v>
      </c>
      <c r="I74">
        <v>9723.7680002399902</v>
      </c>
    </row>
    <row r="75" spans="1:9" x14ac:dyDescent="0.25">
      <c r="A75" t="s">
        <v>1</v>
      </c>
      <c r="B75" t="s">
        <v>59</v>
      </c>
      <c r="C75" t="s">
        <v>60</v>
      </c>
      <c r="D75">
        <v>1</v>
      </c>
      <c r="E75" t="s">
        <v>63</v>
      </c>
      <c r="F75">
        <v>2035</v>
      </c>
      <c r="G75" t="s">
        <v>2</v>
      </c>
      <c r="H75">
        <v>95004.909400079952</v>
      </c>
      <c r="I75">
        <v>9643.5760007999961</v>
      </c>
    </row>
    <row r="76" spans="1:9" x14ac:dyDescent="0.25">
      <c r="A76" t="s">
        <v>1</v>
      </c>
      <c r="B76" t="s">
        <v>59</v>
      </c>
      <c r="C76" t="s">
        <v>60</v>
      </c>
      <c r="D76">
        <v>1</v>
      </c>
      <c r="E76" t="s">
        <v>63</v>
      </c>
      <c r="F76">
        <v>2036</v>
      </c>
      <c r="G76" t="s">
        <v>2</v>
      </c>
      <c r="H76">
        <v>94485.314369759988</v>
      </c>
      <c r="I76">
        <v>9617.9550026400011</v>
      </c>
    </row>
    <row r="77" spans="1:9" x14ac:dyDescent="0.25">
      <c r="A77" t="s">
        <v>1</v>
      </c>
      <c r="B77" t="s">
        <v>59</v>
      </c>
      <c r="C77" t="s">
        <v>60</v>
      </c>
      <c r="D77">
        <v>1</v>
      </c>
      <c r="E77" t="s">
        <v>63</v>
      </c>
      <c r="F77">
        <v>2037</v>
      </c>
      <c r="G77" t="s">
        <v>2</v>
      </c>
      <c r="H77">
        <v>92701.103589360078</v>
      </c>
      <c r="I77">
        <v>9465.1149971999985</v>
      </c>
    </row>
    <row r="78" spans="1:9" x14ac:dyDescent="0.25">
      <c r="A78" t="s">
        <v>1</v>
      </c>
      <c r="B78" t="s">
        <v>59</v>
      </c>
      <c r="C78" t="s">
        <v>60</v>
      </c>
      <c r="D78">
        <v>1</v>
      </c>
      <c r="E78" t="s">
        <v>63</v>
      </c>
      <c r="F78">
        <v>2038</v>
      </c>
      <c r="G78" t="s">
        <v>2</v>
      </c>
      <c r="H78">
        <v>91487.014914239946</v>
      </c>
      <c r="I78">
        <v>9367.0860002399913</v>
      </c>
    </row>
    <row r="79" spans="1:9" x14ac:dyDescent="0.25">
      <c r="A79" t="s">
        <v>1</v>
      </c>
      <c r="B79" t="s">
        <v>59</v>
      </c>
      <c r="C79" t="s">
        <v>60</v>
      </c>
      <c r="D79">
        <v>1</v>
      </c>
      <c r="E79" t="s">
        <v>63</v>
      </c>
      <c r="F79">
        <v>2039</v>
      </c>
      <c r="G79" t="s">
        <v>2</v>
      </c>
      <c r="H79">
        <v>90277.838485200016</v>
      </c>
      <c r="I79">
        <v>9268.673000640003</v>
      </c>
    </row>
    <row r="80" spans="1:9" x14ac:dyDescent="0.25">
      <c r="A80" t="s">
        <v>1</v>
      </c>
      <c r="B80" t="s">
        <v>59</v>
      </c>
      <c r="C80" t="s">
        <v>60</v>
      </c>
      <c r="D80">
        <v>1</v>
      </c>
      <c r="E80" t="s">
        <v>63</v>
      </c>
      <c r="F80">
        <v>2040</v>
      </c>
      <c r="G80" t="s">
        <v>2</v>
      </c>
      <c r="H80">
        <v>89574.81519911997</v>
      </c>
      <c r="I80">
        <v>9230.1570026399895</v>
      </c>
    </row>
    <row r="81" spans="1:9" x14ac:dyDescent="0.25">
      <c r="A81" t="s">
        <v>1</v>
      </c>
      <c r="B81" t="s">
        <v>59</v>
      </c>
      <c r="C81" t="s">
        <v>60</v>
      </c>
      <c r="D81">
        <v>1</v>
      </c>
      <c r="E81" t="s">
        <v>63</v>
      </c>
      <c r="F81">
        <v>2041</v>
      </c>
      <c r="G81" t="s">
        <v>2</v>
      </c>
      <c r="H81">
        <v>87721.207578959977</v>
      </c>
      <c r="I81">
        <v>9083.2220028000029</v>
      </c>
    </row>
    <row r="82" spans="1:9" x14ac:dyDescent="0.25">
      <c r="A82" t="s">
        <v>1</v>
      </c>
      <c r="B82" t="s">
        <v>59</v>
      </c>
      <c r="C82" t="s">
        <v>60</v>
      </c>
      <c r="D82">
        <v>1</v>
      </c>
      <c r="E82" t="s">
        <v>63</v>
      </c>
      <c r="F82">
        <v>2042</v>
      </c>
      <c r="G82" t="s">
        <v>2</v>
      </c>
      <c r="H82">
        <v>86744.64002255995</v>
      </c>
      <c r="I82">
        <v>9005.5870003199962</v>
      </c>
    </row>
    <row r="83" spans="1:9" x14ac:dyDescent="0.25">
      <c r="A83" t="s">
        <v>1</v>
      </c>
      <c r="B83" t="s">
        <v>59</v>
      </c>
      <c r="C83" t="s">
        <v>60</v>
      </c>
      <c r="D83">
        <v>1</v>
      </c>
      <c r="E83" t="s">
        <v>63</v>
      </c>
      <c r="F83">
        <v>2043</v>
      </c>
      <c r="G83" t="s">
        <v>2</v>
      </c>
      <c r="H83">
        <v>85847.93669471996</v>
      </c>
      <c r="I83">
        <v>8936.5469988000004</v>
      </c>
    </row>
    <row r="84" spans="1:9" x14ac:dyDescent="0.25">
      <c r="A84" t="s">
        <v>1</v>
      </c>
      <c r="B84" t="s">
        <v>59</v>
      </c>
      <c r="C84" t="s">
        <v>60</v>
      </c>
      <c r="D84">
        <v>1</v>
      </c>
      <c r="E84" t="s">
        <v>63</v>
      </c>
      <c r="F84">
        <v>2044</v>
      </c>
      <c r="G84" t="s">
        <v>2</v>
      </c>
      <c r="H84">
        <v>85398.794342160021</v>
      </c>
      <c r="I84">
        <v>8923.7950017600033</v>
      </c>
    </row>
    <row r="85" spans="1:9" x14ac:dyDescent="0.25">
      <c r="A85" t="s">
        <v>1</v>
      </c>
      <c r="B85" t="s">
        <v>59</v>
      </c>
      <c r="C85" t="s">
        <v>60</v>
      </c>
      <c r="D85">
        <v>1</v>
      </c>
      <c r="E85" t="s">
        <v>63</v>
      </c>
      <c r="F85">
        <v>2045</v>
      </c>
      <c r="G85" t="s">
        <v>2</v>
      </c>
      <c r="H85">
        <v>84014.445899999948</v>
      </c>
      <c r="I85">
        <v>8805.8290015199946</v>
      </c>
    </row>
    <row r="86" spans="1:9" x14ac:dyDescent="0.25">
      <c r="A86" t="s">
        <v>1</v>
      </c>
      <c r="B86" t="s">
        <v>59</v>
      </c>
      <c r="C86" t="s">
        <v>60</v>
      </c>
      <c r="D86">
        <v>1</v>
      </c>
      <c r="E86" t="s">
        <v>63</v>
      </c>
      <c r="F86">
        <v>2046</v>
      </c>
      <c r="G86" t="s">
        <v>2</v>
      </c>
      <c r="H86">
        <v>83154.264695280013</v>
      </c>
      <c r="I86">
        <v>8742.6900007200056</v>
      </c>
    </row>
    <row r="87" spans="1:9" x14ac:dyDescent="0.25">
      <c r="A87" t="s">
        <v>1</v>
      </c>
      <c r="B87" t="s">
        <v>59</v>
      </c>
      <c r="C87" t="s">
        <v>60</v>
      </c>
      <c r="D87">
        <v>1</v>
      </c>
      <c r="E87" t="s">
        <v>63</v>
      </c>
      <c r="F87">
        <v>2047</v>
      </c>
      <c r="G87" t="s">
        <v>2</v>
      </c>
      <c r="H87">
        <v>82300.641433439974</v>
      </c>
      <c r="I87">
        <v>8681.2410016800022</v>
      </c>
    </row>
    <row r="88" spans="1:9" x14ac:dyDescent="0.25">
      <c r="A88" t="s">
        <v>1</v>
      </c>
      <c r="B88" t="s">
        <v>59</v>
      </c>
      <c r="C88" t="s">
        <v>60</v>
      </c>
      <c r="D88">
        <v>1</v>
      </c>
      <c r="E88" t="s">
        <v>63</v>
      </c>
      <c r="F88">
        <v>2048</v>
      </c>
      <c r="G88" t="s">
        <v>2</v>
      </c>
      <c r="H88">
        <v>81978.299990159998</v>
      </c>
      <c r="I88">
        <v>8678.2300017600028</v>
      </c>
    </row>
    <row r="89" spans="1:9" x14ac:dyDescent="0.25">
      <c r="A89" t="s">
        <v>1</v>
      </c>
      <c r="B89" t="s">
        <v>59</v>
      </c>
      <c r="C89" t="s">
        <v>60</v>
      </c>
      <c r="D89">
        <v>1</v>
      </c>
      <c r="E89" t="s">
        <v>63</v>
      </c>
      <c r="F89">
        <v>2049</v>
      </c>
      <c r="G89" t="s">
        <v>2</v>
      </c>
      <c r="H89">
        <v>80654.859122160007</v>
      </c>
      <c r="I89">
        <v>8571.3589991999979</v>
      </c>
    </row>
    <row r="90" spans="1:9" x14ac:dyDescent="0.25">
      <c r="A90" t="s">
        <v>1</v>
      </c>
      <c r="B90" t="s">
        <v>59</v>
      </c>
      <c r="C90" t="s">
        <v>60</v>
      </c>
      <c r="D90">
        <v>1</v>
      </c>
      <c r="E90" t="s">
        <v>63</v>
      </c>
      <c r="F90">
        <v>2050</v>
      </c>
      <c r="G90" t="s">
        <v>2</v>
      </c>
      <c r="H90">
        <v>78777.805731359957</v>
      </c>
      <c r="I90">
        <v>8517.3010012800005</v>
      </c>
    </row>
    <row r="91" spans="1:9" x14ac:dyDescent="0.25">
      <c r="A91" t="s">
        <v>1</v>
      </c>
      <c r="B91" t="s">
        <v>59</v>
      </c>
      <c r="C91" t="s">
        <v>60</v>
      </c>
      <c r="D91">
        <v>1</v>
      </c>
      <c r="E91" t="s">
        <v>63</v>
      </c>
      <c r="F91">
        <v>2051</v>
      </c>
      <c r="G91" t="s">
        <v>2</v>
      </c>
      <c r="H91">
        <v>77713.614424799962</v>
      </c>
      <c r="I91">
        <v>8517.3010012800005</v>
      </c>
    </row>
    <row r="92" spans="1:9" x14ac:dyDescent="0.25">
      <c r="A92" t="s">
        <v>1</v>
      </c>
      <c r="B92" t="s">
        <v>59</v>
      </c>
      <c r="C92" t="s">
        <v>60</v>
      </c>
      <c r="D92">
        <v>1</v>
      </c>
      <c r="E92" t="s">
        <v>64</v>
      </c>
      <c r="F92">
        <v>2022</v>
      </c>
      <c r="G92" t="s">
        <v>2</v>
      </c>
      <c r="H92">
        <v>108623.8147329599</v>
      </c>
      <c r="I92">
        <v>10313.269999679997</v>
      </c>
    </row>
    <row r="93" spans="1:9" x14ac:dyDescent="0.25">
      <c r="A93" t="s">
        <v>1</v>
      </c>
      <c r="B93" t="s">
        <v>59</v>
      </c>
      <c r="C93" t="s">
        <v>60</v>
      </c>
      <c r="D93">
        <v>1</v>
      </c>
      <c r="E93" t="s">
        <v>64</v>
      </c>
      <c r="F93">
        <v>2023</v>
      </c>
      <c r="G93" t="s">
        <v>2</v>
      </c>
      <c r="H93">
        <v>109692.29005104001</v>
      </c>
      <c r="I93">
        <v>10432.263001440011</v>
      </c>
    </row>
    <row r="94" spans="1:9" x14ac:dyDescent="0.25">
      <c r="A94" t="s">
        <v>1</v>
      </c>
      <c r="B94" t="s">
        <v>59</v>
      </c>
      <c r="C94" t="s">
        <v>60</v>
      </c>
      <c r="D94">
        <v>1</v>
      </c>
      <c r="E94" t="s">
        <v>64</v>
      </c>
      <c r="F94">
        <v>2024</v>
      </c>
      <c r="G94" t="s">
        <v>2</v>
      </c>
      <c r="H94">
        <v>106082.00815871998</v>
      </c>
      <c r="I94">
        <v>10448.274998639998</v>
      </c>
    </row>
    <row r="95" spans="1:9" x14ac:dyDescent="0.25">
      <c r="A95" t="s">
        <v>1</v>
      </c>
      <c r="B95" t="s">
        <v>59</v>
      </c>
      <c r="C95" t="s">
        <v>60</v>
      </c>
      <c r="D95">
        <v>1</v>
      </c>
      <c r="E95" t="s">
        <v>64</v>
      </c>
      <c r="F95">
        <v>2025</v>
      </c>
      <c r="G95" t="s">
        <v>2</v>
      </c>
      <c r="H95">
        <v>106236.00639984004</v>
      </c>
      <c r="I95">
        <v>10306.3389984</v>
      </c>
    </row>
    <row r="96" spans="1:9" x14ac:dyDescent="0.25">
      <c r="A96" t="s">
        <v>1</v>
      </c>
      <c r="B96" t="s">
        <v>59</v>
      </c>
      <c r="C96" t="s">
        <v>60</v>
      </c>
      <c r="D96">
        <v>1</v>
      </c>
      <c r="E96" t="s">
        <v>64</v>
      </c>
      <c r="F96">
        <v>2026</v>
      </c>
      <c r="G96" t="s">
        <v>2</v>
      </c>
      <c r="H96">
        <v>104634.60050399996</v>
      </c>
      <c r="I96">
        <v>10192.237999439991</v>
      </c>
    </row>
    <row r="97" spans="1:9" x14ac:dyDescent="0.25">
      <c r="A97" t="s">
        <v>1</v>
      </c>
      <c r="B97" t="s">
        <v>59</v>
      </c>
      <c r="C97" t="s">
        <v>60</v>
      </c>
      <c r="D97">
        <v>1</v>
      </c>
      <c r="E97" t="s">
        <v>64</v>
      </c>
      <c r="F97">
        <v>2027</v>
      </c>
      <c r="G97" t="s">
        <v>2</v>
      </c>
      <c r="H97">
        <v>105100.73814432001</v>
      </c>
      <c r="I97">
        <v>10036.335997919998</v>
      </c>
    </row>
    <row r="98" spans="1:9" x14ac:dyDescent="0.25">
      <c r="A98" t="s">
        <v>1</v>
      </c>
      <c r="B98" t="s">
        <v>59</v>
      </c>
      <c r="C98" t="s">
        <v>60</v>
      </c>
      <c r="D98">
        <v>1</v>
      </c>
      <c r="E98" t="s">
        <v>64</v>
      </c>
      <c r="F98">
        <v>2028</v>
      </c>
      <c r="G98" t="s">
        <v>2</v>
      </c>
      <c r="H98">
        <v>102925.21900392004</v>
      </c>
      <c r="I98">
        <v>9924.2709983999957</v>
      </c>
    </row>
    <row r="99" spans="1:9" x14ac:dyDescent="0.25">
      <c r="A99" t="s">
        <v>1</v>
      </c>
      <c r="B99" t="s">
        <v>59</v>
      </c>
      <c r="C99" t="s">
        <v>60</v>
      </c>
      <c r="D99">
        <v>1</v>
      </c>
      <c r="E99" t="s">
        <v>64</v>
      </c>
      <c r="F99">
        <v>2029</v>
      </c>
      <c r="G99" t="s">
        <v>2</v>
      </c>
      <c r="H99">
        <v>100184.10358344005</v>
      </c>
      <c r="I99">
        <v>9669.3160003199937</v>
      </c>
    </row>
    <row r="100" spans="1:9" x14ac:dyDescent="0.25">
      <c r="A100" t="s">
        <v>1</v>
      </c>
      <c r="B100" t="s">
        <v>59</v>
      </c>
      <c r="C100" t="s">
        <v>60</v>
      </c>
      <c r="D100">
        <v>1</v>
      </c>
      <c r="E100" t="s">
        <v>64</v>
      </c>
      <c r="F100">
        <v>2030</v>
      </c>
      <c r="G100" t="s">
        <v>2</v>
      </c>
      <c r="H100">
        <v>98608.106738160015</v>
      </c>
      <c r="I100">
        <v>9489.6719987999968</v>
      </c>
    </row>
    <row r="101" spans="1:9" x14ac:dyDescent="0.25">
      <c r="A101" t="s">
        <v>1</v>
      </c>
      <c r="B101" t="s">
        <v>59</v>
      </c>
      <c r="C101" t="s">
        <v>60</v>
      </c>
      <c r="D101">
        <v>1</v>
      </c>
      <c r="E101" t="s">
        <v>64</v>
      </c>
      <c r="F101">
        <v>2031</v>
      </c>
      <c r="G101" t="s">
        <v>2</v>
      </c>
      <c r="H101">
        <v>96880.732482480002</v>
      </c>
      <c r="I101">
        <v>9313.8820000799969</v>
      </c>
    </row>
    <row r="102" spans="1:9" x14ac:dyDescent="0.25">
      <c r="A102" t="s">
        <v>1</v>
      </c>
      <c r="B102" t="s">
        <v>59</v>
      </c>
      <c r="C102" t="s">
        <v>60</v>
      </c>
      <c r="D102">
        <v>1</v>
      </c>
      <c r="E102" t="s">
        <v>64</v>
      </c>
      <c r="F102">
        <v>2032</v>
      </c>
      <c r="G102" t="s">
        <v>2</v>
      </c>
      <c r="H102">
        <v>95881.300762080005</v>
      </c>
      <c r="I102">
        <v>9206.1839999999975</v>
      </c>
    </row>
    <row r="103" spans="1:9" x14ac:dyDescent="0.25">
      <c r="A103" t="s">
        <v>1</v>
      </c>
      <c r="B103" t="s">
        <v>59</v>
      </c>
      <c r="C103" t="s">
        <v>60</v>
      </c>
      <c r="D103">
        <v>1</v>
      </c>
      <c r="E103" t="s">
        <v>64</v>
      </c>
      <c r="F103">
        <v>2033</v>
      </c>
      <c r="G103" t="s">
        <v>2</v>
      </c>
      <c r="H103">
        <v>93630.606382080048</v>
      </c>
      <c r="I103">
        <v>8963.1040012799949</v>
      </c>
    </row>
    <row r="104" spans="1:9" x14ac:dyDescent="0.25">
      <c r="A104" t="s">
        <v>1</v>
      </c>
      <c r="B104" t="s">
        <v>59</v>
      </c>
      <c r="C104" t="s">
        <v>60</v>
      </c>
      <c r="D104">
        <v>1</v>
      </c>
      <c r="E104" t="s">
        <v>64</v>
      </c>
      <c r="F104">
        <v>2034</v>
      </c>
      <c r="G104" t="s">
        <v>2</v>
      </c>
      <c r="H104">
        <v>91867.400829599894</v>
      </c>
      <c r="I104">
        <v>8802.7369996799971</v>
      </c>
    </row>
    <row r="105" spans="1:9" x14ac:dyDescent="0.25">
      <c r="A105" t="s">
        <v>1</v>
      </c>
      <c r="B105" t="s">
        <v>59</v>
      </c>
      <c r="C105" t="s">
        <v>60</v>
      </c>
      <c r="D105">
        <v>1</v>
      </c>
      <c r="E105" t="s">
        <v>64</v>
      </c>
      <c r="F105">
        <v>2035</v>
      </c>
      <c r="G105" t="s">
        <v>2</v>
      </c>
      <c r="H105">
        <v>90379.931801760031</v>
      </c>
      <c r="I105">
        <v>8650.6770011999961</v>
      </c>
    </row>
    <row r="106" spans="1:9" x14ac:dyDescent="0.25">
      <c r="A106" t="s">
        <v>1</v>
      </c>
      <c r="B106" t="s">
        <v>59</v>
      </c>
      <c r="C106" t="s">
        <v>60</v>
      </c>
      <c r="D106">
        <v>1</v>
      </c>
      <c r="E106" t="s">
        <v>64</v>
      </c>
      <c r="F106">
        <v>2036</v>
      </c>
      <c r="G106" t="s">
        <v>2</v>
      </c>
      <c r="H106">
        <v>89611.737750000058</v>
      </c>
      <c r="I106">
        <v>8565.7640004000059</v>
      </c>
    </row>
    <row r="107" spans="1:9" x14ac:dyDescent="0.25">
      <c r="A107" t="s">
        <v>1</v>
      </c>
      <c r="B107" t="s">
        <v>59</v>
      </c>
      <c r="C107" t="s">
        <v>60</v>
      </c>
      <c r="D107">
        <v>1</v>
      </c>
      <c r="E107" t="s">
        <v>64</v>
      </c>
      <c r="F107">
        <v>2037</v>
      </c>
      <c r="G107" t="s">
        <v>2</v>
      </c>
      <c r="H107">
        <v>87550.777972800046</v>
      </c>
      <c r="I107">
        <v>8354.3910009600022</v>
      </c>
    </row>
    <row r="108" spans="1:9" x14ac:dyDescent="0.25">
      <c r="A108" t="s">
        <v>1</v>
      </c>
      <c r="B108" t="s">
        <v>59</v>
      </c>
      <c r="C108" t="s">
        <v>60</v>
      </c>
      <c r="D108">
        <v>1</v>
      </c>
      <c r="E108" t="s">
        <v>64</v>
      </c>
      <c r="F108">
        <v>2038</v>
      </c>
      <c r="G108" t="s">
        <v>2</v>
      </c>
      <c r="H108">
        <v>86199.522295679999</v>
      </c>
      <c r="I108">
        <v>8188.9810003200009</v>
      </c>
    </row>
    <row r="109" spans="1:9" x14ac:dyDescent="0.25">
      <c r="A109" t="s">
        <v>1</v>
      </c>
      <c r="B109" t="s">
        <v>59</v>
      </c>
      <c r="C109" t="s">
        <v>60</v>
      </c>
      <c r="D109">
        <v>1</v>
      </c>
      <c r="E109" t="s">
        <v>64</v>
      </c>
      <c r="F109">
        <v>2039</v>
      </c>
      <c r="G109" t="s">
        <v>2</v>
      </c>
      <c r="H109">
        <v>84899.079185520022</v>
      </c>
      <c r="I109">
        <v>8003.293002239996</v>
      </c>
    </row>
    <row r="110" spans="1:9" x14ac:dyDescent="0.25">
      <c r="A110" t="s">
        <v>1</v>
      </c>
      <c r="B110" t="s">
        <v>59</v>
      </c>
      <c r="C110" t="s">
        <v>60</v>
      </c>
      <c r="D110">
        <v>1</v>
      </c>
      <c r="E110" t="s">
        <v>64</v>
      </c>
      <c r="F110">
        <v>2040</v>
      </c>
      <c r="G110" t="s">
        <v>2</v>
      </c>
      <c r="H110">
        <v>83937.453120479913</v>
      </c>
      <c r="I110">
        <v>7904.0139995999971</v>
      </c>
    </row>
    <row r="111" spans="1:9" x14ac:dyDescent="0.25">
      <c r="A111" t="s">
        <v>1</v>
      </c>
      <c r="B111" t="s">
        <v>59</v>
      </c>
      <c r="C111" t="s">
        <v>60</v>
      </c>
      <c r="D111">
        <v>1</v>
      </c>
      <c r="E111" t="s">
        <v>64</v>
      </c>
      <c r="F111">
        <v>2041</v>
      </c>
      <c r="G111" t="s">
        <v>2</v>
      </c>
      <c r="H111">
        <v>82240.341124319952</v>
      </c>
      <c r="I111">
        <v>7705.7029979999961</v>
      </c>
    </row>
    <row r="112" spans="1:9" x14ac:dyDescent="0.25">
      <c r="A112" t="s">
        <v>1</v>
      </c>
      <c r="B112" t="s">
        <v>59</v>
      </c>
      <c r="C112" t="s">
        <v>60</v>
      </c>
      <c r="D112">
        <v>1</v>
      </c>
      <c r="E112" t="s">
        <v>64</v>
      </c>
      <c r="F112">
        <v>2042</v>
      </c>
      <c r="G112" t="s">
        <v>2</v>
      </c>
      <c r="H112">
        <v>80922.660521519952</v>
      </c>
      <c r="I112">
        <v>7579.9619995199946</v>
      </c>
    </row>
    <row r="113" spans="1:12" x14ac:dyDescent="0.25">
      <c r="A113" t="s">
        <v>1</v>
      </c>
      <c r="B113" t="s">
        <v>59</v>
      </c>
      <c r="C113" t="s">
        <v>60</v>
      </c>
      <c r="D113">
        <v>1</v>
      </c>
      <c r="E113" t="s">
        <v>64</v>
      </c>
      <c r="F113">
        <v>2043</v>
      </c>
      <c r="G113" t="s">
        <v>2</v>
      </c>
      <c r="H113">
        <v>79834.483124880077</v>
      </c>
      <c r="I113">
        <v>7460.8590002399978</v>
      </c>
    </row>
    <row r="114" spans="1:12" x14ac:dyDescent="0.25">
      <c r="A114" t="s">
        <v>1</v>
      </c>
      <c r="B114" t="s">
        <v>59</v>
      </c>
      <c r="C114" t="s">
        <v>60</v>
      </c>
      <c r="D114">
        <v>1</v>
      </c>
      <c r="E114" t="s">
        <v>64</v>
      </c>
      <c r="F114">
        <v>2044</v>
      </c>
      <c r="G114" t="s">
        <v>2</v>
      </c>
      <c r="H114">
        <v>78549.166191119963</v>
      </c>
      <c r="I114">
        <v>7407.0079984799977</v>
      </c>
    </row>
    <row r="115" spans="1:12" x14ac:dyDescent="0.25">
      <c r="A115" t="s">
        <v>1</v>
      </c>
      <c r="B115" t="s">
        <v>59</v>
      </c>
      <c r="C115" t="s">
        <v>60</v>
      </c>
      <c r="D115">
        <v>1</v>
      </c>
      <c r="E115" t="s">
        <v>64</v>
      </c>
      <c r="F115">
        <v>2045</v>
      </c>
      <c r="G115" t="s">
        <v>2</v>
      </c>
      <c r="H115">
        <v>77546.702543039952</v>
      </c>
      <c r="I115">
        <v>7231.2329997600027</v>
      </c>
    </row>
    <row r="116" spans="1:12" x14ac:dyDescent="0.25">
      <c r="A116" t="s">
        <v>1</v>
      </c>
      <c r="B116" t="s">
        <v>59</v>
      </c>
      <c r="C116" t="s">
        <v>60</v>
      </c>
      <c r="D116">
        <v>1</v>
      </c>
      <c r="E116" t="s">
        <v>64</v>
      </c>
      <c r="F116">
        <v>2046</v>
      </c>
      <c r="G116" t="s">
        <v>2</v>
      </c>
      <c r="H116">
        <v>76485.829843679996</v>
      </c>
      <c r="I116">
        <v>7089.1380000000045</v>
      </c>
    </row>
    <row r="117" spans="1:12" x14ac:dyDescent="0.25">
      <c r="A117" t="s">
        <v>1</v>
      </c>
      <c r="B117" t="s">
        <v>59</v>
      </c>
      <c r="C117" t="s">
        <v>60</v>
      </c>
      <c r="D117">
        <v>1</v>
      </c>
      <c r="E117" t="s">
        <v>64</v>
      </c>
      <c r="F117">
        <v>2047</v>
      </c>
      <c r="G117" t="s">
        <v>2</v>
      </c>
      <c r="H117">
        <v>74123.728085039998</v>
      </c>
      <c r="I117">
        <v>6947.735999280002</v>
      </c>
    </row>
    <row r="118" spans="1:12" x14ac:dyDescent="0.25">
      <c r="A118" t="s">
        <v>1</v>
      </c>
      <c r="B118" t="s">
        <v>59</v>
      </c>
      <c r="C118" t="s">
        <v>60</v>
      </c>
      <c r="D118">
        <v>1</v>
      </c>
      <c r="E118" t="s">
        <v>64</v>
      </c>
      <c r="F118">
        <v>2048</v>
      </c>
      <c r="G118" t="s">
        <v>2</v>
      </c>
      <c r="H118">
        <v>76036.117457040004</v>
      </c>
      <c r="I118">
        <v>6877.6280018400003</v>
      </c>
    </row>
    <row r="119" spans="1:12" x14ac:dyDescent="0.25">
      <c r="A119" t="s">
        <v>1</v>
      </c>
      <c r="B119" t="s">
        <v>59</v>
      </c>
      <c r="C119" t="s">
        <v>60</v>
      </c>
      <c r="D119">
        <v>1</v>
      </c>
      <c r="E119" t="s">
        <v>64</v>
      </c>
      <c r="F119">
        <v>2049</v>
      </c>
      <c r="G119" t="s">
        <v>2</v>
      </c>
      <c r="H119">
        <v>73389.140325360015</v>
      </c>
      <c r="I119">
        <v>6731.6530005600007</v>
      </c>
    </row>
    <row r="120" spans="1:12" x14ac:dyDescent="0.25">
      <c r="A120" t="s">
        <v>1</v>
      </c>
      <c r="B120" t="s">
        <v>59</v>
      </c>
      <c r="C120" t="s">
        <v>60</v>
      </c>
      <c r="D120">
        <v>1</v>
      </c>
      <c r="E120" t="s">
        <v>64</v>
      </c>
      <c r="F120">
        <v>2050</v>
      </c>
      <c r="G120" t="s">
        <v>2</v>
      </c>
      <c r="H120">
        <v>70618.729012319978</v>
      </c>
      <c r="I120">
        <v>6597.8060008799994</v>
      </c>
    </row>
    <row r="121" spans="1:12" x14ac:dyDescent="0.25">
      <c r="A121" t="s">
        <v>1</v>
      </c>
      <c r="B121" t="s">
        <v>59</v>
      </c>
      <c r="C121" t="s">
        <v>60</v>
      </c>
      <c r="D121">
        <v>1</v>
      </c>
      <c r="E121" t="s">
        <v>64</v>
      </c>
      <c r="F121">
        <v>2051</v>
      </c>
      <c r="G121" t="s">
        <v>2</v>
      </c>
      <c r="H121">
        <v>71383.634452079961</v>
      </c>
      <c r="I121">
        <v>6597.8060008799994</v>
      </c>
    </row>
    <row r="122" spans="1:12" x14ac:dyDescent="0.25">
      <c r="A122" t="s">
        <v>1</v>
      </c>
      <c r="B122" t="s">
        <v>59</v>
      </c>
      <c r="C122" t="s">
        <v>60</v>
      </c>
      <c r="D122">
        <v>1</v>
      </c>
      <c r="E122" t="s">
        <v>65</v>
      </c>
      <c r="F122">
        <v>2022</v>
      </c>
      <c r="G122" t="s">
        <v>2</v>
      </c>
      <c r="H122">
        <v>108623.81473175995</v>
      </c>
      <c r="I122">
        <v>10313.269999679997</v>
      </c>
      <c r="J122" s="2"/>
      <c r="K122" s="2"/>
      <c r="L122" s="131"/>
    </row>
    <row r="123" spans="1:12" x14ac:dyDescent="0.25">
      <c r="A123" t="s">
        <v>1</v>
      </c>
      <c r="B123" t="s">
        <v>59</v>
      </c>
      <c r="C123" t="s">
        <v>60</v>
      </c>
      <c r="D123">
        <v>1</v>
      </c>
      <c r="E123" t="s">
        <v>65</v>
      </c>
      <c r="F123">
        <v>2023</v>
      </c>
      <c r="G123" t="s">
        <v>2</v>
      </c>
      <c r="H123">
        <v>109777.29375335996</v>
      </c>
      <c r="I123">
        <v>10443.243000960007</v>
      </c>
      <c r="J123" s="2"/>
      <c r="K123" s="2"/>
      <c r="L123" s="131"/>
    </row>
    <row r="124" spans="1:12" x14ac:dyDescent="0.25">
      <c r="A124" t="s">
        <v>1</v>
      </c>
      <c r="B124" t="s">
        <v>59</v>
      </c>
      <c r="C124" t="s">
        <v>60</v>
      </c>
      <c r="D124">
        <v>1</v>
      </c>
      <c r="E124" t="s">
        <v>65</v>
      </c>
      <c r="F124">
        <v>2024</v>
      </c>
      <c r="G124" t="s">
        <v>2</v>
      </c>
      <c r="H124">
        <v>106330.46572319999</v>
      </c>
      <c r="I124">
        <v>10498.283997840004</v>
      </c>
      <c r="J124" s="2"/>
      <c r="K124" s="2"/>
      <c r="L124" s="131"/>
    </row>
    <row r="125" spans="1:12" x14ac:dyDescent="0.25">
      <c r="A125" t="s">
        <v>1</v>
      </c>
      <c r="B125" t="s">
        <v>59</v>
      </c>
      <c r="C125" t="s">
        <v>60</v>
      </c>
      <c r="D125">
        <v>1</v>
      </c>
      <c r="E125" t="s">
        <v>65</v>
      </c>
      <c r="F125">
        <v>2025</v>
      </c>
      <c r="G125" t="s">
        <v>2</v>
      </c>
      <c r="H125">
        <v>106757.60927328003</v>
      </c>
      <c r="I125">
        <v>10352.164000560002</v>
      </c>
      <c r="J125" s="2"/>
      <c r="K125" s="2"/>
      <c r="L125" s="131"/>
    </row>
    <row r="126" spans="1:12" x14ac:dyDescent="0.25">
      <c r="A126" t="s">
        <v>1</v>
      </c>
      <c r="B126" t="s">
        <v>59</v>
      </c>
      <c r="C126" t="s">
        <v>60</v>
      </c>
      <c r="D126">
        <v>1</v>
      </c>
      <c r="E126" t="s">
        <v>65</v>
      </c>
      <c r="F126">
        <v>2026</v>
      </c>
      <c r="G126" t="s">
        <v>2</v>
      </c>
      <c r="H126">
        <v>104758.24625304002</v>
      </c>
      <c r="I126">
        <v>10186.75499880001</v>
      </c>
      <c r="J126" s="2"/>
      <c r="K126" s="2"/>
      <c r="L126" s="131"/>
    </row>
    <row r="127" spans="1:12" x14ac:dyDescent="0.25">
      <c r="A127" t="s">
        <v>1</v>
      </c>
      <c r="B127" t="s">
        <v>59</v>
      </c>
      <c r="C127" t="s">
        <v>60</v>
      </c>
      <c r="D127">
        <v>1</v>
      </c>
      <c r="E127" t="s">
        <v>65</v>
      </c>
      <c r="F127">
        <v>2027</v>
      </c>
      <c r="G127" t="s">
        <v>2</v>
      </c>
      <c r="H127">
        <v>103364.53540944</v>
      </c>
      <c r="I127">
        <v>10017.477001680003</v>
      </c>
      <c r="J127" s="2"/>
      <c r="K127" s="2"/>
      <c r="L127" s="131"/>
    </row>
    <row r="128" spans="1:12" x14ac:dyDescent="0.25">
      <c r="A128" t="s">
        <v>1</v>
      </c>
      <c r="B128" t="s">
        <v>59</v>
      </c>
      <c r="C128" t="s">
        <v>60</v>
      </c>
      <c r="D128">
        <v>1</v>
      </c>
      <c r="E128" t="s">
        <v>65</v>
      </c>
      <c r="F128">
        <v>2028</v>
      </c>
      <c r="G128" t="s">
        <v>2</v>
      </c>
      <c r="H128">
        <v>102929.49525144005</v>
      </c>
      <c r="I128">
        <v>9907.7560012799931</v>
      </c>
      <c r="J128" s="2"/>
      <c r="K128" s="2"/>
      <c r="L128" s="131"/>
    </row>
    <row r="129" spans="1:12" x14ac:dyDescent="0.25">
      <c r="A129" t="s">
        <v>1</v>
      </c>
      <c r="B129" t="s">
        <v>59</v>
      </c>
      <c r="C129" t="s">
        <v>60</v>
      </c>
      <c r="D129">
        <v>1</v>
      </c>
      <c r="E129" t="s">
        <v>65</v>
      </c>
      <c r="F129">
        <v>2029</v>
      </c>
      <c r="G129" t="s">
        <v>2</v>
      </c>
      <c r="H129">
        <v>100494.01908600004</v>
      </c>
      <c r="I129">
        <v>9671.09999952</v>
      </c>
      <c r="J129" s="2"/>
      <c r="K129" s="2"/>
      <c r="L129" s="131"/>
    </row>
    <row r="130" spans="1:12" x14ac:dyDescent="0.25">
      <c r="A130" t="s">
        <v>1</v>
      </c>
      <c r="B130" t="s">
        <v>59</v>
      </c>
      <c r="C130" t="s">
        <v>60</v>
      </c>
      <c r="D130">
        <v>1</v>
      </c>
      <c r="E130" t="s">
        <v>65</v>
      </c>
      <c r="F130">
        <v>2030</v>
      </c>
      <c r="G130" t="s">
        <v>2</v>
      </c>
      <c r="H130">
        <v>98989.72939007997</v>
      </c>
      <c r="I130">
        <v>9499.4039985599993</v>
      </c>
      <c r="J130" s="2"/>
      <c r="K130" s="2"/>
      <c r="L130" s="131"/>
    </row>
    <row r="131" spans="1:12" x14ac:dyDescent="0.25">
      <c r="A131" t="s">
        <v>1</v>
      </c>
      <c r="B131" t="s">
        <v>59</v>
      </c>
      <c r="C131" t="s">
        <v>60</v>
      </c>
      <c r="D131">
        <v>1</v>
      </c>
      <c r="E131" t="s">
        <v>65</v>
      </c>
      <c r="F131">
        <v>2031</v>
      </c>
      <c r="G131" t="s">
        <v>2</v>
      </c>
      <c r="H131">
        <v>97450.272055920053</v>
      </c>
      <c r="I131">
        <v>9330.8759973599936</v>
      </c>
      <c r="J131" s="2"/>
      <c r="K131" s="2"/>
      <c r="L131" s="131"/>
    </row>
    <row r="132" spans="1:12" x14ac:dyDescent="0.25">
      <c r="A132" t="s">
        <v>1</v>
      </c>
      <c r="B132" t="s">
        <v>59</v>
      </c>
      <c r="C132" t="s">
        <v>60</v>
      </c>
      <c r="D132">
        <v>1</v>
      </c>
      <c r="E132" t="s">
        <v>65</v>
      </c>
      <c r="F132">
        <v>2032</v>
      </c>
      <c r="G132" t="s">
        <v>2</v>
      </c>
      <c r="H132">
        <v>96642.14448120007</v>
      </c>
      <c r="I132">
        <v>9225.1120003200031</v>
      </c>
      <c r="J132" s="2"/>
      <c r="K132" s="2"/>
      <c r="L132" s="131"/>
    </row>
    <row r="133" spans="1:12" x14ac:dyDescent="0.25">
      <c r="A133" t="s">
        <v>1</v>
      </c>
      <c r="B133" t="s">
        <v>59</v>
      </c>
      <c r="C133" t="s">
        <v>60</v>
      </c>
      <c r="D133">
        <v>1</v>
      </c>
      <c r="E133" t="s">
        <v>65</v>
      </c>
      <c r="F133">
        <v>2033</v>
      </c>
      <c r="G133" t="s">
        <v>2</v>
      </c>
      <c r="H133">
        <v>94653.221735279993</v>
      </c>
      <c r="I133">
        <v>9004.7649998400047</v>
      </c>
      <c r="J133" s="2"/>
      <c r="K133" s="2"/>
      <c r="L133" s="131"/>
    </row>
    <row r="134" spans="1:12" x14ac:dyDescent="0.25">
      <c r="A134" t="s">
        <v>1</v>
      </c>
      <c r="B134" t="s">
        <v>59</v>
      </c>
      <c r="C134" t="s">
        <v>60</v>
      </c>
      <c r="D134">
        <v>1</v>
      </c>
      <c r="E134" t="s">
        <v>65</v>
      </c>
      <c r="F134">
        <v>2034</v>
      </c>
      <c r="G134" t="s">
        <v>2</v>
      </c>
      <c r="H134">
        <v>93310.422054239971</v>
      </c>
      <c r="I134">
        <v>8851.563999359998</v>
      </c>
      <c r="J134" s="2"/>
      <c r="K134" s="2"/>
      <c r="L134" s="131"/>
    </row>
    <row r="135" spans="1:12" x14ac:dyDescent="0.25">
      <c r="A135" t="s">
        <v>1</v>
      </c>
      <c r="B135" t="s">
        <v>59</v>
      </c>
      <c r="C135" t="s">
        <v>60</v>
      </c>
      <c r="D135">
        <v>1</v>
      </c>
      <c r="E135" t="s">
        <v>65</v>
      </c>
      <c r="F135">
        <v>2035</v>
      </c>
      <c r="G135" t="s">
        <v>2</v>
      </c>
      <c r="H135">
        <v>92079.192736799901</v>
      </c>
      <c r="I135">
        <v>8705.0019996000028</v>
      </c>
      <c r="J135" s="2"/>
      <c r="K135" s="2"/>
      <c r="L135" s="131"/>
    </row>
    <row r="136" spans="1:12" x14ac:dyDescent="0.25">
      <c r="A136" t="s">
        <v>1</v>
      </c>
      <c r="B136" t="s">
        <v>59</v>
      </c>
      <c r="C136" t="s">
        <v>60</v>
      </c>
      <c r="D136">
        <v>1</v>
      </c>
      <c r="E136" t="s">
        <v>65</v>
      </c>
      <c r="F136">
        <v>2036</v>
      </c>
      <c r="G136" t="s">
        <v>2</v>
      </c>
      <c r="H136">
        <v>91510.678356240038</v>
      </c>
      <c r="I136">
        <v>8618.7749988000014</v>
      </c>
      <c r="J136" s="2"/>
      <c r="K136" s="2"/>
      <c r="L136" s="131"/>
    </row>
    <row r="137" spans="1:12" x14ac:dyDescent="0.25">
      <c r="A137" t="s">
        <v>1</v>
      </c>
      <c r="B137" t="s">
        <v>59</v>
      </c>
      <c r="C137" t="s">
        <v>60</v>
      </c>
      <c r="D137">
        <v>1</v>
      </c>
      <c r="E137" t="s">
        <v>65</v>
      </c>
      <c r="F137">
        <v>2037</v>
      </c>
      <c r="G137" t="s">
        <v>2</v>
      </c>
      <c r="H137">
        <v>89540.930827920049</v>
      </c>
      <c r="I137">
        <v>8424.399999840005</v>
      </c>
      <c r="J137" s="2"/>
      <c r="K137" s="2"/>
      <c r="L137" s="131"/>
    </row>
    <row r="138" spans="1:12" x14ac:dyDescent="0.25">
      <c r="A138" t="s">
        <v>1</v>
      </c>
      <c r="B138" t="s">
        <v>59</v>
      </c>
      <c r="C138" t="s">
        <v>60</v>
      </c>
      <c r="D138">
        <v>1</v>
      </c>
      <c r="E138" t="s">
        <v>65</v>
      </c>
      <c r="F138">
        <v>2038</v>
      </c>
      <c r="G138" t="s">
        <v>2</v>
      </c>
      <c r="H138">
        <v>88449.181359840033</v>
      </c>
      <c r="I138">
        <v>8285.7540014399983</v>
      </c>
      <c r="J138" s="2"/>
      <c r="K138" s="2"/>
      <c r="L138" s="131"/>
    </row>
    <row r="139" spans="1:12" x14ac:dyDescent="0.25">
      <c r="A139" t="s">
        <v>1</v>
      </c>
      <c r="B139" t="s">
        <v>59</v>
      </c>
      <c r="C139" t="s">
        <v>60</v>
      </c>
      <c r="D139">
        <v>1</v>
      </c>
      <c r="E139" t="s">
        <v>65</v>
      </c>
      <c r="F139">
        <v>2039</v>
      </c>
      <c r="G139" t="s">
        <v>2</v>
      </c>
      <c r="H139">
        <v>87422.159950320041</v>
      </c>
      <c r="I139">
        <v>8146.1530010400074</v>
      </c>
      <c r="J139" s="2"/>
      <c r="K139" s="2"/>
      <c r="L139" s="131"/>
    </row>
    <row r="140" spans="1:12" x14ac:dyDescent="0.25">
      <c r="A140" t="s">
        <v>1</v>
      </c>
      <c r="B140" t="s">
        <v>59</v>
      </c>
      <c r="C140" t="s">
        <v>60</v>
      </c>
      <c r="D140">
        <v>1</v>
      </c>
      <c r="E140" t="s">
        <v>65</v>
      </c>
      <c r="F140">
        <v>2040</v>
      </c>
      <c r="G140" t="s">
        <v>2</v>
      </c>
      <c r="H140">
        <v>86941.83898631997</v>
      </c>
      <c r="I140">
        <v>8066.2589992800022</v>
      </c>
      <c r="J140" s="2"/>
      <c r="K140" s="2"/>
      <c r="L140" s="131"/>
    </row>
    <row r="141" spans="1:12" x14ac:dyDescent="0.25">
      <c r="A141" t="s">
        <v>1</v>
      </c>
      <c r="B141" t="s">
        <v>59</v>
      </c>
      <c r="C141" t="s">
        <v>60</v>
      </c>
      <c r="D141">
        <v>1</v>
      </c>
      <c r="E141" t="s">
        <v>65</v>
      </c>
      <c r="F141">
        <v>2041</v>
      </c>
      <c r="G141" t="s">
        <v>2</v>
      </c>
      <c r="H141">
        <v>85468.248642480045</v>
      </c>
      <c r="I141">
        <v>7890.2610004799999</v>
      </c>
      <c r="J141" s="2"/>
      <c r="K141" s="2"/>
      <c r="L141" s="131"/>
    </row>
    <row r="142" spans="1:12" x14ac:dyDescent="0.25">
      <c r="A142" t="s">
        <v>1</v>
      </c>
      <c r="B142" t="s">
        <v>59</v>
      </c>
      <c r="C142" t="s">
        <v>60</v>
      </c>
      <c r="D142">
        <v>1</v>
      </c>
      <c r="E142" t="s">
        <v>65</v>
      </c>
      <c r="F142">
        <v>2042</v>
      </c>
      <c r="G142" t="s">
        <v>2</v>
      </c>
      <c r="H142">
        <v>84541.959510720015</v>
      </c>
      <c r="I142">
        <v>7773.7369994400015</v>
      </c>
      <c r="J142" s="2"/>
      <c r="K142" s="2"/>
      <c r="L142" s="131"/>
    </row>
    <row r="143" spans="1:12" x14ac:dyDescent="0.25">
      <c r="A143" t="s">
        <v>1</v>
      </c>
      <c r="B143" t="s">
        <v>59</v>
      </c>
      <c r="C143" t="s">
        <v>60</v>
      </c>
      <c r="D143">
        <v>1</v>
      </c>
      <c r="E143" t="s">
        <v>65</v>
      </c>
      <c r="F143">
        <v>2043</v>
      </c>
      <c r="G143" t="s">
        <v>2</v>
      </c>
      <c r="H143">
        <v>83687.589783600051</v>
      </c>
      <c r="I143">
        <v>7661.4889996800048</v>
      </c>
      <c r="J143" s="2"/>
      <c r="K143" s="2"/>
      <c r="L143" s="131"/>
    </row>
    <row r="144" spans="1:12" x14ac:dyDescent="0.25">
      <c r="A144" t="s">
        <v>1</v>
      </c>
      <c r="B144" t="s">
        <v>59</v>
      </c>
      <c r="C144" t="s">
        <v>60</v>
      </c>
      <c r="D144">
        <v>1</v>
      </c>
      <c r="E144" t="s">
        <v>65</v>
      </c>
      <c r="F144">
        <v>2044</v>
      </c>
      <c r="G144" t="s">
        <v>2</v>
      </c>
      <c r="H144">
        <v>83216.637648480013</v>
      </c>
      <c r="I144">
        <v>7601.6080015200059</v>
      </c>
      <c r="J144" s="2"/>
      <c r="K144" s="2"/>
      <c r="L144" s="131"/>
    </row>
    <row r="145" spans="1:12" x14ac:dyDescent="0.25">
      <c r="A145" t="s">
        <v>1</v>
      </c>
      <c r="B145" t="s">
        <v>59</v>
      </c>
      <c r="C145" t="s">
        <v>60</v>
      </c>
      <c r="D145">
        <v>1</v>
      </c>
      <c r="E145" t="s">
        <v>65</v>
      </c>
      <c r="F145">
        <v>2045</v>
      </c>
      <c r="G145" t="s">
        <v>2</v>
      </c>
      <c r="H145">
        <v>81901.160385600015</v>
      </c>
      <c r="I145">
        <v>7444.381997999998</v>
      </c>
      <c r="J145" s="2"/>
      <c r="K145" s="2"/>
      <c r="L145" s="131"/>
    </row>
    <row r="146" spans="1:12" x14ac:dyDescent="0.25">
      <c r="A146" t="s">
        <v>1</v>
      </c>
      <c r="B146" t="s">
        <v>59</v>
      </c>
      <c r="C146" t="s">
        <v>60</v>
      </c>
      <c r="D146">
        <v>1</v>
      </c>
      <c r="E146" t="s">
        <v>65</v>
      </c>
      <c r="F146">
        <v>2046</v>
      </c>
      <c r="G146" t="s">
        <v>2</v>
      </c>
      <c r="H146">
        <v>81113.28267167999</v>
      </c>
      <c r="I146">
        <v>7333.6050009599976</v>
      </c>
      <c r="J146" s="2"/>
      <c r="K146" s="2"/>
      <c r="L146" s="131"/>
    </row>
    <row r="147" spans="1:12" x14ac:dyDescent="0.25">
      <c r="A147" t="s">
        <v>1</v>
      </c>
      <c r="B147" t="s">
        <v>59</v>
      </c>
      <c r="C147" t="s">
        <v>60</v>
      </c>
      <c r="D147">
        <v>1</v>
      </c>
      <c r="E147" t="s">
        <v>65</v>
      </c>
      <c r="F147">
        <v>2047</v>
      </c>
      <c r="G147" t="s">
        <v>2</v>
      </c>
      <c r="H147">
        <v>80344.777412159936</v>
      </c>
      <c r="I147">
        <v>7223.8040013599993</v>
      </c>
      <c r="J147" s="2"/>
      <c r="K147" s="2"/>
      <c r="L147" s="131"/>
    </row>
    <row r="148" spans="1:12" x14ac:dyDescent="0.25">
      <c r="A148" t="s">
        <v>1</v>
      </c>
      <c r="B148" t="s">
        <v>59</v>
      </c>
      <c r="C148" t="s">
        <v>60</v>
      </c>
      <c r="D148">
        <v>1</v>
      </c>
      <c r="E148" t="s">
        <v>65</v>
      </c>
      <c r="F148">
        <v>2048</v>
      </c>
      <c r="G148" t="s">
        <v>2</v>
      </c>
      <c r="H148">
        <v>80076.55141320001</v>
      </c>
      <c r="I148">
        <v>7165.5700007999967</v>
      </c>
      <c r="J148" s="2"/>
      <c r="K148" s="2"/>
      <c r="L148" s="131"/>
    </row>
    <row r="149" spans="1:12" x14ac:dyDescent="0.25">
      <c r="A149" t="s">
        <v>1</v>
      </c>
      <c r="B149" t="s">
        <v>59</v>
      </c>
      <c r="C149" t="s">
        <v>60</v>
      </c>
      <c r="D149">
        <v>1</v>
      </c>
      <c r="E149" t="s">
        <v>65</v>
      </c>
      <c r="F149">
        <v>2049</v>
      </c>
      <c r="G149" t="s">
        <v>2</v>
      </c>
      <c r="H149">
        <v>78905.953226639991</v>
      </c>
      <c r="I149">
        <v>7021.4100016799985</v>
      </c>
      <c r="J149" s="2"/>
      <c r="K149" s="2"/>
      <c r="L149" s="131"/>
    </row>
    <row r="150" spans="1:12" x14ac:dyDescent="0.25">
      <c r="A150" t="s">
        <v>1</v>
      </c>
      <c r="B150" t="s">
        <v>59</v>
      </c>
      <c r="C150" t="s">
        <v>60</v>
      </c>
      <c r="D150">
        <v>1</v>
      </c>
      <c r="E150" t="s">
        <v>65</v>
      </c>
      <c r="F150">
        <v>2050</v>
      </c>
      <c r="G150" t="s">
        <v>2</v>
      </c>
      <c r="H150">
        <v>78387.226716239966</v>
      </c>
      <c r="I150">
        <v>6926.8280001600006</v>
      </c>
      <c r="J150" s="2"/>
      <c r="K150" s="2"/>
      <c r="L150" s="131"/>
    </row>
    <row r="151" spans="1:12" x14ac:dyDescent="0.25">
      <c r="A151" t="s">
        <v>1</v>
      </c>
      <c r="B151" t="s">
        <v>59</v>
      </c>
      <c r="C151" t="s">
        <v>60</v>
      </c>
      <c r="D151">
        <v>1</v>
      </c>
      <c r="E151" t="s">
        <v>65</v>
      </c>
      <c r="F151">
        <v>2051</v>
      </c>
      <c r="G151" t="s">
        <v>2</v>
      </c>
      <c r="H151">
        <v>76040.347369679963</v>
      </c>
      <c r="I151">
        <v>6926.8280001600006</v>
      </c>
      <c r="J151" s="2"/>
      <c r="K151" s="2"/>
      <c r="L151" s="131"/>
    </row>
    <row r="152" spans="1:12" x14ac:dyDescent="0.25">
      <c r="A152" t="s">
        <v>1</v>
      </c>
      <c r="B152" t="s">
        <v>59</v>
      </c>
      <c r="C152" t="s">
        <v>60</v>
      </c>
      <c r="D152">
        <v>1</v>
      </c>
      <c r="E152" t="s">
        <v>66</v>
      </c>
      <c r="F152">
        <v>2022</v>
      </c>
      <c r="G152" t="s">
        <v>2</v>
      </c>
      <c r="H152" s="2">
        <v>108736.54076424</v>
      </c>
      <c r="I152" s="2">
        <v>10334.428001759999</v>
      </c>
    </row>
    <row r="153" spans="1:12" x14ac:dyDescent="0.25">
      <c r="A153" t="s">
        <v>1</v>
      </c>
      <c r="B153" t="s">
        <v>59</v>
      </c>
      <c r="C153" t="s">
        <v>60</v>
      </c>
      <c r="D153">
        <v>1</v>
      </c>
      <c r="E153" t="s">
        <v>66</v>
      </c>
      <c r="F153">
        <v>2023</v>
      </c>
      <c r="G153" t="s">
        <v>2</v>
      </c>
      <c r="H153" s="2">
        <v>109433.25346055999</v>
      </c>
      <c r="I153" s="2">
        <v>10458.398999999999</v>
      </c>
    </row>
    <row r="154" spans="1:12" x14ac:dyDescent="0.25">
      <c r="A154" t="s">
        <v>1</v>
      </c>
      <c r="B154" t="s">
        <v>59</v>
      </c>
      <c r="C154" t="s">
        <v>60</v>
      </c>
      <c r="D154">
        <v>1</v>
      </c>
      <c r="E154" t="s">
        <v>66</v>
      </c>
      <c r="F154">
        <v>2024</v>
      </c>
      <c r="G154" t="s">
        <v>2</v>
      </c>
      <c r="H154" s="2">
        <v>105060.73794096</v>
      </c>
      <c r="I154" s="2">
        <v>10519.52600184</v>
      </c>
    </row>
    <row r="155" spans="1:12" x14ac:dyDescent="0.25">
      <c r="A155" t="s">
        <v>1</v>
      </c>
      <c r="B155" t="s">
        <v>59</v>
      </c>
      <c r="C155" t="s">
        <v>60</v>
      </c>
      <c r="D155">
        <v>1</v>
      </c>
      <c r="E155" t="s">
        <v>66</v>
      </c>
      <c r="F155">
        <v>2025</v>
      </c>
      <c r="G155" t="s">
        <v>2</v>
      </c>
      <c r="H155" s="2">
        <v>104531.8125072</v>
      </c>
      <c r="I155" s="2">
        <v>10333.716000480001</v>
      </c>
    </row>
    <row r="156" spans="1:12" x14ac:dyDescent="0.25">
      <c r="A156" t="s">
        <v>1</v>
      </c>
      <c r="B156" t="s">
        <v>59</v>
      </c>
      <c r="C156" t="s">
        <v>60</v>
      </c>
      <c r="D156">
        <v>1</v>
      </c>
      <c r="E156" t="s">
        <v>66</v>
      </c>
      <c r="F156">
        <v>2026</v>
      </c>
      <c r="G156" t="s">
        <v>2</v>
      </c>
      <c r="H156" s="2">
        <v>101619.77006664001</v>
      </c>
      <c r="I156" s="2">
        <v>10081.84200024</v>
      </c>
    </row>
    <row r="157" spans="1:12" x14ac:dyDescent="0.25">
      <c r="A157" t="s">
        <v>1</v>
      </c>
      <c r="B157" t="s">
        <v>59</v>
      </c>
      <c r="C157" t="s">
        <v>60</v>
      </c>
      <c r="D157">
        <v>1</v>
      </c>
      <c r="E157" t="s">
        <v>66</v>
      </c>
      <c r="F157">
        <v>2027</v>
      </c>
      <c r="G157" t="s">
        <v>2</v>
      </c>
      <c r="H157" s="2">
        <v>99082.164487200003</v>
      </c>
      <c r="I157" s="2">
        <v>9830.7750026400008</v>
      </c>
    </row>
    <row r="158" spans="1:12" x14ac:dyDescent="0.25">
      <c r="A158" t="s">
        <v>1</v>
      </c>
      <c r="B158" t="s">
        <v>59</v>
      </c>
      <c r="C158" t="s">
        <v>60</v>
      </c>
      <c r="D158">
        <v>1</v>
      </c>
      <c r="E158" t="s">
        <v>66</v>
      </c>
      <c r="F158">
        <v>2028</v>
      </c>
      <c r="G158" t="s">
        <v>2</v>
      </c>
      <c r="H158" s="2">
        <v>97493.249474159995</v>
      </c>
      <c r="I158" s="2">
        <v>9640.3820008799994</v>
      </c>
    </row>
    <row r="159" spans="1:12" x14ac:dyDescent="0.25">
      <c r="A159" t="s">
        <v>1</v>
      </c>
      <c r="B159" t="s">
        <v>59</v>
      </c>
      <c r="C159" t="s">
        <v>60</v>
      </c>
      <c r="D159">
        <v>1</v>
      </c>
      <c r="E159" t="s">
        <v>66</v>
      </c>
      <c r="F159">
        <v>2029</v>
      </c>
      <c r="G159" t="s">
        <v>2</v>
      </c>
      <c r="H159" s="2">
        <v>94030.669102080006</v>
      </c>
      <c r="I159" s="2">
        <v>9333.8969985599997</v>
      </c>
    </row>
    <row r="160" spans="1:12" x14ac:dyDescent="0.25">
      <c r="A160" t="s">
        <v>1</v>
      </c>
      <c r="B160" t="s">
        <v>59</v>
      </c>
      <c r="C160" t="s">
        <v>60</v>
      </c>
      <c r="D160">
        <v>1</v>
      </c>
      <c r="E160" t="s">
        <v>66</v>
      </c>
      <c r="F160">
        <v>2030</v>
      </c>
      <c r="G160" t="s">
        <v>2</v>
      </c>
      <c r="H160" s="2">
        <v>91423.911021120002</v>
      </c>
      <c r="I160" s="2">
        <v>9089.1820005600002</v>
      </c>
    </row>
    <row r="161" spans="1:9" x14ac:dyDescent="0.25">
      <c r="A161" t="s">
        <v>1</v>
      </c>
      <c r="B161" t="s">
        <v>59</v>
      </c>
      <c r="C161" t="s">
        <v>60</v>
      </c>
      <c r="D161">
        <v>1</v>
      </c>
      <c r="E161" t="s">
        <v>66</v>
      </c>
      <c r="F161">
        <v>2031</v>
      </c>
      <c r="G161" t="s">
        <v>2</v>
      </c>
      <c r="H161" s="2">
        <v>88831.057873919999</v>
      </c>
      <c r="I161" s="2">
        <v>8845.8099993600008</v>
      </c>
    </row>
    <row r="162" spans="1:9" x14ac:dyDescent="0.25">
      <c r="A162" t="s">
        <v>1</v>
      </c>
      <c r="B162" t="s">
        <v>59</v>
      </c>
      <c r="C162" t="s">
        <v>60</v>
      </c>
      <c r="D162">
        <v>1</v>
      </c>
      <c r="E162" t="s">
        <v>66</v>
      </c>
      <c r="F162">
        <v>2032</v>
      </c>
      <c r="G162" t="s">
        <v>2</v>
      </c>
      <c r="H162" s="2">
        <v>86848.886131919993</v>
      </c>
      <c r="I162" s="2">
        <v>8657.2060000799993</v>
      </c>
    </row>
    <row r="163" spans="1:9" x14ac:dyDescent="0.25">
      <c r="A163" t="s">
        <v>1</v>
      </c>
      <c r="B163" t="s">
        <v>59</v>
      </c>
      <c r="C163" t="s">
        <v>60</v>
      </c>
      <c r="D163">
        <v>1</v>
      </c>
      <c r="E163" t="s">
        <v>66</v>
      </c>
      <c r="F163">
        <v>2033</v>
      </c>
      <c r="G163" t="s">
        <v>2</v>
      </c>
      <c r="H163" s="2">
        <v>83806.651479360007</v>
      </c>
      <c r="I163" s="2">
        <v>8365.31899944</v>
      </c>
    </row>
    <row r="164" spans="1:9" x14ac:dyDescent="0.25">
      <c r="A164" t="s">
        <v>1</v>
      </c>
      <c r="B164" t="s">
        <v>59</v>
      </c>
      <c r="C164" t="s">
        <v>60</v>
      </c>
      <c r="D164">
        <v>1</v>
      </c>
      <c r="E164" t="s">
        <v>66</v>
      </c>
      <c r="F164">
        <v>2034</v>
      </c>
      <c r="G164" t="s">
        <v>2</v>
      </c>
      <c r="H164" s="2">
        <v>80920.633390560004</v>
      </c>
      <c r="I164" s="2">
        <v>8128.98900168</v>
      </c>
    </row>
    <row r="165" spans="1:9" x14ac:dyDescent="0.25">
      <c r="A165" t="s">
        <v>1</v>
      </c>
      <c r="B165" t="s">
        <v>59</v>
      </c>
      <c r="C165" t="s">
        <v>60</v>
      </c>
      <c r="D165">
        <v>1</v>
      </c>
      <c r="E165" t="s">
        <v>66</v>
      </c>
      <c r="F165">
        <v>2035</v>
      </c>
      <c r="G165" t="s">
        <v>2</v>
      </c>
      <c r="H165" s="2">
        <v>78461.816101200006</v>
      </c>
      <c r="I165" s="2">
        <v>7894.9580003999999</v>
      </c>
    </row>
    <row r="166" spans="1:9" x14ac:dyDescent="0.25">
      <c r="A166" t="s">
        <v>1</v>
      </c>
      <c r="B166" t="s">
        <v>59</v>
      </c>
      <c r="C166" t="s">
        <v>60</v>
      </c>
      <c r="D166">
        <v>1</v>
      </c>
      <c r="E166" t="s">
        <v>66</v>
      </c>
      <c r="F166">
        <v>2036</v>
      </c>
      <c r="G166" t="s">
        <v>2</v>
      </c>
      <c r="H166" s="2">
        <v>76552.354450319996</v>
      </c>
      <c r="I166" s="2">
        <v>7710.8510006400002</v>
      </c>
    </row>
    <row r="167" spans="1:9" x14ac:dyDescent="0.25">
      <c r="A167" t="s">
        <v>1</v>
      </c>
      <c r="B167" t="s">
        <v>59</v>
      </c>
      <c r="C167" t="s">
        <v>60</v>
      </c>
      <c r="D167">
        <v>1</v>
      </c>
      <c r="E167" t="s">
        <v>66</v>
      </c>
      <c r="F167">
        <v>2037</v>
      </c>
      <c r="G167" t="s">
        <v>2</v>
      </c>
      <c r="H167" s="2">
        <v>73722.935519520004</v>
      </c>
      <c r="I167" s="2">
        <v>7434.1450003199998</v>
      </c>
    </row>
    <row r="168" spans="1:9" x14ac:dyDescent="0.25">
      <c r="A168" t="s">
        <v>1</v>
      </c>
      <c r="B168" t="s">
        <v>59</v>
      </c>
      <c r="C168" t="s">
        <v>60</v>
      </c>
      <c r="D168">
        <v>1</v>
      </c>
      <c r="E168" t="s">
        <v>66</v>
      </c>
      <c r="F168">
        <v>2038</v>
      </c>
      <c r="G168" t="s">
        <v>2</v>
      </c>
      <c r="H168" s="2">
        <v>71407.415837520006</v>
      </c>
      <c r="I168" s="2">
        <v>7207.0310008799997</v>
      </c>
    </row>
    <row r="169" spans="1:9" x14ac:dyDescent="0.25">
      <c r="A169" t="s">
        <v>1</v>
      </c>
      <c r="B169" t="s">
        <v>59</v>
      </c>
      <c r="C169" t="s">
        <v>60</v>
      </c>
      <c r="D169">
        <v>1</v>
      </c>
      <c r="E169" t="s">
        <v>66</v>
      </c>
      <c r="F169">
        <v>2039</v>
      </c>
      <c r="G169" t="s">
        <v>2</v>
      </c>
      <c r="H169" s="2">
        <v>69110.565856800007</v>
      </c>
      <c r="I169" s="2">
        <v>6982.3939982399997</v>
      </c>
    </row>
    <row r="170" spans="1:9" x14ac:dyDescent="0.25">
      <c r="A170" t="s">
        <v>1</v>
      </c>
      <c r="B170" t="s">
        <v>59</v>
      </c>
      <c r="C170" t="s">
        <v>60</v>
      </c>
      <c r="D170">
        <v>1</v>
      </c>
      <c r="E170" t="s">
        <v>66</v>
      </c>
      <c r="F170">
        <v>2040</v>
      </c>
      <c r="G170" t="s">
        <v>2</v>
      </c>
      <c r="H170" s="2">
        <v>67254.667974480006</v>
      </c>
      <c r="I170" s="2">
        <v>6800.5480008000004</v>
      </c>
    </row>
    <row r="171" spans="1:9" x14ac:dyDescent="0.25">
      <c r="A171" t="s">
        <v>1</v>
      </c>
      <c r="B171" t="s">
        <v>59</v>
      </c>
      <c r="C171" t="s">
        <v>60</v>
      </c>
      <c r="D171">
        <v>1</v>
      </c>
      <c r="E171" t="s">
        <v>66</v>
      </c>
      <c r="F171">
        <v>2041</v>
      </c>
      <c r="G171" t="s">
        <v>2</v>
      </c>
      <c r="H171" s="2">
        <v>64574.404770239998</v>
      </c>
      <c r="I171" s="2">
        <v>6538.2670000799999</v>
      </c>
    </row>
    <row r="172" spans="1:9" x14ac:dyDescent="0.25">
      <c r="A172" t="s">
        <v>1</v>
      </c>
      <c r="B172" t="s">
        <v>59</v>
      </c>
      <c r="C172" t="s">
        <v>60</v>
      </c>
      <c r="D172">
        <v>1</v>
      </c>
      <c r="E172" t="s">
        <v>66</v>
      </c>
      <c r="F172">
        <v>2042</v>
      </c>
      <c r="G172" t="s">
        <v>2</v>
      </c>
      <c r="H172" s="2">
        <v>62331.620432880001</v>
      </c>
      <c r="I172" s="2">
        <v>6320.2880020800003</v>
      </c>
    </row>
    <row r="173" spans="1:9" x14ac:dyDescent="0.25">
      <c r="A173" t="s">
        <v>1</v>
      </c>
      <c r="B173" t="s">
        <v>59</v>
      </c>
      <c r="C173" t="s">
        <v>60</v>
      </c>
      <c r="D173">
        <v>1</v>
      </c>
      <c r="E173" t="s">
        <v>66</v>
      </c>
      <c r="F173">
        <v>2043</v>
      </c>
      <c r="G173" t="s">
        <v>2</v>
      </c>
      <c r="H173" s="2">
        <v>60101.694830640001</v>
      </c>
      <c r="I173" s="2">
        <v>6104.3379986399996</v>
      </c>
    </row>
    <row r="174" spans="1:9" x14ac:dyDescent="0.25">
      <c r="A174" t="s">
        <v>1</v>
      </c>
      <c r="B174" t="s">
        <v>59</v>
      </c>
      <c r="C174" t="s">
        <v>60</v>
      </c>
      <c r="D174">
        <v>1</v>
      </c>
      <c r="E174" t="s">
        <v>66</v>
      </c>
      <c r="F174">
        <v>2044</v>
      </c>
      <c r="G174" t="s">
        <v>2</v>
      </c>
      <c r="H174" s="2">
        <v>58288.602707279999</v>
      </c>
      <c r="I174" s="2">
        <v>5926.8209973599996</v>
      </c>
    </row>
    <row r="175" spans="1:9" x14ac:dyDescent="0.25">
      <c r="A175" t="s">
        <v>1</v>
      </c>
      <c r="B175" t="s">
        <v>59</v>
      </c>
      <c r="C175" t="s">
        <v>60</v>
      </c>
      <c r="D175">
        <v>1</v>
      </c>
      <c r="E175" t="s">
        <v>66</v>
      </c>
      <c r="F175">
        <v>2045</v>
      </c>
      <c r="G175" t="s">
        <v>2</v>
      </c>
      <c r="H175" s="2">
        <v>56789.316473999999</v>
      </c>
      <c r="I175" s="2">
        <v>5679.3290018400003</v>
      </c>
    </row>
    <row r="176" spans="1:9" x14ac:dyDescent="0.25">
      <c r="A176" t="s">
        <v>1</v>
      </c>
      <c r="B176" t="s">
        <v>59</v>
      </c>
      <c r="C176" t="s">
        <v>60</v>
      </c>
      <c r="D176">
        <v>1</v>
      </c>
      <c r="E176" t="s">
        <v>66</v>
      </c>
      <c r="F176">
        <v>2046</v>
      </c>
      <c r="G176" t="s">
        <v>2</v>
      </c>
      <c r="H176" s="2">
        <v>54165.044971679999</v>
      </c>
      <c r="I176" s="2">
        <v>5470.4719984800004</v>
      </c>
    </row>
    <row r="177" spans="1:9" x14ac:dyDescent="0.25">
      <c r="A177" t="s">
        <v>1</v>
      </c>
      <c r="B177" t="s">
        <v>59</v>
      </c>
      <c r="C177" t="s">
        <v>60</v>
      </c>
      <c r="D177">
        <v>1</v>
      </c>
      <c r="E177" t="s">
        <v>66</v>
      </c>
      <c r="F177">
        <v>2047</v>
      </c>
      <c r="G177" t="s">
        <v>2</v>
      </c>
      <c r="H177" s="2">
        <v>49678.949506080004</v>
      </c>
      <c r="I177" s="2">
        <v>5262.9780007199997</v>
      </c>
    </row>
    <row r="178" spans="1:9" x14ac:dyDescent="0.25">
      <c r="A178" t="s">
        <v>1</v>
      </c>
      <c r="B178" t="s">
        <v>59</v>
      </c>
      <c r="C178" t="s">
        <v>60</v>
      </c>
      <c r="D178">
        <v>1</v>
      </c>
      <c r="E178" t="s">
        <v>66</v>
      </c>
      <c r="F178">
        <v>2048</v>
      </c>
      <c r="G178" t="s">
        <v>2</v>
      </c>
      <c r="H178" s="2">
        <v>52449.688077120001</v>
      </c>
      <c r="I178" s="2">
        <v>5088.7650021600002</v>
      </c>
    </row>
    <row r="179" spans="1:9" x14ac:dyDescent="0.25">
      <c r="A179" t="s">
        <v>1</v>
      </c>
      <c r="B179" t="s">
        <v>59</v>
      </c>
      <c r="C179" t="s">
        <v>60</v>
      </c>
      <c r="D179">
        <v>1</v>
      </c>
      <c r="E179" t="s">
        <v>66</v>
      </c>
      <c r="F179">
        <v>2049</v>
      </c>
      <c r="G179" t="s">
        <v>2</v>
      </c>
      <c r="H179" s="2">
        <v>47273.843487120001</v>
      </c>
      <c r="I179" s="2">
        <v>4853.0920005600001</v>
      </c>
    </row>
    <row r="180" spans="1:9" x14ac:dyDescent="0.25">
      <c r="A180" t="s">
        <v>1</v>
      </c>
      <c r="B180" t="s">
        <v>59</v>
      </c>
      <c r="C180" t="s">
        <v>60</v>
      </c>
      <c r="D180">
        <v>1</v>
      </c>
      <c r="E180" t="s">
        <v>66</v>
      </c>
      <c r="F180">
        <v>2050</v>
      </c>
      <c r="G180" t="s">
        <v>2</v>
      </c>
      <c r="H180" s="2">
        <v>42071.595019200002</v>
      </c>
      <c r="I180" s="2">
        <v>4650.9410011199998</v>
      </c>
    </row>
    <row r="181" spans="1:9" x14ac:dyDescent="0.25">
      <c r="A181" t="s">
        <v>1</v>
      </c>
      <c r="B181" t="s">
        <v>59</v>
      </c>
      <c r="C181" t="s">
        <v>60</v>
      </c>
      <c r="D181">
        <v>1</v>
      </c>
      <c r="E181" t="s">
        <v>66</v>
      </c>
      <c r="F181">
        <v>2051</v>
      </c>
      <c r="G181" t="s">
        <v>2</v>
      </c>
      <c r="H181" s="2">
        <v>44674.331048640001</v>
      </c>
      <c r="I181" s="2">
        <v>4650.9410011199998</v>
      </c>
    </row>
    <row r="182" spans="1:9" x14ac:dyDescent="0.25">
      <c r="A182" t="s">
        <v>1</v>
      </c>
      <c r="B182" t="s">
        <v>59</v>
      </c>
      <c r="C182" t="s">
        <v>60</v>
      </c>
      <c r="D182">
        <v>1</v>
      </c>
      <c r="E182" t="s">
        <v>67</v>
      </c>
      <c r="F182">
        <v>2022</v>
      </c>
      <c r="G182" t="s">
        <v>2</v>
      </c>
      <c r="H182">
        <v>108736.54076495997</v>
      </c>
      <c r="I182">
        <v>10334.428001760007</v>
      </c>
    </row>
    <row r="183" spans="1:9" x14ac:dyDescent="0.25">
      <c r="A183" t="s">
        <v>1</v>
      </c>
      <c r="B183" t="s">
        <v>59</v>
      </c>
      <c r="C183" t="s">
        <v>60</v>
      </c>
      <c r="D183">
        <v>1</v>
      </c>
      <c r="E183" t="s">
        <v>67</v>
      </c>
      <c r="F183">
        <v>2023</v>
      </c>
      <c r="G183" t="s">
        <v>2</v>
      </c>
      <c r="H183">
        <v>107252.14737384001</v>
      </c>
      <c r="I183">
        <v>10292.985998879998</v>
      </c>
    </row>
    <row r="184" spans="1:9" x14ac:dyDescent="0.25">
      <c r="A184" t="s">
        <v>1</v>
      </c>
      <c r="B184" t="s">
        <v>59</v>
      </c>
      <c r="C184" t="s">
        <v>60</v>
      </c>
      <c r="D184">
        <v>1</v>
      </c>
      <c r="E184" t="s">
        <v>67</v>
      </c>
      <c r="F184">
        <v>2024</v>
      </c>
      <c r="G184" t="s">
        <v>2</v>
      </c>
      <c r="H184">
        <v>101627.17255944005</v>
      </c>
      <c r="I184">
        <v>10031.694998400004</v>
      </c>
    </row>
    <row r="185" spans="1:9" x14ac:dyDescent="0.25">
      <c r="A185" t="s">
        <v>1</v>
      </c>
      <c r="B185" t="s">
        <v>59</v>
      </c>
      <c r="C185" t="s">
        <v>60</v>
      </c>
      <c r="D185">
        <v>1</v>
      </c>
      <c r="E185" t="s">
        <v>67</v>
      </c>
      <c r="F185">
        <v>2025</v>
      </c>
      <c r="G185" t="s">
        <v>2</v>
      </c>
      <c r="H185">
        <v>98773.095513359993</v>
      </c>
      <c r="I185">
        <v>9598.6449993599999</v>
      </c>
    </row>
    <row r="186" spans="1:9" x14ac:dyDescent="0.25">
      <c r="A186" t="s">
        <v>1</v>
      </c>
      <c r="B186" t="s">
        <v>59</v>
      </c>
      <c r="C186" t="s">
        <v>60</v>
      </c>
      <c r="D186">
        <v>1</v>
      </c>
      <c r="E186" t="s">
        <v>67</v>
      </c>
      <c r="F186">
        <v>2026</v>
      </c>
      <c r="G186" t="s">
        <v>2</v>
      </c>
      <c r="H186">
        <v>93886.28611440002</v>
      </c>
      <c r="I186">
        <v>9171.8979986399991</v>
      </c>
    </row>
    <row r="187" spans="1:9" x14ac:dyDescent="0.25">
      <c r="A187" t="s">
        <v>1</v>
      </c>
      <c r="B187" t="s">
        <v>59</v>
      </c>
      <c r="C187" t="s">
        <v>60</v>
      </c>
      <c r="D187">
        <v>1</v>
      </c>
      <c r="E187" t="s">
        <v>67</v>
      </c>
      <c r="F187">
        <v>2027</v>
      </c>
      <c r="G187" t="s">
        <v>2</v>
      </c>
      <c r="H187">
        <v>89522.382467519943</v>
      </c>
      <c r="I187">
        <v>8747.291001120002</v>
      </c>
    </row>
    <row r="188" spans="1:9" x14ac:dyDescent="0.25">
      <c r="A188" t="s">
        <v>1</v>
      </c>
      <c r="B188" t="s">
        <v>59</v>
      </c>
      <c r="C188" t="s">
        <v>60</v>
      </c>
      <c r="D188">
        <v>1</v>
      </c>
      <c r="E188" t="s">
        <v>67</v>
      </c>
      <c r="F188">
        <v>2028</v>
      </c>
      <c r="G188" t="s">
        <v>2</v>
      </c>
      <c r="H188">
        <v>85827.111150959987</v>
      </c>
      <c r="I188">
        <v>8377.5160020000003</v>
      </c>
    </row>
    <row r="189" spans="1:9" x14ac:dyDescent="0.25">
      <c r="A189" t="s">
        <v>1</v>
      </c>
      <c r="B189" t="s">
        <v>59</v>
      </c>
      <c r="C189" t="s">
        <v>60</v>
      </c>
      <c r="D189">
        <v>1</v>
      </c>
      <c r="E189" t="s">
        <v>67</v>
      </c>
      <c r="F189">
        <v>2029</v>
      </c>
      <c r="G189" t="s">
        <v>2</v>
      </c>
      <c r="H189">
        <v>80566.705248479935</v>
      </c>
      <c r="I189">
        <v>7907.9799995999992</v>
      </c>
    </row>
    <row r="190" spans="1:9" x14ac:dyDescent="0.25">
      <c r="A190" t="s">
        <v>1</v>
      </c>
      <c r="B190" t="s">
        <v>59</v>
      </c>
      <c r="C190" t="s">
        <v>60</v>
      </c>
      <c r="D190">
        <v>1</v>
      </c>
      <c r="E190" t="s">
        <v>67</v>
      </c>
      <c r="F190">
        <v>2030</v>
      </c>
      <c r="G190" t="s">
        <v>2</v>
      </c>
      <c r="H190">
        <v>76419.674379360076</v>
      </c>
      <c r="I190">
        <v>7494.3140001600013</v>
      </c>
    </row>
    <row r="191" spans="1:9" x14ac:dyDescent="0.25">
      <c r="A191" t="s">
        <v>1</v>
      </c>
      <c r="B191" t="s">
        <v>59</v>
      </c>
      <c r="C191" t="s">
        <v>60</v>
      </c>
      <c r="D191">
        <v>1</v>
      </c>
      <c r="E191" t="s">
        <v>67</v>
      </c>
      <c r="F191">
        <v>2031</v>
      </c>
      <c r="G191" t="s">
        <v>2</v>
      </c>
      <c r="H191">
        <v>72296.10836256</v>
      </c>
      <c r="I191">
        <v>7083.5279990399958</v>
      </c>
    </row>
    <row r="192" spans="1:9" x14ac:dyDescent="0.25">
      <c r="A192" t="s">
        <v>1</v>
      </c>
      <c r="B192" t="s">
        <v>59</v>
      </c>
      <c r="C192" t="s">
        <v>60</v>
      </c>
      <c r="D192">
        <v>1</v>
      </c>
      <c r="E192" t="s">
        <v>67</v>
      </c>
      <c r="F192">
        <v>2032</v>
      </c>
      <c r="G192" t="s">
        <v>2</v>
      </c>
      <c r="H192">
        <v>68665.295063999991</v>
      </c>
      <c r="I192">
        <v>6717.6779992800011</v>
      </c>
    </row>
    <row r="193" spans="1:9" x14ac:dyDescent="0.25">
      <c r="A193" t="s">
        <v>1</v>
      </c>
      <c r="B193" t="s">
        <v>59</v>
      </c>
      <c r="C193" t="s">
        <v>60</v>
      </c>
      <c r="D193">
        <v>1</v>
      </c>
      <c r="E193" t="s">
        <v>67</v>
      </c>
      <c r="F193">
        <v>2033</v>
      </c>
      <c r="G193" t="s">
        <v>2</v>
      </c>
      <c r="H193">
        <v>64315.064273759992</v>
      </c>
      <c r="I193">
        <v>6272.7759996000086</v>
      </c>
    </row>
    <row r="194" spans="1:9" x14ac:dyDescent="0.25">
      <c r="A194" t="s">
        <v>1</v>
      </c>
      <c r="B194" t="s">
        <v>59</v>
      </c>
      <c r="C194" t="s">
        <v>60</v>
      </c>
      <c r="D194">
        <v>1</v>
      </c>
      <c r="E194" t="s">
        <v>67</v>
      </c>
      <c r="F194">
        <v>2034</v>
      </c>
      <c r="G194" t="s">
        <v>2</v>
      </c>
      <c r="H194">
        <v>60181.679030640043</v>
      </c>
      <c r="I194">
        <v>5873.3370012000014</v>
      </c>
    </row>
    <row r="195" spans="1:9" x14ac:dyDescent="0.25">
      <c r="A195" t="s">
        <v>1</v>
      </c>
      <c r="B195" t="s">
        <v>59</v>
      </c>
      <c r="C195" t="s">
        <v>60</v>
      </c>
      <c r="D195">
        <v>1</v>
      </c>
      <c r="E195" t="s">
        <v>67</v>
      </c>
      <c r="F195">
        <v>2035</v>
      </c>
      <c r="G195" t="s">
        <v>2</v>
      </c>
      <c r="H195">
        <v>58886.165352479969</v>
      </c>
      <c r="I195">
        <v>5477.6360023199986</v>
      </c>
    </row>
    <row r="196" spans="1:9" x14ac:dyDescent="0.25">
      <c r="A196" t="s">
        <v>1</v>
      </c>
      <c r="B196" t="s">
        <v>59</v>
      </c>
      <c r="C196" t="s">
        <v>60</v>
      </c>
      <c r="D196">
        <v>1</v>
      </c>
      <c r="E196" t="s">
        <v>67</v>
      </c>
      <c r="F196">
        <v>2036</v>
      </c>
      <c r="G196" t="s">
        <v>2</v>
      </c>
      <c r="H196">
        <v>53920.637696880018</v>
      </c>
      <c r="I196">
        <v>5117.6620007999991</v>
      </c>
    </row>
    <row r="197" spans="1:9" x14ac:dyDescent="0.25">
      <c r="A197" t="s">
        <v>1</v>
      </c>
      <c r="B197" t="s">
        <v>59</v>
      </c>
      <c r="C197" t="s">
        <v>60</v>
      </c>
      <c r="D197">
        <v>1</v>
      </c>
      <c r="E197" t="s">
        <v>67</v>
      </c>
      <c r="F197">
        <v>2037</v>
      </c>
      <c r="G197" t="s">
        <v>2</v>
      </c>
      <c r="H197">
        <v>48907.021293600032</v>
      </c>
      <c r="I197">
        <v>4697.4820017600032</v>
      </c>
    </row>
    <row r="198" spans="1:9" x14ac:dyDescent="0.25">
      <c r="A198" t="s">
        <v>1</v>
      </c>
      <c r="B198" t="s">
        <v>59</v>
      </c>
      <c r="C198" t="s">
        <v>60</v>
      </c>
      <c r="D198">
        <v>1</v>
      </c>
      <c r="E198" t="s">
        <v>67</v>
      </c>
      <c r="F198">
        <v>2038</v>
      </c>
      <c r="G198" t="s">
        <v>2</v>
      </c>
      <c r="H198">
        <v>44685.793496879996</v>
      </c>
      <c r="I198">
        <v>4312.7839989600006</v>
      </c>
    </row>
    <row r="199" spans="1:9" x14ac:dyDescent="0.25">
      <c r="A199" t="s">
        <v>1</v>
      </c>
      <c r="B199" t="s">
        <v>59</v>
      </c>
      <c r="C199" t="s">
        <v>60</v>
      </c>
      <c r="D199">
        <v>1</v>
      </c>
      <c r="E199" t="s">
        <v>67</v>
      </c>
      <c r="F199">
        <v>2039</v>
      </c>
      <c r="G199" t="s">
        <v>2</v>
      </c>
      <c r="H199">
        <v>41039.989582320006</v>
      </c>
      <c r="I199">
        <v>3931.7440010399996</v>
      </c>
    </row>
    <row r="200" spans="1:9" x14ac:dyDescent="0.25">
      <c r="A200" t="s">
        <v>1</v>
      </c>
      <c r="B200" t="s">
        <v>59</v>
      </c>
      <c r="C200" t="s">
        <v>60</v>
      </c>
      <c r="D200">
        <v>1</v>
      </c>
      <c r="E200" t="s">
        <v>67</v>
      </c>
      <c r="F200">
        <v>2040</v>
      </c>
      <c r="G200" t="s">
        <v>2</v>
      </c>
      <c r="H200">
        <v>37911.611129279991</v>
      </c>
      <c r="I200">
        <v>3575.9920012799976</v>
      </c>
    </row>
    <row r="201" spans="1:9" x14ac:dyDescent="0.25">
      <c r="A201" t="s">
        <v>1</v>
      </c>
      <c r="B201" t="s">
        <v>59</v>
      </c>
      <c r="C201" t="s">
        <v>60</v>
      </c>
      <c r="D201">
        <v>1</v>
      </c>
      <c r="E201" t="s">
        <v>67</v>
      </c>
      <c r="F201">
        <v>2041</v>
      </c>
      <c r="G201" t="s">
        <v>2</v>
      </c>
      <c r="H201">
        <v>33985.067640959976</v>
      </c>
      <c r="I201">
        <v>3179.4709996799984</v>
      </c>
    </row>
    <row r="202" spans="1:9" x14ac:dyDescent="0.25">
      <c r="A202" t="s">
        <v>1</v>
      </c>
      <c r="B202" t="s">
        <v>59</v>
      </c>
      <c r="C202" t="s">
        <v>60</v>
      </c>
      <c r="D202">
        <v>1</v>
      </c>
      <c r="E202" t="s">
        <v>67</v>
      </c>
      <c r="F202">
        <v>2042</v>
      </c>
      <c r="G202" t="s">
        <v>2</v>
      </c>
      <c r="H202">
        <v>29678.200725360006</v>
      </c>
      <c r="I202">
        <v>2809.0200000000009</v>
      </c>
    </row>
    <row r="203" spans="1:9" x14ac:dyDescent="0.25">
      <c r="A203" t="s">
        <v>1</v>
      </c>
      <c r="B203" t="s">
        <v>59</v>
      </c>
      <c r="C203" t="s">
        <v>60</v>
      </c>
      <c r="D203">
        <v>1</v>
      </c>
      <c r="E203" t="s">
        <v>67</v>
      </c>
      <c r="F203">
        <v>2043</v>
      </c>
      <c r="G203" t="s">
        <v>2</v>
      </c>
      <c r="H203">
        <v>26763.912779520011</v>
      </c>
      <c r="I203">
        <v>2441.8340003999974</v>
      </c>
    </row>
    <row r="204" spans="1:9" x14ac:dyDescent="0.25">
      <c r="A204" t="s">
        <v>1</v>
      </c>
      <c r="B204" t="s">
        <v>59</v>
      </c>
      <c r="C204" t="s">
        <v>60</v>
      </c>
      <c r="D204">
        <v>1</v>
      </c>
      <c r="E204" t="s">
        <v>67</v>
      </c>
      <c r="F204">
        <v>2044</v>
      </c>
      <c r="G204" t="s">
        <v>2</v>
      </c>
      <c r="H204">
        <v>23785.876121039935</v>
      </c>
      <c r="I204">
        <v>2091.1019992800002</v>
      </c>
    </row>
    <row r="205" spans="1:9" x14ac:dyDescent="0.25">
      <c r="A205" t="s">
        <v>1</v>
      </c>
      <c r="B205" t="s">
        <v>59</v>
      </c>
      <c r="C205" t="s">
        <v>60</v>
      </c>
      <c r="D205">
        <v>1</v>
      </c>
      <c r="E205" t="s">
        <v>67</v>
      </c>
      <c r="F205">
        <v>2045</v>
      </c>
      <c r="G205" t="s">
        <v>2</v>
      </c>
      <c r="H205">
        <v>18694.924954320013</v>
      </c>
      <c r="I205">
        <v>1717.6359996000001</v>
      </c>
    </row>
    <row r="206" spans="1:9" x14ac:dyDescent="0.25">
      <c r="A206" t="s">
        <v>1</v>
      </c>
      <c r="B206" t="s">
        <v>59</v>
      </c>
      <c r="C206" t="s">
        <v>60</v>
      </c>
      <c r="D206">
        <v>1</v>
      </c>
      <c r="E206" t="s">
        <v>67</v>
      </c>
      <c r="F206">
        <v>2046</v>
      </c>
      <c r="G206" t="s">
        <v>2</v>
      </c>
      <c r="H206">
        <v>17756.190259200033</v>
      </c>
      <c r="I206">
        <v>1394.2500031200013</v>
      </c>
    </row>
    <row r="207" spans="1:9" x14ac:dyDescent="0.25">
      <c r="A207" t="s">
        <v>1</v>
      </c>
      <c r="B207" t="s">
        <v>59</v>
      </c>
      <c r="C207" t="s">
        <v>60</v>
      </c>
      <c r="D207">
        <v>1</v>
      </c>
      <c r="E207" t="s">
        <v>67</v>
      </c>
      <c r="F207">
        <v>2047</v>
      </c>
      <c r="G207" t="s">
        <v>2</v>
      </c>
      <c r="H207">
        <v>13729.031832239991</v>
      </c>
      <c r="I207">
        <v>1210.6090003199993</v>
      </c>
    </row>
    <row r="208" spans="1:9" x14ac:dyDescent="0.25">
      <c r="A208" t="s">
        <v>1</v>
      </c>
      <c r="B208" t="s">
        <v>59</v>
      </c>
      <c r="C208" t="s">
        <v>60</v>
      </c>
      <c r="D208">
        <v>1</v>
      </c>
      <c r="E208" t="s">
        <v>67</v>
      </c>
      <c r="F208">
        <v>2048</v>
      </c>
      <c r="G208" t="s">
        <v>2</v>
      </c>
      <c r="H208">
        <v>12277.933657199985</v>
      </c>
      <c r="I208">
        <v>1131.2209994400002</v>
      </c>
    </row>
    <row r="209" spans="1:9" x14ac:dyDescent="0.25">
      <c r="A209" t="s">
        <v>1</v>
      </c>
      <c r="B209" t="s">
        <v>59</v>
      </c>
      <c r="C209" t="s">
        <v>60</v>
      </c>
      <c r="D209">
        <v>1</v>
      </c>
      <c r="E209" t="s">
        <v>67</v>
      </c>
      <c r="F209">
        <v>2049</v>
      </c>
      <c r="G209" t="s">
        <v>2</v>
      </c>
      <c r="H209">
        <v>10696.831609199995</v>
      </c>
      <c r="I209">
        <v>1051.2320013599999</v>
      </c>
    </row>
    <row r="210" spans="1:9" x14ac:dyDescent="0.25">
      <c r="A210" t="s">
        <v>1</v>
      </c>
      <c r="B210" t="s">
        <v>59</v>
      </c>
      <c r="C210" t="s">
        <v>60</v>
      </c>
      <c r="D210">
        <v>1</v>
      </c>
      <c r="E210" t="s">
        <v>67</v>
      </c>
      <c r="F210">
        <v>2050</v>
      </c>
      <c r="G210" t="s">
        <v>2</v>
      </c>
      <c r="H210">
        <v>7915.0006396800054</v>
      </c>
      <c r="I210">
        <v>979.55699855999922</v>
      </c>
    </row>
    <row r="211" spans="1:9" x14ac:dyDescent="0.25">
      <c r="A211" t="s">
        <v>1</v>
      </c>
      <c r="B211" t="s">
        <v>59</v>
      </c>
      <c r="C211" t="s">
        <v>60</v>
      </c>
      <c r="D211">
        <v>1</v>
      </c>
      <c r="E211" t="s">
        <v>67</v>
      </c>
      <c r="F211">
        <v>2051</v>
      </c>
      <c r="G211" t="s">
        <v>2</v>
      </c>
      <c r="H211">
        <v>9077.9045443199957</v>
      </c>
      <c r="I211">
        <v>979.55699855999922</v>
      </c>
    </row>
    <row r="212" spans="1:9" x14ac:dyDescent="0.25">
      <c r="A212" t="s">
        <v>1</v>
      </c>
      <c r="B212" t="s">
        <v>59</v>
      </c>
      <c r="C212" t="s">
        <v>60</v>
      </c>
      <c r="D212">
        <v>1</v>
      </c>
      <c r="E212" t="s">
        <v>95</v>
      </c>
      <c r="F212">
        <v>2022</v>
      </c>
      <c r="G212" t="s">
        <v>2</v>
      </c>
      <c r="H212">
        <v>108623.81473319996</v>
      </c>
      <c r="I212">
        <v>10313.269999679997</v>
      </c>
    </row>
    <row r="213" spans="1:9" x14ac:dyDescent="0.25">
      <c r="A213" t="s">
        <v>1</v>
      </c>
      <c r="B213" t="s">
        <v>59</v>
      </c>
      <c r="C213" t="s">
        <v>60</v>
      </c>
      <c r="D213">
        <v>1</v>
      </c>
      <c r="E213" t="s">
        <v>95</v>
      </c>
      <c r="F213">
        <v>2023</v>
      </c>
      <c r="G213" t="s">
        <v>2</v>
      </c>
      <c r="H213">
        <v>109777.29375551996</v>
      </c>
      <c r="I213">
        <v>10443.243000960007</v>
      </c>
    </row>
    <row r="214" spans="1:9" x14ac:dyDescent="0.25">
      <c r="A214" t="s">
        <v>1</v>
      </c>
      <c r="B214" t="s">
        <v>59</v>
      </c>
      <c r="C214" t="s">
        <v>60</v>
      </c>
      <c r="D214">
        <v>1</v>
      </c>
      <c r="E214" t="s">
        <v>95</v>
      </c>
      <c r="F214">
        <v>2024</v>
      </c>
      <c r="G214" t="s">
        <v>2</v>
      </c>
      <c r="H214">
        <v>106356.54974063998</v>
      </c>
      <c r="I214">
        <v>10498.283997840004</v>
      </c>
    </row>
    <row r="215" spans="1:9" x14ac:dyDescent="0.25">
      <c r="A215" t="s">
        <v>1</v>
      </c>
      <c r="B215" t="s">
        <v>59</v>
      </c>
      <c r="C215" t="s">
        <v>60</v>
      </c>
      <c r="D215">
        <v>1</v>
      </c>
      <c r="E215" t="s">
        <v>95</v>
      </c>
      <c r="F215">
        <v>2025</v>
      </c>
      <c r="G215" t="s">
        <v>2</v>
      </c>
      <c r="H215">
        <v>108379.64579735996</v>
      </c>
      <c r="I215">
        <v>10421.147001120002</v>
      </c>
    </row>
    <row r="216" spans="1:9" x14ac:dyDescent="0.25">
      <c r="A216" t="s">
        <v>1</v>
      </c>
      <c r="B216" t="s">
        <v>59</v>
      </c>
      <c r="C216" t="s">
        <v>60</v>
      </c>
      <c r="D216">
        <v>1</v>
      </c>
      <c r="E216" t="s">
        <v>95</v>
      </c>
      <c r="F216">
        <v>2026</v>
      </c>
      <c r="G216" t="s">
        <v>2</v>
      </c>
      <c r="H216">
        <v>106213.84628855996</v>
      </c>
      <c r="I216">
        <v>10396.811000399995</v>
      </c>
    </row>
    <row r="217" spans="1:9" x14ac:dyDescent="0.25">
      <c r="A217" t="s">
        <v>1</v>
      </c>
      <c r="B217" t="s">
        <v>59</v>
      </c>
      <c r="C217" t="s">
        <v>60</v>
      </c>
      <c r="D217">
        <v>1</v>
      </c>
      <c r="E217" t="s">
        <v>95</v>
      </c>
      <c r="F217">
        <v>2027</v>
      </c>
      <c r="G217" t="s">
        <v>2</v>
      </c>
      <c r="H217">
        <v>106144.45905239991</v>
      </c>
      <c r="I217">
        <v>10355.212998720001</v>
      </c>
    </row>
    <row r="218" spans="1:9" x14ac:dyDescent="0.25">
      <c r="A218" t="s">
        <v>1</v>
      </c>
      <c r="B218" t="s">
        <v>59</v>
      </c>
      <c r="C218" t="s">
        <v>60</v>
      </c>
      <c r="D218">
        <v>1</v>
      </c>
      <c r="E218" t="s">
        <v>95</v>
      </c>
      <c r="F218">
        <v>2028</v>
      </c>
      <c r="G218" t="s">
        <v>2</v>
      </c>
      <c r="H218">
        <v>106282.86832319997</v>
      </c>
      <c r="I218">
        <v>10362.205002480005</v>
      </c>
    </row>
    <row r="219" spans="1:9" x14ac:dyDescent="0.25">
      <c r="A219" t="s">
        <v>1</v>
      </c>
      <c r="B219" t="s">
        <v>59</v>
      </c>
      <c r="C219" t="s">
        <v>60</v>
      </c>
      <c r="D219">
        <v>1</v>
      </c>
      <c r="E219" t="s">
        <v>95</v>
      </c>
      <c r="F219">
        <v>2029</v>
      </c>
      <c r="G219" t="s">
        <v>2</v>
      </c>
      <c r="H219">
        <v>104603.44859952004</v>
      </c>
      <c r="I219">
        <v>10226.844000720008</v>
      </c>
    </row>
    <row r="220" spans="1:9" x14ac:dyDescent="0.25">
      <c r="A220" t="s">
        <v>1</v>
      </c>
      <c r="B220" t="s">
        <v>59</v>
      </c>
      <c r="C220" t="s">
        <v>60</v>
      </c>
      <c r="D220">
        <v>1</v>
      </c>
      <c r="E220" t="s">
        <v>95</v>
      </c>
      <c r="F220">
        <v>2030</v>
      </c>
      <c r="G220" t="s">
        <v>2</v>
      </c>
      <c r="H220">
        <v>103714.27043927994</v>
      </c>
      <c r="I220">
        <v>10144.362002399996</v>
      </c>
    </row>
    <row r="221" spans="1:9" x14ac:dyDescent="0.25">
      <c r="A221" t="s">
        <v>1</v>
      </c>
      <c r="B221" t="s">
        <v>59</v>
      </c>
      <c r="C221" t="s">
        <v>60</v>
      </c>
      <c r="D221">
        <v>1</v>
      </c>
      <c r="E221" t="s">
        <v>95</v>
      </c>
      <c r="F221">
        <v>2031</v>
      </c>
      <c r="G221" t="s">
        <v>2</v>
      </c>
      <c r="H221">
        <v>102716.36027375986</v>
      </c>
      <c r="I221">
        <v>10055.268998879996</v>
      </c>
    </row>
    <row r="222" spans="1:9" x14ac:dyDescent="0.25">
      <c r="A222" t="s">
        <v>1</v>
      </c>
      <c r="B222" t="s">
        <v>59</v>
      </c>
      <c r="C222" t="s">
        <v>60</v>
      </c>
      <c r="D222">
        <v>1</v>
      </c>
      <c r="E222" t="s">
        <v>95</v>
      </c>
      <c r="F222">
        <v>2032</v>
      </c>
      <c r="G222" t="s">
        <v>2</v>
      </c>
      <c r="H222">
        <v>102412.63623504</v>
      </c>
      <c r="I222">
        <v>10030.402001039995</v>
      </c>
    </row>
    <row r="223" spans="1:9" x14ac:dyDescent="0.25">
      <c r="A223" t="s">
        <v>1</v>
      </c>
      <c r="B223" t="s">
        <v>59</v>
      </c>
      <c r="C223" t="s">
        <v>60</v>
      </c>
      <c r="D223">
        <v>1</v>
      </c>
      <c r="E223" t="s">
        <v>95</v>
      </c>
      <c r="F223">
        <v>2033</v>
      </c>
      <c r="G223" t="s">
        <v>2</v>
      </c>
      <c r="H223">
        <v>100788.55364952005</v>
      </c>
      <c r="I223">
        <v>9879.2529991199954</v>
      </c>
    </row>
    <row r="224" spans="1:9" x14ac:dyDescent="0.25">
      <c r="A224" t="s">
        <v>1</v>
      </c>
      <c r="B224" t="s">
        <v>59</v>
      </c>
      <c r="C224" t="s">
        <v>60</v>
      </c>
      <c r="D224">
        <v>1</v>
      </c>
      <c r="E224" t="s">
        <v>95</v>
      </c>
      <c r="F224">
        <v>2034</v>
      </c>
      <c r="G224" t="s">
        <v>2</v>
      </c>
      <c r="H224">
        <v>99791.779918080021</v>
      </c>
      <c r="I224">
        <v>9798.8719987199947</v>
      </c>
    </row>
    <row r="225" spans="1:9" x14ac:dyDescent="0.25">
      <c r="A225" t="s">
        <v>1</v>
      </c>
      <c r="B225" t="s">
        <v>59</v>
      </c>
      <c r="C225" t="s">
        <v>60</v>
      </c>
      <c r="D225">
        <v>1</v>
      </c>
      <c r="E225" t="s">
        <v>95</v>
      </c>
      <c r="F225">
        <v>2035</v>
      </c>
      <c r="G225" t="s">
        <v>2</v>
      </c>
      <c r="H225">
        <v>98905.311790560096</v>
      </c>
      <c r="I225">
        <v>9725.363999520001</v>
      </c>
    </row>
    <row r="226" spans="1:9" x14ac:dyDescent="0.25">
      <c r="A226" t="s">
        <v>1</v>
      </c>
      <c r="B226" t="s">
        <v>59</v>
      </c>
      <c r="C226" t="s">
        <v>60</v>
      </c>
      <c r="D226">
        <v>1</v>
      </c>
      <c r="E226" t="s">
        <v>95</v>
      </c>
      <c r="F226">
        <v>2036</v>
      </c>
      <c r="G226" t="s">
        <v>2</v>
      </c>
      <c r="H226">
        <v>98669.637531839966</v>
      </c>
      <c r="I226">
        <v>9714.9949977599972</v>
      </c>
    </row>
    <row r="227" spans="1:9" x14ac:dyDescent="0.25">
      <c r="A227" t="s">
        <v>1</v>
      </c>
      <c r="B227" t="s">
        <v>59</v>
      </c>
      <c r="C227" t="s">
        <v>60</v>
      </c>
      <c r="D227">
        <v>1</v>
      </c>
      <c r="E227" t="s">
        <v>95</v>
      </c>
      <c r="F227">
        <v>2037</v>
      </c>
      <c r="G227" t="s">
        <v>2</v>
      </c>
      <c r="H227">
        <v>97120.326084239918</v>
      </c>
      <c r="I227">
        <v>9578.6030013599939</v>
      </c>
    </row>
    <row r="228" spans="1:9" x14ac:dyDescent="0.25">
      <c r="A228" t="s">
        <v>1</v>
      </c>
      <c r="B228" t="s">
        <v>59</v>
      </c>
      <c r="C228" t="s">
        <v>60</v>
      </c>
      <c r="D228">
        <v>1</v>
      </c>
      <c r="E228" t="s">
        <v>95</v>
      </c>
      <c r="F228">
        <v>2038</v>
      </c>
      <c r="G228" t="s">
        <v>2</v>
      </c>
      <c r="H228">
        <v>96213.502375679949</v>
      </c>
      <c r="I228">
        <v>9501.2129992800074</v>
      </c>
    </row>
    <row r="229" spans="1:9" x14ac:dyDescent="0.25">
      <c r="A229" t="s">
        <v>1</v>
      </c>
      <c r="B229" t="s">
        <v>59</v>
      </c>
      <c r="C229" t="s">
        <v>60</v>
      </c>
      <c r="D229">
        <v>1</v>
      </c>
      <c r="E229" t="s">
        <v>95</v>
      </c>
      <c r="F229">
        <v>2039</v>
      </c>
      <c r="G229" t="s">
        <v>2</v>
      </c>
      <c r="H229">
        <v>95348.394477119946</v>
      </c>
      <c r="I229">
        <v>9422.5039989600027</v>
      </c>
    </row>
    <row r="230" spans="1:9" x14ac:dyDescent="0.25">
      <c r="A230" t="s">
        <v>1</v>
      </c>
      <c r="B230" t="s">
        <v>59</v>
      </c>
      <c r="C230" t="s">
        <v>60</v>
      </c>
      <c r="D230">
        <v>1</v>
      </c>
      <c r="E230" t="s">
        <v>95</v>
      </c>
      <c r="F230">
        <v>2040</v>
      </c>
      <c r="G230" t="s">
        <v>2</v>
      </c>
      <c r="H230">
        <v>95067.693105120008</v>
      </c>
      <c r="I230">
        <v>9412.1409995999875</v>
      </c>
    </row>
    <row r="231" spans="1:9" x14ac:dyDescent="0.25">
      <c r="A231" t="s">
        <v>1</v>
      </c>
      <c r="B231" t="s">
        <v>59</v>
      </c>
      <c r="C231" t="s">
        <v>60</v>
      </c>
      <c r="D231">
        <v>1</v>
      </c>
      <c r="E231" t="s">
        <v>95</v>
      </c>
      <c r="F231">
        <v>2041</v>
      </c>
      <c r="G231" t="s">
        <v>2</v>
      </c>
      <c r="H231">
        <v>93709.13458223996</v>
      </c>
      <c r="I231">
        <v>9290.5230009599964</v>
      </c>
    </row>
    <row r="232" spans="1:9" x14ac:dyDescent="0.25">
      <c r="A232" t="s">
        <v>1</v>
      </c>
      <c r="B232" t="s">
        <v>59</v>
      </c>
      <c r="C232" t="s">
        <v>60</v>
      </c>
      <c r="D232">
        <v>1</v>
      </c>
      <c r="E232" t="s">
        <v>95</v>
      </c>
      <c r="F232">
        <v>2042</v>
      </c>
      <c r="G232" t="s">
        <v>2</v>
      </c>
      <c r="H232">
        <v>93019.377637439989</v>
      </c>
      <c r="I232">
        <v>9240.5339995200047</v>
      </c>
    </row>
    <row r="233" spans="1:9" x14ac:dyDescent="0.25">
      <c r="A233" t="s">
        <v>1</v>
      </c>
      <c r="B233" t="s">
        <v>59</v>
      </c>
      <c r="C233" t="s">
        <v>60</v>
      </c>
      <c r="D233">
        <v>1</v>
      </c>
      <c r="E233" t="s">
        <v>95</v>
      </c>
      <c r="F233">
        <v>2043</v>
      </c>
      <c r="G233" t="s">
        <v>2</v>
      </c>
      <c r="H233">
        <v>92388.555856559993</v>
      </c>
      <c r="I233">
        <v>9197.4489998399968</v>
      </c>
    </row>
    <row r="234" spans="1:9" x14ac:dyDescent="0.25">
      <c r="A234" t="s">
        <v>1</v>
      </c>
      <c r="B234" t="s">
        <v>59</v>
      </c>
      <c r="C234" t="s">
        <v>60</v>
      </c>
      <c r="D234">
        <v>1</v>
      </c>
      <c r="E234" t="s">
        <v>95</v>
      </c>
      <c r="F234">
        <v>2044</v>
      </c>
      <c r="G234" t="s">
        <v>2</v>
      </c>
      <c r="H234">
        <v>92191.021822320021</v>
      </c>
      <c r="I234">
        <v>9214.6190003999909</v>
      </c>
    </row>
    <row r="235" spans="1:9" x14ac:dyDescent="0.25">
      <c r="A235" t="s">
        <v>1</v>
      </c>
      <c r="B235" t="s">
        <v>59</v>
      </c>
      <c r="C235" t="s">
        <v>60</v>
      </c>
      <c r="D235">
        <v>1</v>
      </c>
      <c r="E235" t="s">
        <v>95</v>
      </c>
      <c r="F235">
        <v>2045</v>
      </c>
      <c r="G235" t="s">
        <v>2</v>
      </c>
      <c r="H235">
        <v>90882.938053679958</v>
      </c>
      <c r="I235">
        <v>9112.4409993600093</v>
      </c>
    </row>
    <row r="236" spans="1:9" x14ac:dyDescent="0.25">
      <c r="A236" t="s">
        <v>1</v>
      </c>
      <c r="B236" t="s">
        <v>59</v>
      </c>
      <c r="C236" t="s">
        <v>60</v>
      </c>
      <c r="D236">
        <v>1</v>
      </c>
      <c r="E236" t="s">
        <v>95</v>
      </c>
      <c r="F236">
        <v>2046</v>
      </c>
      <c r="G236" t="s">
        <v>2</v>
      </c>
      <c r="H236">
        <v>90285.959111040007</v>
      </c>
      <c r="I236">
        <v>9063.5699985600004</v>
      </c>
    </row>
    <row r="237" spans="1:9" x14ac:dyDescent="0.25">
      <c r="A237" t="s">
        <v>1</v>
      </c>
      <c r="B237" t="s">
        <v>59</v>
      </c>
      <c r="C237" t="s">
        <v>60</v>
      </c>
      <c r="D237">
        <v>1</v>
      </c>
      <c r="E237" t="s">
        <v>95</v>
      </c>
      <c r="F237">
        <v>2047</v>
      </c>
      <c r="G237" t="s">
        <v>2</v>
      </c>
      <c r="H237">
        <v>89681.448807839988</v>
      </c>
      <c r="I237">
        <v>9014.393000879998</v>
      </c>
    </row>
    <row r="238" spans="1:9" x14ac:dyDescent="0.25">
      <c r="A238" t="s">
        <v>1</v>
      </c>
      <c r="B238" t="s">
        <v>59</v>
      </c>
      <c r="C238" t="s">
        <v>60</v>
      </c>
      <c r="D238">
        <v>1</v>
      </c>
      <c r="E238" t="s">
        <v>95</v>
      </c>
      <c r="F238">
        <v>2048</v>
      </c>
      <c r="G238" t="s">
        <v>2</v>
      </c>
      <c r="H238">
        <v>89625.432238799956</v>
      </c>
      <c r="I238">
        <v>9027.42400008</v>
      </c>
    </row>
    <row r="239" spans="1:9" x14ac:dyDescent="0.25">
      <c r="A239" t="s">
        <v>1</v>
      </c>
      <c r="B239" t="s">
        <v>59</v>
      </c>
      <c r="C239" t="s">
        <v>60</v>
      </c>
      <c r="D239">
        <v>1</v>
      </c>
      <c r="E239" t="s">
        <v>95</v>
      </c>
      <c r="F239">
        <v>2049</v>
      </c>
      <c r="G239" t="s">
        <v>2</v>
      </c>
      <c r="H239">
        <v>88466.707571760024</v>
      </c>
      <c r="I239">
        <v>8928.0800001599982</v>
      </c>
    </row>
    <row r="240" spans="1:9" x14ac:dyDescent="0.25">
      <c r="A240" t="s">
        <v>1</v>
      </c>
      <c r="B240" t="s">
        <v>59</v>
      </c>
      <c r="C240" t="s">
        <v>60</v>
      </c>
      <c r="D240">
        <v>1</v>
      </c>
      <c r="E240" t="s">
        <v>95</v>
      </c>
      <c r="F240">
        <v>2050</v>
      </c>
      <c r="G240" t="s">
        <v>2</v>
      </c>
      <c r="H240">
        <v>85336.361807280031</v>
      </c>
      <c r="I240">
        <v>8872.8199999199987</v>
      </c>
    </row>
    <row r="241" spans="1:9" x14ac:dyDescent="0.25">
      <c r="A241" t="s">
        <v>1</v>
      </c>
      <c r="B241" t="s">
        <v>59</v>
      </c>
      <c r="C241" t="s">
        <v>60</v>
      </c>
      <c r="D241">
        <v>1</v>
      </c>
      <c r="E241" t="s">
        <v>95</v>
      </c>
      <c r="F241">
        <v>2051</v>
      </c>
      <c r="G241" t="s">
        <v>2</v>
      </c>
      <c r="H241">
        <v>86552.251296000031</v>
      </c>
      <c r="I241">
        <v>8872.8199999199987</v>
      </c>
    </row>
    <row r="242" spans="1:9" x14ac:dyDescent="0.25">
      <c r="A242" t="s">
        <v>1</v>
      </c>
      <c r="B242" t="s">
        <v>59</v>
      </c>
      <c r="C242" t="s">
        <v>60</v>
      </c>
      <c r="D242">
        <v>1</v>
      </c>
      <c r="E242" t="s">
        <v>96</v>
      </c>
      <c r="F242">
        <v>2022</v>
      </c>
      <c r="G242" t="s">
        <v>2</v>
      </c>
      <c r="H242">
        <v>108623.81473271994</v>
      </c>
      <c r="I242">
        <v>10313.269999679997</v>
      </c>
    </row>
    <row r="243" spans="1:9" x14ac:dyDescent="0.25">
      <c r="A243" t="s">
        <v>1</v>
      </c>
      <c r="B243" t="s">
        <v>59</v>
      </c>
      <c r="C243" t="s">
        <v>60</v>
      </c>
      <c r="D243">
        <v>1</v>
      </c>
      <c r="E243" t="s">
        <v>96</v>
      </c>
      <c r="F243">
        <v>2023</v>
      </c>
      <c r="G243" t="s">
        <v>2</v>
      </c>
      <c r="H243">
        <v>109777.29375384</v>
      </c>
      <c r="I243">
        <v>10443.243000960007</v>
      </c>
    </row>
    <row r="244" spans="1:9" x14ac:dyDescent="0.25">
      <c r="A244" t="s">
        <v>1</v>
      </c>
      <c r="B244" t="s">
        <v>59</v>
      </c>
      <c r="C244" t="s">
        <v>60</v>
      </c>
      <c r="D244">
        <v>1</v>
      </c>
      <c r="E244" t="s">
        <v>96</v>
      </c>
      <c r="F244">
        <v>2024</v>
      </c>
      <c r="G244" t="s">
        <v>2</v>
      </c>
      <c r="H244">
        <v>106356.54974135995</v>
      </c>
      <c r="I244">
        <v>10498.283997840004</v>
      </c>
    </row>
    <row r="245" spans="1:9" x14ac:dyDescent="0.25">
      <c r="A245" t="s">
        <v>1</v>
      </c>
      <c r="B245" t="s">
        <v>59</v>
      </c>
      <c r="C245" t="s">
        <v>60</v>
      </c>
      <c r="D245">
        <v>1</v>
      </c>
      <c r="E245" t="s">
        <v>96</v>
      </c>
      <c r="F245">
        <v>2025</v>
      </c>
      <c r="G245" t="s">
        <v>2</v>
      </c>
      <c r="H245">
        <v>108379.64579759997</v>
      </c>
      <c r="I245">
        <v>10421.147001120002</v>
      </c>
    </row>
    <row r="246" spans="1:9" x14ac:dyDescent="0.25">
      <c r="A246" t="s">
        <v>1</v>
      </c>
      <c r="B246" t="s">
        <v>59</v>
      </c>
      <c r="C246" t="s">
        <v>60</v>
      </c>
      <c r="D246">
        <v>1</v>
      </c>
      <c r="E246" t="s">
        <v>96</v>
      </c>
      <c r="F246">
        <v>2026</v>
      </c>
      <c r="G246" t="s">
        <v>2</v>
      </c>
      <c r="H246">
        <v>106213.84628855996</v>
      </c>
      <c r="I246">
        <v>10396.811000399995</v>
      </c>
    </row>
    <row r="247" spans="1:9" x14ac:dyDescent="0.25">
      <c r="A247" t="s">
        <v>1</v>
      </c>
      <c r="B247" t="s">
        <v>59</v>
      </c>
      <c r="C247" t="s">
        <v>60</v>
      </c>
      <c r="D247">
        <v>1</v>
      </c>
      <c r="E247" t="s">
        <v>96</v>
      </c>
      <c r="F247">
        <v>2027</v>
      </c>
      <c r="G247" t="s">
        <v>2</v>
      </c>
      <c r="H247">
        <v>106144.45905335991</v>
      </c>
      <c r="I247">
        <v>10355.212998720001</v>
      </c>
    </row>
    <row r="248" spans="1:9" x14ac:dyDescent="0.25">
      <c r="A248" t="s">
        <v>1</v>
      </c>
      <c r="B248" t="s">
        <v>59</v>
      </c>
      <c r="C248" t="s">
        <v>60</v>
      </c>
      <c r="D248">
        <v>1</v>
      </c>
      <c r="E248" t="s">
        <v>96</v>
      </c>
      <c r="F248">
        <v>2028</v>
      </c>
      <c r="G248" t="s">
        <v>2</v>
      </c>
      <c r="H248">
        <v>106282.86832296</v>
      </c>
      <c r="I248">
        <v>10362.205002480005</v>
      </c>
    </row>
    <row r="249" spans="1:9" x14ac:dyDescent="0.25">
      <c r="A249" t="s">
        <v>1</v>
      </c>
      <c r="B249" t="s">
        <v>59</v>
      </c>
      <c r="C249" t="s">
        <v>60</v>
      </c>
      <c r="D249">
        <v>1</v>
      </c>
      <c r="E249" t="s">
        <v>96</v>
      </c>
      <c r="F249">
        <v>2029</v>
      </c>
      <c r="G249" t="s">
        <v>2</v>
      </c>
      <c r="H249">
        <v>104603.44859928003</v>
      </c>
      <c r="I249">
        <v>10226.844000720008</v>
      </c>
    </row>
    <row r="250" spans="1:9" x14ac:dyDescent="0.25">
      <c r="A250" t="s">
        <v>1</v>
      </c>
      <c r="B250" t="s">
        <v>59</v>
      </c>
      <c r="C250" t="s">
        <v>60</v>
      </c>
      <c r="D250">
        <v>1</v>
      </c>
      <c r="E250" t="s">
        <v>96</v>
      </c>
      <c r="F250">
        <v>2030</v>
      </c>
      <c r="G250" t="s">
        <v>2</v>
      </c>
      <c r="H250">
        <v>103714.27043807994</v>
      </c>
      <c r="I250">
        <v>10144.362002399996</v>
      </c>
    </row>
    <row r="251" spans="1:9" x14ac:dyDescent="0.25">
      <c r="A251" t="s">
        <v>1</v>
      </c>
      <c r="B251" t="s">
        <v>59</v>
      </c>
      <c r="C251" t="s">
        <v>60</v>
      </c>
      <c r="D251">
        <v>1</v>
      </c>
      <c r="E251" t="s">
        <v>96</v>
      </c>
      <c r="F251">
        <v>2031</v>
      </c>
      <c r="G251" t="s">
        <v>2</v>
      </c>
      <c r="H251">
        <v>102716.36027255985</v>
      </c>
      <c r="I251">
        <v>10055.268998879996</v>
      </c>
    </row>
    <row r="252" spans="1:9" x14ac:dyDescent="0.25">
      <c r="A252" t="s">
        <v>1</v>
      </c>
      <c r="B252" t="s">
        <v>59</v>
      </c>
      <c r="C252" t="s">
        <v>60</v>
      </c>
      <c r="D252">
        <v>1</v>
      </c>
      <c r="E252" t="s">
        <v>96</v>
      </c>
      <c r="F252">
        <v>2032</v>
      </c>
      <c r="G252" t="s">
        <v>2</v>
      </c>
      <c r="H252">
        <v>102412.63623456002</v>
      </c>
      <c r="I252">
        <v>10030.402001039995</v>
      </c>
    </row>
    <row r="253" spans="1:9" x14ac:dyDescent="0.25">
      <c r="A253" t="s">
        <v>1</v>
      </c>
      <c r="B253" t="s">
        <v>59</v>
      </c>
      <c r="C253" t="s">
        <v>60</v>
      </c>
      <c r="D253">
        <v>1</v>
      </c>
      <c r="E253" t="s">
        <v>96</v>
      </c>
      <c r="F253">
        <v>2033</v>
      </c>
      <c r="G253" t="s">
        <v>2</v>
      </c>
      <c r="H253">
        <v>100788.55365000005</v>
      </c>
      <c r="I253">
        <v>9879.2529991199954</v>
      </c>
    </row>
    <row r="254" spans="1:9" x14ac:dyDescent="0.25">
      <c r="A254" t="s">
        <v>1</v>
      </c>
      <c r="B254" t="s">
        <v>59</v>
      </c>
      <c r="C254" t="s">
        <v>60</v>
      </c>
      <c r="D254">
        <v>1</v>
      </c>
      <c r="E254" t="s">
        <v>96</v>
      </c>
      <c r="F254">
        <v>2034</v>
      </c>
      <c r="G254" t="s">
        <v>2</v>
      </c>
      <c r="H254">
        <v>99791.77991808005</v>
      </c>
      <c r="I254">
        <v>9798.8719987199947</v>
      </c>
    </row>
    <row r="255" spans="1:9" x14ac:dyDescent="0.25">
      <c r="A255" t="s">
        <v>1</v>
      </c>
      <c r="B255" t="s">
        <v>59</v>
      </c>
      <c r="C255" t="s">
        <v>60</v>
      </c>
      <c r="D255">
        <v>1</v>
      </c>
      <c r="E255" t="s">
        <v>96</v>
      </c>
      <c r="F255">
        <v>2035</v>
      </c>
      <c r="G255" t="s">
        <v>2</v>
      </c>
      <c r="H255">
        <v>98905.311789360087</v>
      </c>
      <c r="I255">
        <v>9725.363999520001</v>
      </c>
    </row>
    <row r="256" spans="1:9" x14ac:dyDescent="0.25">
      <c r="A256" t="s">
        <v>1</v>
      </c>
      <c r="B256" t="s">
        <v>59</v>
      </c>
      <c r="C256" t="s">
        <v>60</v>
      </c>
      <c r="D256">
        <v>1</v>
      </c>
      <c r="E256" t="s">
        <v>96</v>
      </c>
      <c r="F256">
        <v>2036</v>
      </c>
      <c r="G256" t="s">
        <v>2</v>
      </c>
      <c r="H256">
        <v>98669.637532079985</v>
      </c>
      <c r="I256">
        <v>9714.9949977599972</v>
      </c>
    </row>
    <row r="257" spans="1:9" x14ac:dyDescent="0.25">
      <c r="A257" t="s">
        <v>1</v>
      </c>
      <c r="B257" t="s">
        <v>59</v>
      </c>
      <c r="C257" t="s">
        <v>60</v>
      </c>
      <c r="D257">
        <v>1</v>
      </c>
      <c r="E257" t="s">
        <v>96</v>
      </c>
      <c r="F257">
        <v>2037</v>
      </c>
      <c r="G257" t="s">
        <v>2</v>
      </c>
      <c r="H257">
        <v>97120.326083279899</v>
      </c>
      <c r="I257">
        <v>9578.6030013599939</v>
      </c>
    </row>
    <row r="258" spans="1:9" x14ac:dyDescent="0.25">
      <c r="A258" t="s">
        <v>1</v>
      </c>
      <c r="B258" t="s">
        <v>59</v>
      </c>
      <c r="C258" t="s">
        <v>60</v>
      </c>
      <c r="D258">
        <v>1</v>
      </c>
      <c r="E258" t="s">
        <v>96</v>
      </c>
      <c r="F258">
        <v>2038</v>
      </c>
      <c r="G258" t="s">
        <v>2</v>
      </c>
      <c r="H258">
        <v>96213.502376399978</v>
      </c>
      <c r="I258">
        <v>9501.2129992800074</v>
      </c>
    </row>
    <row r="259" spans="1:9" x14ac:dyDescent="0.25">
      <c r="A259" t="s">
        <v>1</v>
      </c>
      <c r="B259" t="s">
        <v>59</v>
      </c>
      <c r="C259" t="s">
        <v>60</v>
      </c>
      <c r="D259">
        <v>1</v>
      </c>
      <c r="E259" t="s">
        <v>96</v>
      </c>
      <c r="F259">
        <v>2039</v>
      </c>
      <c r="G259" t="s">
        <v>2</v>
      </c>
      <c r="H259">
        <v>95348.394476639965</v>
      </c>
      <c r="I259">
        <v>9422.5039989600027</v>
      </c>
    </row>
    <row r="260" spans="1:9" x14ac:dyDescent="0.25">
      <c r="A260" t="s">
        <v>1</v>
      </c>
      <c r="B260" t="s">
        <v>59</v>
      </c>
      <c r="C260" t="s">
        <v>60</v>
      </c>
      <c r="D260">
        <v>1</v>
      </c>
      <c r="E260" t="s">
        <v>96</v>
      </c>
      <c r="F260">
        <v>2040</v>
      </c>
      <c r="G260" t="s">
        <v>2</v>
      </c>
      <c r="H260">
        <v>95067.693106320061</v>
      </c>
      <c r="I260">
        <v>9412.1409995999875</v>
      </c>
    </row>
    <row r="261" spans="1:9" x14ac:dyDescent="0.25">
      <c r="A261" t="s">
        <v>1</v>
      </c>
      <c r="B261" t="s">
        <v>59</v>
      </c>
      <c r="C261" t="s">
        <v>60</v>
      </c>
      <c r="D261">
        <v>1</v>
      </c>
      <c r="E261" t="s">
        <v>96</v>
      </c>
      <c r="F261">
        <v>2041</v>
      </c>
      <c r="G261" t="s">
        <v>2</v>
      </c>
      <c r="H261">
        <v>93709.134583199964</v>
      </c>
      <c r="I261">
        <v>9290.5230009599964</v>
      </c>
    </row>
    <row r="262" spans="1:9" x14ac:dyDescent="0.25">
      <c r="A262" t="s">
        <v>1</v>
      </c>
      <c r="B262" t="s">
        <v>59</v>
      </c>
      <c r="C262" t="s">
        <v>60</v>
      </c>
      <c r="D262">
        <v>1</v>
      </c>
      <c r="E262" t="s">
        <v>96</v>
      </c>
      <c r="F262">
        <v>2042</v>
      </c>
      <c r="G262" t="s">
        <v>2</v>
      </c>
      <c r="H262">
        <v>93019.377637679994</v>
      </c>
      <c r="I262">
        <v>9240.5339995200047</v>
      </c>
    </row>
    <row r="263" spans="1:9" x14ac:dyDescent="0.25">
      <c r="A263" t="s">
        <v>1</v>
      </c>
      <c r="B263" t="s">
        <v>59</v>
      </c>
      <c r="C263" t="s">
        <v>60</v>
      </c>
      <c r="D263">
        <v>1</v>
      </c>
      <c r="E263" t="s">
        <v>96</v>
      </c>
      <c r="F263">
        <v>2043</v>
      </c>
      <c r="G263" t="s">
        <v>2</v>
      </c>
      <c r="H263">
        <v>92388.555857040003</v>
      </c>
      <c r="I263">
        <v>9197.4489998399968</v>
      </c>
    </row>
    <row r="264" spans="1:9" x14ac:dyDescent="0.25">
      <c r="A264" t="s">
        <v>1</v>
      </c>
      <c r="B264" t="s">
        <v>59</v>
      </c>
      <c r="C264" t="s">
        <v>60</v>
      </c>
      <c r="D264">
        <v>1</v>
      </c>
      <c r="E264" t="s">
        <v>96</v>
      </c>
      <c r="F264">
        <v>2044</v>
      </c>
      <c r="G264" t="s">
        <v>2</v>
      </c>
      <c r="H264">
        <v>92191.021821600065</v>
      </c>
      <c r="I264">
        <v>9214.6190003999909</v>
      </c>
    </row>
    <row r="265" spans="1:9" x14ac:dyDescent="0.25">
      <c r="A265" t="s">
        <v>1</v>
      </c>
      <c r="B265" t="s">
        <v>59</v>
      </c>
      <c r="C265" t="s">
        <v>60</v>
      </c>
      <c r="D265">
        <v>1</v>
      </c>
      <c r="E265" t="s">
        <v>96</v>
      </c>
      <c r="F265">
        <v>2045</v>
      </c>
      <c r="G265" t="s">
        <v>2</v>
      </c>
      <c r="H265">
        <v>90882.938055119914</v>
      </c>
      <c r="I265">
        <v>9112.4409993600093</v>
      </c>
    </row>
    <row r="266" spans="1:9" x14ac:dyDescent="0.25">
      <c r="A266" t="s">
        <v>1</v>
      </c>
      <c r="B266" t="s">
        <v>59</v>
      </c>
      <c r="C266" t="s">
        <v>60</v>
      </c>
      <c r="D266">
        <v>1</v>
      </c>
      <c r="E266" t="s">
        <v>96</v>
      </c>
      <c r="F266">
        <v>2046</v>
      </c>
      <c r="G266" t="s">
        <v>2</v>
      </c>
      <c r="H266">
        <v>90285.959111760007</v>
      </c>
      <c r="I266">
        <v>9063.5699985600004</v>
      </c>
    </row>
    <row r="267" spans="1:9" x14ac:dyDescent="0.25">
      <c r="A267" t="s">
        <v>1</v>
      </c>
      <c r="B267" t="s">
        <v>59</v>
      </c>
      <c r="C267" t="s">
        <v>60</v>
      </c>
      <c r="D267">
        <v>1</v>
      </c>
      <c r="E267" t="s">
        <v>96</v>
      </c>
      <c r="F267">
        <v>2047</v>
      </c>
      <c r="G267" t="s">
        <v>2</v>
      </c>
      <c r="H267">
        <v>89681.448807360008</v>
      </c>
      <c r="I267">
        <v>9014.393000879998</v>
      </c>
    </row>
    <row r="268" spans="1:9" x14ac:dyDescent="0.25">
      <c r="A268" t="s">
        <v>1</v>
      </c>
      <c r="B268" t="s">
        <v>59</v>
      </c>
      <c r="C268" t="s">
        <v>60</v>
      </c>
      <c r="D268">
        <v>1</v>
      </c>
      <c r="E268" t="s">
        <v>96</v>
      </c>
      <c r="F268">
        <v>2048</v>
      </c>
      <c r="G268" t="s">
        <v>2</v>
      </c>
      <c r="H268">
        <v>89625.432238079971</v>
      </c>
      <c r="I268">
        <v>9027.42400008</v>
      </c>
    </row>
    <row r="269" spans="1:9" x14ac:dyDescent="0.25">
      <c r="A269" t="s">
        <v>1</v>
      </c>
      <c r="B269" t="s">
        <v>59</v>
      </c>
      <c r="C269" t="s">
        <v>60</v>
      </c>
      <c r="D269">
        <v>1</v>
      </c>
      <c r="E269" t="s">
        <v>96</v>
      </c>
      <c r="F269">
        <v>2049</v>
      </c>
      <c r="G269" t="s">
        <v>2</v>
      </c>
      <c r="H269">
        <v>88466.707570800034</v>
      </c>
      <c r="I269">
        <v>8928.0800001599982</v>
      </c>
    </row>
    <row r="270" spans="1:9" x14ac:dyDescent="0.25">
      <c r="A270" t="s">
        <v>1</v>
      </c>
      <c r="B270" t="s">
        <v>59</v>
      </c>
      <c r="C270" t="s">
        <v>60</v>
      </c>
      <c r="D270">
        <v>1</v>
      </c>
      <c r="E270" t="s">
        <v>96</v>
      </c>
      <c r="F270">
        <v>2050</v>
      </c>
      <c r="G270" t="s">
        <v>2</v>
      </c>
      <c r="H270">
        <v>85336.361807280031</v>
      </c>
      <c r="I270">
        <v>8872.8199999199987</v>
      </c>
    </row>
    <row r="271" spans="1:9" x14ac:dyDescent="0.25">
      <c r="A271" t="s">
        <v>1</v>
      </c>
      <c r="B271" t="s">
        <v>59</v>
      </c>
      <c r="C271" t="s">
        <v>60</v>
      </c>
      <c r="D271">
        <v>1</v>
      </c>
      <c r="E271" t="s">
        <v>96</v>
      </c>
      <c r="F271">
        <v>2051</v>
      </c>
      <c r="G271" t="s">
        <v>2</v>
      </c>
      <c r="H271">
        <v>86552.251295760099</v>
      </c>
      <c r="I271">
        <v>8872.8199999199987</v>
      </c>
    </row>
    <row r="272" spans="1:9" x14ac:dyDescent="0.25">
      <c r="A272" t="s">
        <v>1</v>
      </c>
      <c r="B272" t="s">
        <v>59</v>
      </c>
      <c r="C272" t="s">
        <v>60</v>
      </c>
      <c r="D272">
        <v>1</v>
      </c>
      <c r="E272" t="s">
        <v>97</v>
      </c>
      <c r="F272">
        <v>2022</v>
      </c>
      <c r="G272" t="s">
        <v>2</v>
      </c>
      <c r="H272">
        <v>108623.81473271994</v>
      </c>
      <c r="I272">
        <v>10313.269999679997</v>
      </c>
    </row>
    <row r="273" spans="1:9" x14ac:dyDescent="0.25">
      <c r="A273" t="s">
        <v>1</v>
      </c>
      <c r="B273" t="s">
        <v>59</v>
      </c>
      <c r="C273" t="s">
        <v>60</v>
      </c>
      <c r="D273">
        <v>1</v>
      </c>
      <c r="E273" t="s">
        <v>97</v>
      </c>
      <c r="F273">
        <v>2023</v>
      </c>
      <c r="G273" t="s">
        <v>2</v>
      </c>
      <c r="H273">
        <v>109777.11049439998</v>
      </c>
      <c r="I273">
        <v>10443.243000960007</v>
      </c>
    </row>
    <row r="274" spans="1:9" x14ac:dyDescent="0.25">
      <c r="A274" t="s">
        <v>1</v>
      </c>
      <c r="B274" t="s">
        <v>59</v>
      </c>
      <c r="C274" t="s">
        <v>60</v>
      </c>
      <c r="D274">
        <v>1</v>
      </c>
      <c r="E274" t="s">
        <v>97</v>
      </c>
      <c r="F274">
        <v>2024</v>
      </c>
      <c r="G274" t="s">
        <v>2</v>
      </c>
      <c r="H274">
        <v>106377.11032319997</v>
      </c>
      <c r="I274">
        <v>10498.099998479998</v>
      </c>
    </row>
    <row r="275" spans="1:9" x14ac:dyDescent="0.25">
      <c r="A275" t="s">
        <v>1</v>
      </c>
      <c r="B275" t="s">
        <v>59</v>
      </c>
      <c r="C275" t="s">
        <v>60</v>
      </c>
      <c r="D275">
        <v>1</v>
      </c>
      <c r="E275" t="s">
        <v>97</v>
      </c>
      <c r="F275">
        <v>2025</v>
      </c>
      <c r="G275" t="s">
        <v>2</v>
      </c>
      <c r="H275">
        <v>108369.48011928002</v>
      </c>
      <c r="I275">
        <v>10422.903000480006</v>
      </c>
    </row>
    <row r="276" spans="1:9" x14ac:dyDescent="0.25">
      <c r="A276" t="s">
        <v>1</v>
      </c>
      <c r="B276" t="s">
        <v>59</v>
      </c>
      <c r="C276" t="s">
        <v>60</v>
      </c>
      <c r="D276">
        <v>1</v>
      </c>
      <c r="E276" t="s">
        <v>97</v>
      </c>
      <c r="F276">
        <v>2026</v>
      </c>
      <c r="G276" t="s">
        <v>2</v>
      </c>
      <c r="H276">
        <v>106321.80856415993</v>
      </c>
      <c r="I276">
        <v>10400.279998319997</v>
      </c>
    </row>
    <row r="277" spans="1:9" x14ac:dyDescent="0.25">
      <c r="A277" t="s">
        <v>1</v>
      </c>
      <c r="B277" t="s">
        <v>59</v>
      </c>
      <c r="C277" t="s">
        <v>60</v>
      </c>
      <c r="D277">
        <v>1</v>
      </c>
      <c r="E277" t="s">
        <v>97</v>
      </c>
      <c r="F277">
        <v>2027</v>
      </c>
      <c r="G277" t="s">
        <v>2</v>
      </c>
      <c r="H277">
        <v>106585.46052216005</v>
      </c>
      <c r="I277">
        <v>10365.22599912001</v>
      </c>
    </row>
    <row r="278" spans="1:9" x14ac:dyDescent="0.25">
      <c r="A278" t="s">
        <v>1</v>
      </c>
      <c r="B278" t="s">
        <v>59</v>
      </c>
      <c r="C278" t="s">
        <v>60</v>
      </c>
      <c r="D278">
        <v>1</v>
      </c>
      <c r="E278" t="s">
        <v>97</v>
      </c>
      <c r="F278">
        <v>2028</v>
      </c>
      <c r="G278" t="s">
        <v>2</v>
      </c>
      <c r="H278">
        <v>106676.79726696007</v>
      </c>
      <c r="I278">
        <v>10384.086001679998</v>
      </c>
    </row>
    <row r="279" spans="1:9" x14ac:dyDescent="0.25">
      <c r="A279" t="s">
        <v>1</v>
      </c>
      <c r="B279" t="s">
        <v>59</v>
      </c>
      <c r="C279" t="s">
        <v>60</v>
      </c>
      <c r="D279">
        <v>1</v>
      </c>
      <c r="E279" t="s">
        <v>97</v>
      </c>
      <c r="F279">
        <v>2029</v>
      </c>
      <c r="G279" t="s">
        <v>2</v>
      </c>
      <c r="H279">
        <v>105060.86783448007</v>
      </c>
      <c r="I279">
        <v>10264.392000960001</v>
      </c>
    </row>
    <row r="280" spans="1:9" x14ac:dyDescent="0.25">
      <c r="A280" t="s">
        <v>1</v>
      </c>
      <c r="B280" t="s">
        <v>59</v>
      </c>
      <c r="C280" t="s">
        <v>60</v>
      </c>
      <c r="D280">
        <v>1</v>
      </c>
      <c r="E280" t="s">
        <v>97</v>
      </c>
      <c r="F280">
        <v>2030</v>
      </c>
      <c r="G280" t="s">
        <v>2</v>
      </c>
      <c r="H280">
        <v>104418.19152984003</v>
      </c>
      <c r="I280">
        <v>10206.228999359999</v>
      </c>
    </row>
    <row r="281" spans="1:9" x14ac:dyDescent="0.25">
      <c r="A281" t="s">
        <v>1</v>
      </c>
      <c r="B281" t="s">
        <v>59</v>
      </c>
      <c r="C281" t="s">
        <v>60</v>
      </c>
      <c r="D281">
        <v>1</v>
      </c>
      <c r="E281" t="s">
        <v>97</v>
      </c>
      <c r="F281">
        <v>2031</v>
      </c>
      <c r="G281" t="s">
        <v>2</v>
      </c>
      <c r="H281">
        <v>103694.26770887995</v>
      </c>
      <c r="I281">
        <v>10148.610997920001</v>
      </c>
    </row>
    <row r="282" spans="1:9" x14ac:dyDescent="0.25">
      <c r="A282" t="s">
        <v>1</v>
      </c>
      <c r="B282" t="s">
        <v>59</v>
      </c>
      <c r="C282" t="s">
        <v>60</v>
      </c>
      <c r="D282">
        <v>1</v>
      </c>
      <c r="E282" t="s">
        <v>97</v>
      </c>
      <c r="F282">
        <v>2032</v>
      </c>
      <c r="G282" t="s">
        <v>2</v>
      </c>
      <c r="H282">
        <v>103632.16538016008</v>
      </c>
      <c r="I282">
        <v>10155.219001679998</v>
      </c>
    </row>
    <row r="283" spans="1:9" x14ac:dyDescent="0.25">
      <c r="A283" t="s">
        <v>1</v>
      </c>
      <c r="B283" t="s">
        <v>59</v>
      </c>
      <c r="C283" t="s">
        <v>60</v>
      </c>
      <c r="D283">
        <v>1</v>
      </c>
      <c r="E283" t="s">
        <v>97</v>
      </c>
      <c r="F283">
        <v>2033</v>
      </c>
      <c r="G283" t="s">
        <v>2</v>
      </c>
      <c r="H283">
        <v>102254.47113191996</v>
      </c>
      <c r="I283">
        <v>10032.201000959991</v>
      </c>
    </row>
    <row r="284" spans="1:9" x14ac:dyDescent="0.25">
      <c r="A284" t="s">
        <v>1</v>
      </c>
      <c r="B284" t="s">
        <v>59</v>
      </c>
      <c r="C284" t="s">
        <v>60</v>
      </c>
      <c r="D284">
        <v>1</v>
      </c>
      <c r="E284" t="s">
        <v>97</v>
      </c>
      <c r="F284">
        <v>2034</v>
      </c>
      <c r="G284" t="s">
        <v>2</v>
      </c>
      <c r="H284">
        <v>101491.6445808</v>
      </c>
      <c r="I284">
        <v>9980.6960013599964</v>
      </c>
    </row>
    <row r="285" spans="1:9" x14ac:dyDescent="0.25">
      <c r="A285" t="s">
        <v>1</v>
      </c>
      <c r="B285" t="s">
        <v>59</v>
      </c>
      <c r="C285" t="s">
        <v>60</v>
      </c>
      <c r="D285">
        <v>1</v>
      </c>
      <c r="E285" t="s">
        <v>97</v>
      </c>
      <c r="F285">
        <v>2035</v>
      </c>
      <c r="G285" t="s">
        <v>2</v>
      </c>
      <c r="H285">
        <v>100837.73097816005</v>
      </c>
      <c r="I285">
        <v>9935.2000003199937</v>
      </c>
    </row>
    <row r="286" spans="1:9" x14ac:dyDescent="0.25">
      <c r="A286" t="s">
        <v>1</v>
      </c>
      <c r="B286" t="s">
        <v>59</v>
      </c>
      <c r="C286" t="s">
        <v>60</v>
      </c>
      <c r="D286">
        <v>1</v>
      </c>
      <c r="E286" t="s">
        <v>97</v>
      </c>
      <c r="F286">
        <v>2036</v>
      </c>
      <c r="G286" t="s">
        <v>2</v>
      </c>
      <c r="H286">
        <v>100827.22681823994</v>
      </c>
      <c r="I286">
        <v>9953.7230006399968</v>
      </c>
    </row>
    <row r="287" spans="1:9" x14ac:dyDescent="0.25">
      <c r="A287" t="s">
        <v>1</v>
      </c>
      <c r="B287" t="s">
        <v>59</v>
      </c>
      <c r="C287" t="s">
        <v>60</v>
      </c>
      <c r="D287">
        <v>1</v>
      </c>
      <c r="E287" t="s">
        <v>97</v>
      </c>
      <c r="F287">
        <v>2037</v>
      </c>
      <c r="G287" t="s">
        <v>2</v>
      </c>
      <c r="H287">
        <v>99456.235777440015</v>
      </c>
      <c r="I287">
        <v>9841.2809997599943</v>
      </c>
    </row>
    <row r="288" spans="1:9" x14ac:dyDescent="0.25">
      <c r="A288" t="s">
        <v>1</v>
      </c>
      <c r="B288" t="s">
        <v>59</v>
      </c>
      <c r="C288" t="s">
        <v>60</v>
      </c>
      <c r="D288">
        <v>1</v>
      </c>
      <c r="E288" t="s">
        <v>97</v>
      </c>
      <c r="F288">
        <v>2038</v>
      </c>
      <c r="G288" t="s">
        <v>2</v>
      </c>
      <c r="H288">
        <v>98707.349570640028</v>
      </c>
      <c r="I288">
        <v>9787.004999040013</v>
      </c>
    </row>
    <row r="289" spans="1:9" x14ac:dyDescent="0.25">
      <c r="A289" t="s">
        <v>1</v>
      </c>
      <c r="B289" t="s">
        <v>59</v>
      </c>
      <c r="C289" t="s">
        <v>60</v>
      </c>
      <c r="D289">
        <v>1</v>
      </c>
      <c r="E289" t="s">
        <v>97</v>
      </c>
      <c r="F289">
        <v>2039</v>
      </c>
      <c r="G289" t="s">
        <v>2</v>
      </c>
      <c r="H289">
        <v>97990.94141831997</v>
      </c>
      <c r="I289">
        <v>9728.6840004000042</v>
      </c>
    </row>
    <row r="290" spans="1:9" x14ac:dyDescent="0.25">
      <c r="A290" t="s">
        <v>1</v>
      </c>
      <c r="B290" t="s">
        <v>59</v>
      </c>
      <c r="C290" t="s">
        <v>60</v>
      </c>
      <c r="D290">
        <v>1</v>
      </c>
      <c r="E290" t="s">
        <v>97</v>
      </c>
      <c r="F290">
        <v>2040</v>
      </c>
      <c r="G290" t="s">
        <v>2</v>
      </c>
      <c r="H290">
        <v>97843.094453040059</v>
      </c>
      <c r="I290">
        <v>9739.7849995199958</v>
      </c>
    </row>
    <row r="291" spans="1:9" x14ac:dyDescent="0.25">
      <c r="A291" t="s">
        <v>1</v>
      </c>
      <c r="B291" t="s">
        <v>59</v>
      </c>
      <c r="C291" t="s">
        <v>60</v>
      </c>
      <c r="D291">
        <v>1</v>
      </c>
      <c r="E291" t="s">
        <v>97</v>
      </c>
      <c r="F291">
        <v>2041</v>
      </c>
      <c r="G291" t="s">
        <v>2</v>
      </c>
      <c r="H291">
        <v>96579.722799599956</v>
      </c>
      <c r="I291">
        <v>9633.311998799998</v>
      </c>
    </row>
    <row r="292" spans="1:9" x14ac:dyDescent="0.25">
      <c r="A292" t="s">
        <v>1</v>
      </c>
      <c r="B292" t="s">
        <v>59</v>
      </c>
      <c r="C292" t="s">
        <v>60</v>
      </c>
      <c r="D292">
        <v>1</v>
      </c>
      <c r="E292" t="s">
        <v>97</v>
      </c>
      <c r="F292">
        <v>2042</v>
      </c>
      <c r="G292" t="s">
        <v>2</v>
      </c>
      <c r="H292">
        <v>95988.739477920011</v>
      </c>
      <c r="I292">
        <v>9599.2410007200015</v>
      </c>
    </row>
    <row r="293" spans="1:9" x14ac:dyDescent="0.25">
      <c r="A293" t="s">
        <v>1</v>
      </c>
      <c r="B293" t="s">
        <v>59</v>
      </c>
      <c r="C293" t="s">
        <v>60</v>
      </c>
      <c r="D293">
        <v>1</v>
      </c>
      <c r="E293" t="s">
        <v>97</v>
      </c>
      <c r="F293">
        <v>2043</v>
      </c>
      <c r="G293" t="s">
        <v>2</v>
      </c>
      <c r="H293">
        <v>95437.911223200033</v>
      </c>
      <c r="I293">
        <v>9570.8849992799987</v>
      </c>
    </row>
    <row r="294" spans="1:9" x14ac:dyDescent="0.25">
      <c r="A294" t="s">
        <v>1</v>
      </c>
      <c r="B294" t="s">
        <v>59</v>
      </c>
      <c r="C294" t="s">
        <v>60</v>
      </c>
      <c r="D294">
        <v>1</v>
      </c>
      <c r="E294" t="s">
        <v>97</v>
      </c>
      <c r="F294">
        <v>2044</v>
      </c>
      <c r="G294" t="s">
        <v>2</v>
      </c>
      <c r="H294">
        <v>95499.418156799948</v>
      </c>
      <c r="I294">
        <v>9605.3070007200058</v>
      </c>
    </row>
    <row r="295" spans="1:9" x14ac:dyDescent="0.25">
      <c r="A295" t="s">
        <v>1</v>
      </c>
      <c r="B295" t="s">
        <v>59</v>
      </c>
      <c r="C295" t="s">
        <v>60</v>
      </c>
      <c r="D295">
        <v>1</v>
      </c>
      <c r="E295" t="s">
        <v>97</v>
      </c>
      <c r="F295">
        <v>2045</v>
      </c>
      <c r="G295" t="s">
        <v>2</v>
      </c>
      <c r="H295">
        <v>94229.472692160009</v>
      </c>
      <c r="I295">
        <v>9512.3920007999986</v>
      </c>
    </row>
    <row r="296" spans="1:9" x14ac:dyDescent="0.25">
      <c r="A296" t="s">
        <v>1</v>
      </c>
      <c r="B296" t="s">
        <v>59</v>
      </c>
      <c r="C296" t="s">
        <v>60</v>
      </c>
      <c r="D296">
        <v>1</v>
      </c>
      <c r="E296" t="s">
        <v>97</v>
      </c>
      <c r="F296">
        <v>2046</v>
      </c>
      <c r="G296" t="s">
        <v>2</v>
      </c>
      <c r="H296">
        <v>93680.437624560014</v>
      </c>
      <c r="I296">
        <v>9474.2219999999979</v>
      </c>
    </row>
    <row r="297" spans="1:9" x14ac:dyDescent="0.25">
      <c r="A297" t="s">
        <v>1</v>
      </c>
      <c r="B297" t="s">
        <v>59</v>
      </c>
      <c r="C297" t="s">
        <v>60</v>
      </c>
      <c r="D297">
        <v>1</v>
      </c>
      <c r="E297" t="s">
        <v>97</v>
      </c>
      <c r="F297">
        <v>2047</v>
      </c>
      <c r="G297" t="s">
        <v>2</v>
      </c>
      <c r="H297">
        <v>93121.210548479969</v>
      </c>
      <c r="I297">
        <v>9435.2020000800003</v>
      </c>
    </row>
    <row r="298" spans="1:9" x14ac:dyDescent="0.25">
      <c r="A298" t="s">
        <v>1</v>
      </c>
      <c r="B298" t="s">
        <v>59</v>
      </c>
      <c r="C298" t="s">
        <v>60</v>
      </c>
      <c r="D298">
        <v>1</v>
      </c>
      <c r="E298" t="s">
        <v>97</v>
      </c>
      <c r="F298">
        <v>2048</v>
      </c>
      <c r="G298" t="s">
        <v>2</v>
      </c>
      <c r="H298">
        <v>93080.09037024001</v>
      </c>
      <c r="I298">
        <v>9461.1840012000084</v>
      </c>
    </row>
    <row r="299" spans="1:9" x14ac:dyDescent="0.25">
      <c r="A299" t="s">
        <v>1</v>
      </c>
      <c r="B299" t="s">
        <v>59</v>
      </c>
      <c r="C299" t="s">
        <v>60</v>
      </c>
      <c r="D299">
        <v>1</v>
      </c>
      <c r="E299" t="s">
        <v>97</v>
      </c>
      <c r="F299">
        <v>2049</v>
      </c>
      <c r="G299" t="s">
        <v>2</v>
      </c>
      <c r="H299">
        <v>91876.823435760016</v>
      </c>
      <c r="I299">
        <v>9368.3979991199976</v>
      </c>
    </row>
    <row r="300" spans="1:9" x14ac:dyDescent="0.25">
      <c r="A300" t="s">
        <v>1</v>
      </c>
      <c r="B300" t="s">
        <v>59</v>
      </c>
      <c r="C300" t="s">
        <v>60</v>
      </c>
      <c r="D300">
        <v>1</v>
      </c>
      <c r="E300" t="s">
        <v>97</v>
      </c>
      <c r="F300">
        <v>2050</v>
      </c>
      <c r="G300" t="s">
        <v>2</v>
      </c>
      <c r="H300">
        <v>87959.219863200051</v>
      </c>
      <c r="I300">
        <v>9321.9860013600046</v>
      </c>
    </row>
    <row r="301" spans="1:9" x14ac:dyDescent="0.25">
      <c r="A301" t="s">
        <v>1</v>
      </c>
      <c r="B301" t="s">
        <v>59</v>
      </c>
      <c r="C301" t="s">
        <v>60</v>
      </c>
      <c r="D301">
        <v>1</v>
      </c>
      <c r="E301" t="s">
        <v>97</v>
      </c>
      <c r="F301">
        <v>2051</v>
      </c>
      <c r="G301" t="s">
        <v>2</v>
      </c>
      <c r="H301">
        <v>90360.137860080053</v>
      </c>
      <c r="I301">
        <v>9321.9860013600046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22F3E-A686-4F9E-B301-A8EF6A5A7EEA}">
  <sheetPr>
    <tabColor theme="7"/>
  </sheetPr>
  <dimension ref="A1:I301"/>
  <sheetViews>
    <sheetView workbookViewId="0">
      <selection activeCell="H3" sqref="H3"/>
    </sheetView>
  </sheetViews>
  <sheetFormatPr defaultRowHeight="15" x14ac:dyDescent="0.25"/>
  <cols>
    <col min="3" max="3" width="31.5703125" customWidth="1"/>
    <col min="8" max="9" width="13.42578125" customWidth="1"/>
  </cols>
  <sheetData>
    <row r="1" spans="1:9" x14ac:dyDescent="0.25">
      <c r="A1" t="s">
        <v>43</v>
      </c>
      <c r="B1" t="s">
        <v>44</v>
      </c>
      <c r="C1" t="s">
        <v>45</v>
      </c>
      <c r="D1" t="s">
        <v>46</v>
      </c>
      <c r="E1" t="s">
        <v>47</v>
      </c>
      <c r="F1" t="s">
        <v>0</v>
      </c>
      <c r="G1" t="s">
        <v>48</v>
      </c>
      <c r="H1" t="s">
        <v>74</v>
      </c>
      <c r="I1" t="s">
        <v>75</v>
      </c>
    </row>
    <row r="2" spans="1:9" x14ac:dyDescent="0.25">
      <c r="A2" t="s">
        <v>1</v>
      </c>
      <c r="B2" t="s">
        <v>76</v>
      </c>
      <c r="C2" t="s">
        <v>77</v>
      </c>
      <c r="D2">
        <v>1</v>
      </c>
      <c r="E2" t="s">
        <v>61</v>
      </c>
      <c r="F2">
        <v>2022</v>
      </c>
      <c r="G2" t="s">
        <v>78</v>
      </c>
      <c r="H2" s="2">
        <v>6212899.1093347901</v>
      </c>
      <c r="I2" s="2">
        <v>590760.85055259999</v>
      </c>
    </row>
    <row r="3" spans="1:9" x14ac:dyDescent="0.25">
      <c r="A3" t="s">
        <v>1</v>
      </c>
      <c r="B3" t="s">
        <v>76</v>
      </c>
      <c r="C3" t="s">
        <v>77</v>
      </c>
      <c r="D3">
        <v>1</v>
      </c>
      <c r="E3" t="s">
        <v>61</v>
      </c>
      <c r="F3">
        <v>2023</v>
      </c>
      <c r="G3" t="s">
        <v>78</v>
      </c>
      <c r="H3" s="2">
        <v>6064392.6353515796</v>
      </c>
      <c r="I3" s="2">
        <v>509448</v>
      </c>
    </row>
    <row r="4" spans="1:9" x14ac:dyDescent="0.25">
      <c r="A4" t="s">
        <v>1</v>
      </c>
      <c r="B4" t="s">
        <v>76</v>
      </c>
      <c r="C4" t="s">
        <v>77</v>
      </c>
      <c r="D4">
        <v>1</v>
      </c>
      <c r="E4" t="s">
        <v>61</v>
      </c>
      <c r="F4">
        <v>2024</v>
      </c>
      <c r="G4" t="s">
        <v>78</v>
      </c>
      <c r="H4" s="2">
        <v>6035507</v>
      </c>
      <c r="I4" s="2">
        <v>473787</v>
      </c>
    </row>
    <row r="5" spans="1:9" x14ac:dyDescent="0.25">
      <c r="A5" t="s">
        <v>1</v>
      </c>
      <c r="B5" t="s">
        <v>76</v>
      </c>
      <c r="C5" t="s">
        <v>77</v>
      </c>
      <c r="D5">
        <v>1</v>
      </c>
      <c r="E5" t="s">
        <v>61</v>
      </c>
      <c r="F5">
        <v>2025</v>
      </c>
      <c r="G5" t="s">
        <v>78</v>
      </c>
      <c r="H5" s="2">
        <v>5784027.0000000102</v>
      </c>
      <c r="I5" s="2">
        <v>440622</v>
      </c>
    </row>
    <row r="6" spans="1:9" x14ac:dyDescent="0.25">
      <c r="A6" t="s">
        <v>1</v>
      </c>
      <c r="B6" t="s">
        <v>76</v>
      </c>
      <c r="C6" t="s">
        <v>77</v>
      </c>
      <c r="D6">
        <v>1</v>
      </c>
      <c r="E6" t="s">
        <v>61</v>
      </c>
      <c r="F6">
        <v>2026</v>
      </c>
      <c r="G6" t="s">
        <v>78</v>
      </c>
      <c r="H6" s="2">
        <v>5532547.9999999898</v>
      </c>
      <c r="I6" s="2">
        <v>409778</v>
      </c>
    </row>
    <row r="7" spans="1:9" x14ac:dyDescent="0.25">
      <c r="A7" t="s">
        <v>1</v>
      </c>
      <c r="B7" t="s">
        <v>76</v>
      </c>
      <c r="C7" t="s">
        <v>77</v>
      </c>
      <c r="D7">
        <v>1</v>
      </c>
      <c r="E7" t="s">
        <v>61</v>
      </c>
      <c r="F7">
        <v>2027</v>
      </c>
      <c r="G7" t="s">
        <v>78</v>
      </c>
      <c r="H7" s="2">
        <v>5281068</v>
      </c>
      <c r="I7" s="2">
        <v>381094.00000001001</v>
      </c>
    </row>
    <row r="8" spans="1:9" x14ac:dyDescent="0.25">
      <c r="A8" t="s">
        <v>1</v>
      </c>
      <c r="B8" t="s">
        <v>76</v>
      </c>
      <c r="C8" t="s">
        <v>77</v>
      </c>
      <c r="D8">
        <v>1</v>
      </c>
      <c r="E8" t="s">
        <v>61</v>
      </c>
      <c r="F8">
        <v>2028</v>
      </c>
      <c r="G8" t="s">
        <v>78</v>
      </c>
      <c r="H8" s="2">
        <v>5029589</v>
      </c>
      <c r="I8" s="2">
        <v>354417.00000001001</v>
      </c>
    </row>
    <row r="9" spans="1:9" x14ac:dyDescent="0.25">
      <c r="A9" t="s">
        <v>1</v>
      </c>
      <c r="B9" t="s">
        <v>76</v>
      </c>
      <c r="C9" t="s">
        <v>77</v>
      </c>
      <c r="D9">
        <v>1</v>
      </c>
      <c r="E9" t="s">
        <v>61</v>
      </c>
      <c r="F9">
        <v>2029</v>
      </c>
      <c r="G9" t="s">
        <v>78</v>
      </c>
      <c r="H9" s="2">
        <v>4778108.9999999898</v>
      </c>
      <c r="I9" s="2">
        <v>329607.99999998999</v>
      </c>
    </row>
    <row r="10" spans="1:9" x14ac:dyDescent="0.25">
      <c r="A10" t="s">
        <v>1</v>
      </c>
      <c r="B10" t="s">
        <v>76</v>
      </c>
      <c r="C10" t="s">
        <v>77</v>
      </c>
      <c r="D10">
        <v>1</v>
      </c>
      <c r="E10" t="s">
        <v>61</v>
      </c>
      <c r="F10">
        <v>2030</v>
      </c>
      <c r="G10" t="s">
        <v>78</v>
      </c>
      <c r="H10" s="2">
        <v>4526629.9999999898</v>
      </c>
      <c r="I10" s="2">
        <v>306535</v>
      </c>
    </row>
    <row r="11" spans="1:9" x14ac:dyDescent="0.25">
      <c r="A11" t="s">
        <v>1</v>
      </c>
      <c r="B11" t="s">
        <v>76</v>
      </c>
      <c r="C11" t="s">
        <v>77</v>
      </c>
      <c r="D11">
        <v>1</v>
      </c>
      <c r="E11" t="s">
        <v>61</v>
      </c>
      <c r="F11">
        <v>2031</v>
      </c>
      <c r="G11" t="s">
        <v>78</v>
      </c>
      <c r="H11" s="2">
        <v>4275151.0000000102</v>
      </c>
      <c r="I11" s="2">
        <v>301018</v>
      </c>
    </row>
    <row r="12" spans="1:9" x14ac:dyDescent="0.25">
      <c r="A12" t="s">
        <v>1</v>
      </c>
      <c r="B12" t="s">
        <v>76</v>
      </c>
      <c r="C12" t="s">
        <v>77</v>
      </c>
      <c r="D12">
        <v>1</v>
      </c>
      <c r="E12" t="s">
        <v>61</v>
      </c>
      <c r="F12">
        <v>2032</v>
      </c>
      <c r="G12" t="s">
        <v>78</v>
      </c>
      <c r="H12" s="2">
        <v>4023671.0000000098</v>
      </c>
      <c r="I12" s="2">
        <v>295598.99999998999</v>
      </c>
    </row>
    <row r="13" spans="1:9" x14ac:dyDescent="0.25">
      <c r="A13" t="s">
        <v>1</v>
      </c>
      <c r="B13" t="s">
        <v>76</v>
      </c>
      <c r="C13" t="s">
        <v>77</v>
      </c>
      <c r="D13">
        <v>1</v>
      </c>
      <c r="E13" t="s">
        <v>61</v>
      </c>
      <c r="F13">
        <v>2033</v>
      </c>
      <c r="G13" t="s">
        <v>78</v>
      </c>
      <c r="H13" s="2">
        <v>3772192.0000000098</v>
      </c>
      <c r="I13" s="2">
        <v>290278.99999998999</v>
      </c>
    </row>
    <row r="14" spans="1:9" x14ac:dyDescent="0.25">
      <c r="A14" t="s">
        <v>1</v>
      </c>
      <c r="B14" t="s">
        <v>76</v>
      </c>
      <c r="C14" t="s">
        <v>77</v>
      </c>
      <c r="D14">
        <v>1</v>
      </c>
      <c r="E14" t="s">
        <v>61</v>
      </c>
      <c r="F14">
        <v>2034</v>
      </c>
      <c r="G14" t="s">
        <v>78</v>
      </c>
      <c r="H14" s="2">
        <v>3520711.9999999902</v>
      </c>
      <c r="I14" s="2">
        <v>285054</v>
      </c>
    </row>
    <row r="15" spans="1:9" x14ac:dyDescent="0.25">
      <c r="A15" t="s">
        <v>1</v>
      </c>
      <c r="B15" t="s">
        <v>76</v>
      </c>
      <c r="C15" t="s">
        <v>77</v>
      </c>
      <c r="D15">
        <v>1</v>
      </c>
      <c r="E15" t="s">
        <v>61</v>
      </c>
      <c r="F15">
        <v>2035</v>
      </c>
      <c r="G15" t="s">
        <v>78</v>
      </c>
      <c r="H15" s="2">
        <v>3269233</v>
      </c>
      <c r="I15" s="2">
        <v>279923</v>
      </c>
    </row>
    <row r="16" spans="1:9" x14ac:dyDescent="0.25">
      <c r="A16" t="s">
        <v>1</v>
      </c>
      <c r="B16" t="s">
        <v>76</v>
      </c>
      <c r="C16" t="s">
        <v>77</v>
      </c>
      <c r="D16">
        <v>1</v>
      </c>
      <c r="E16" t="s">
        <v>61</v>
      </c>
      <c r="F16">
        <v>2036</v>
      </c>
      <c r="G16" t="s">
        <v>78</v>
      </c>
      <c r="H16" s="2">
        <v>3094874</v>
      </c>
      <c r="I16" s="2">
        <v>274883.99999998999</v>
      </c>
    </row>
    <row r="17" spans="1:9" x14ac:dyDescent="0.25">
      <c r="A17" t="s">
        <v>1</v>
      </c>
      <c r="B17" t="s">
        <v>76</v>
      </c>
      <c r="C17" t="s">
        <v>77</v>
      </c>
      <c r="D17">
        <v>1</v>
      </c>
      <c r="E17" t="s">
        <v>61</v>
      </c>
      <c r="F17">
        <v>2037</v>
      </c>
      <c r="G17" t="s">
        <v>78</v>
      </c>
      <c r="H17" s="2">
        <v>2920515</v>
      </c>
      <c r="I17" s="2">
        <v>269936</v>
      </c>
    </row>
    <row r="18" spans="1:9" x14ac:dyDescent="0.25">
      <c r="A18" t="s">
        <v>1</v>
      </c>
      <c r="B18" t="s">
        <v>76</v>
      </c>
      <c r="C18" t="s">
        <v>77</v>
      </c>
      <c r="D18">
        <v>1</v>
      </c>
      <c r="E18" t="s">
        <v>61</v>
      </c>
      <c r="F18">
        <v>2038</v>
      </c>
      <c r="G18" t="s">
        <v>78</v>
      </c>
      <c r="H18" s="2">
        <v>2746156</v>
      </c>
      <c r="I18" s="2">
        <v>265076.99999998999</v>
      </c>
    </row>
    <row r="19" spans="1:9" x14ac:dyDescent="0.25">
      <c r="A19" t="s">
        <v>1</v>
      </c>
      <c r="B19" t="s">
        <v>76</v>
      </c>
      <c r="C19" t="s">
        <v>77</v>
      </c>
      <c r="D19">
        <v>1</v>
      </c>
      <c r="E19" t="s">
        <v>61</v>
      </c>
      <c r="F19">
        <v>2039</v>
      </c>
      <c r="G19" t="s">
        <v>78</v>
      </c>
      <c r="H19" s="2">
        <v>2571796</v>
      </c>
      <c r="I19" s="2">
        <v>260306</v>
      </c>
    </row>
    <row r="20" spans="1:9" x14ac:dyDescent="0.25">
      <c r="A20" t="s">
        <v>1</v>
      </c>
      <c r="B20" t="s">
        <v>76</v>
      </c>
      <c r="C20" t="s">
        <v>77</v>
      </c>
      <c r="D20">
        <v>1</v>
      </c>
      <c r="E20" t="s">
        <v>61</v>
      </c>
      <c r="F20">
        <v>2040</v>
      </c>
      <c r="G20" t="s">
        <v>78</v>
      </c>
      <c r="H20" s="2">
        <v>2397437</v>
      </c>
      <c r="I20" s="2">
        <v>255619.99999998999</v>
      </c>
    </row>
    <row r="21" spans="1:9" x14ac:dyDescent="0.25">
      <c r="A21" t="s">
        <v>1</v>
      </c>
      <c r="B21" t="s">
        <v>76</v>
      </c>
      <c r="C21" t="s">
        <v>77</v>
      </c>
      <c r="D21">
        <v>1</v>
      </c>
      <c r="E21" t="s">
        <v>61</v>
      </c>
      <c r="F21">
        <v>2041</v>
      </c>
      <c r="G21" t="s">
        <v>78</v>
      </c>
      <c r="H21" s="2">
        <v>2223078</v>
      </c>
      <c r="I21" s="2">
        <v>251019</v>
      </c>
    </row>
    <row r="22" spans="1:9" x14ac:dyDescent="0.25">
      <c r="A22" t="s">
        <v>1</v>
      </c>
      <c r="B22" t="s">
        <v>76</v>
      </c>
      <c r="C22" t="s">
        <v>77</v>
      </c>
      <c r="D22">
        <v>1</v>
      </c>
      <c r="E22" t="s">
        <v>61</v>
      </c>
      <c r="F22">
        <v>2042</v>
      </c>
      <c r="G22" t="s">
        <v>78</v>
      </c>
      <c r="H22" s="2">
        <v>2048719</v>
      </c>
      <c r="I22" s="2">
        <v>246500.99999998999</v>
      </c>
    </row>
    <row r="23" spans="1:9" x14ac:dyDescent="0.25">
      <c r="A23" t="s">
        <v>1</v>
      </c>
      <c r="B23" t="s">
        <v>76</v>
      </c>
      <c r="C23" t="s">
        <v>77</v>
      </c>
      <c r="D23">
        <v>1</v>
      </c>
      <c r="E23" t="s">
        <v>61</v>
      </c>
      <c r="F23">
        <v>2043</v>
      </c>
      <c r="G23" t="s">
        <v>78</v>
      </c>
      <c r="H23" s="2">
        <v>1874359.99999999</v>
      </c>
      <c r="I23" s="2">
        <v>240092</v>
      </c>
    </row>
    <row r="24" spans="1:9" x14ac:dyDescent="0.25">
      <c r="A24" t="s">
        <v>1</v>
      </c>
      <c r="B24" t="s">
        <v>76</v>
      </c>
      <c r="C24" t="s">
        <v>77</v>
      </c>
      <c r="D24">
        <v>1</v>
      </c>
      <c r="E24" t="s">
        <v>61</v>
      </c>
      <c r="F24">
        <v>2044</v>
      </c>
      <c r="G24" t="s">
        <v>78</v>
      </c>
      <c r="H24" s="2">
        <v>1700000.99999999</v>
      </c>
      <c r="I24" s="2">
        <v>233849.00000001001</v>
      </c>
    </row>
    <row r="25" spans="1:9" x14ac:dyDescent="0.25">
      <c r="A25" t="s">
        <v>1</v>
      </c>
      <c r="B25" t="s">
        <v>76</v>
      </c>
      <c r="C25" t="s">
        <v>77</v>
      </c>
      <c r="D25">
        <v>1</v>
      </c>
      <c r="E25" t="s">
        <v>61</v>
      </c>
      <c r="F25">
        <v>2045</v>
      </c>
      <c r="G25" t="s">
        <v>78</v>
      </c>
      <c r="H25" s="2">
        <v>1525642</v>
      </c>
      <c r="I25" s="2">
        <v>227769</v>
      </c>
    </row>
    <row r="26" spans="1:9" x14ac:dyDescent="0.25">
      <c r="A26" t="s">
        <v>1</v>
      </c>
      <c r="B26" t="s">
        <v>76</v>
      </c>
      <c r="C26" t="s">
        <v>77</v>
      </c>
      <c r="D26">
        <v>1</v>
      </c>
      <c r="E26" t="s">
        <v>61</v>
      </c>
      <c r="F26">
        <v>2046</v>
      </c>
      <c r="G26" t="s">
        <v>78</v>
      </c>
      <c r="H26" s="2">
        <v>1351283</v>
      </c>
      <c r="I26" s="2">
        <v>221846.99999998999</v>
      </c>
    </row>
    <row r="27" spans="1:9" x14ac:dyDescent="0.25">
      <c r="A27" t="s">
        <v>1</v>
      </c>
      <c r="B27" t="s">
        <v>76</v>
      </c>
      <c r="C27" t="s">
        <v>77</v>
      </c>
      <c r="D27">
        <v>1</v>
      </c>
      <c r="E27" t="s">
        <v>61</v>
      </c>
      <c r="F27">
        <v>2047</v>
      </c>
      <c r="G27" t="s">
        <v>78</v>
      </c>
      <c r="H27" s="2">
        <v>1176924</v>
      </c>
      <c r="I27" s="2">
        <v>216078.99999998999</v>
      </c>
    </row>
    <row r="28" spans="1:9" x14ac:dyDescent="0.25">
      <c r="A28" t="s">
        <v>1</v>
      </c>
      <c r="B28" t="s">
        <v>76</v>
      </c>
      <c r="C28" t="s">
        <v>77</v>
      </c>
      <c r="D28">
        <v>1</v>
      </c>
      <c r="E28" t="s">
        <v>61</v>
      </c>
      <c r="F28">
        <v>2048</v>
      </c>
      <c r="G28" t="s">
        <v>78</v>
      </c>
      <c r="H28" s="2">
        <v>1002565</v>
      </c>
      <c r="I28" s="2">
        <v>210461.00000001001</v>
      </c>
    </row>
    <row r="29" spans="1:9" x14ac:dyDescent="0.25">
      <c r="A29" t="s">
        <v>1</v>
      </c>
      <c r="B29" t="s">
        <v>76</v>
      </c>
      <c r="C29" t="s">
        <v>77</v>
      </c>
      <c r="D29">
        <v>1</v>
      </c>
      <c r="E29" t="s">
        <v>61</v>
      </c>
      <c r="F29">
        <v>2049</v>
      </c>
      <c r="G29" t="s">
        <v>78</v>
      </c>
      <c r="H29" s="2">
        <v>828205.99999998999</v>
      </c>
      <c r="I29" s="2">
        <v>204989.00000001001</v>
      </c>
    </row>
    <row r="30" spans="1:9" x14ac:dyDescent="0.25">
      <c r="A30" t="s">
        <v>1</v>
      </c>
      <c r="B30" t="s">
        <v>76</v>
      </c>
      <c r="C30" t="s">
        <v>77</v>
      </c>
      <c r="D30">
        <v>1</v>
      </c>
      <c r="E30" t="s">
        <v>61</v>
      </c>
      <c r="F30">
        <v>2050</v>
      </c>
      <c r="G30" t="s">
        <v>78</v>
      </c>
      <c r="H30" s="2">
        <v>653847.00000001001</v>
      </c>
      <c r="I30" s="2">
        <v>199658.99999998999</v>
      </c>
    </row>
    <row r="31" spans="1:9" x14ac:dyDescent="0.25">
      <c r="A31" t="s">
        <v>1</v>
      </c>
      <c r="B31" t="s">
        <v>76</v>
      </c>
      <c r="C31" t="s">
        <v>77</v>
      </c>
      <c r="D31">
        <v>1</v>
      </c>
      <c r="E31" t="s">
        <v>61</v>
      </c>
      <c r="F31">
        <v>2051</v>
      </c>
      <c r="G31" t="s">
        <v>78</v>
      </c>
      <c r="H31" s="2">
        <v>653847</v>
      </c>
      <c r="I31" s="2">
        <v>199658.99999998999</v>
      </c>
    </row>
    <row r="32" spans="1:9" x14ac:dyDescent="0.25">
      <c r="A32" t="s">
        <v>1</v>
      </c>
      <c r="B32" t="s">
        <v>76</v>
      </c>
      <c r="C32" t="s">
        <v>77</v>
      </c>
      <c r="D32">
        <v>1</v>
      </c>
      <c r="E32" t="s">
        <v>62</v>
      </c>
      <c r="F32">
        <v>2022</v>
      </c>
      <c r="G32" t="s">
        <v>78</v>
      </c>
      <c r="H32">
        <v>6206799.2214078931</v>
      </c>
      <c r="I32">
        <v>589557.55912399816</v>
      </c>
    </row>
    <row r="33" spans="1:9" x14ac:dyDescent="0.25">
      <c r="A33" t="s">
        <v>1</v>
      </c>
      <c r="B33" t="s">
        <v>76</v>
      </c>
      <c r="C33" t="s">
        <v>77</v>
      </c>
      <c r="D33">
        <v>1</v>
      </c>
      <c r="E33" t="s">
        <v>62</v>
      </c>
      <c r="F33">
        <v>2023</v>
      </c>
      <c r="G33" t="s">
        <v>78</v>
      </c>
      <c r="H33">
        <v>6045849.0238898573</v>
      </c>
      <c r="I33">
        <v>509447.9999999858</v>
      </c>
    </row>
    <row r="34" spans="1:9" x14ac:dyDescent="0.25">
      <c r="A34" t="s">
        <v>1</v>
      </c>
      <c r="B34" t="s">
        <v>76</v>
      </c>
      <c r="C34" t="s">
        <v>77</v>
      </c>
      <c r="D34">
        <v>1</v>
      </c>
      <c r="E34" t="s">
        <v>62</v>
      </c>
      <c r="F34">
        <v>2024</v>
      </c>
      <c r="G34" t="s">
        <v>78</v>
      </c>
      <c r="H34">
        <v>6035507.0000000158</v>
      </c>
      <c r="I34">
        <v>473786.99999998882</v>
      </c>
    </row>
    <row r="35" spans="1:9" x14ac:dyDescent="0.25">
      <c r="A35" t="s">
        <v>1</v>
      </c>
      <c r="B35" t="s">
        <v>76</v>
      </c>
      <c r="C35" t="s">
        <v>77</v>
      </c>
      <c r="D35">
        <v>1</v>
      </c>
      <c r="E35" t="s">
        <v>62</v>
      </c>
      <c r="F35">
        <v>2025</v>
      </c>
      <c r="G35" t="s">
        <v>78</v>
      </c>
      <c r="H35">
        <v>5784026.9999999879</v>
      </c>
      <c r="I35">
        <v>440622.00000001042</v>
      </c>
    </row>
    <row r="36" spans="1:9" x14ac:dyDescent="0.25">
      <c r="A36" t="s">
        <v>1</v>
      </c>
      <c r="B36" t="s">
        <v>76</v>
      </c>
      <c r="C36" t="s">
        <v>77</v>
      </c>
      <c r="D36">
        <v>1</v>
      </c>
      <c r="E36" t="s">
        <v>62</v>
      </c>
      <c r="F36">
        <v>2026</v>
      </c>
      <c r="G36" t="s">
        <v>78</v>
      </c>
      <c r="H36">
        <v>5532548.0000000112</v>
      </c>
      <c r="I36">
        <v>409777.99999999092</v>
      </c>
    </row>
    <row r="37" spans="1:9" x14ac:dyDescent="0.25">
      <c r="A37" t="s">
        <v>1</v>
      </c>
      <c r="B37" t="s">
        <v>76</v>
      </c>
      <c r="C37" t="s">
        <v>77</v>
      </c>
      <c r="D37">
        <v>1</v>
      </c>
      <c r="E37" t="s">
        <v>62</v>
      </c>
      <c r="F37">
        <v>2027</v>
      </c>
      <c r="G37" t="s">
        <v>78</v>
      </c>
      <c r="H37">
        <v>5281068.0000000028</v>
      </c>
      <c r="I37">
        <v>381094.00000000751</v>
      </c>
    </row>
    <row r="38" spans="1:9" x14ac:dyDescent="0.25">
      <c r="A38" t="s">
        <v>1</v>
      </c>
      <c r="B38" t="s">
        <v>76</v>
      </c>
      <c r="C38" t="s">
        <v>77</v>
      </c>
      <c r="D38">
        <v>1</v>
      </c>
      <c r="E38" t="s">
        <v>62</v>
      </c>
      <c r="F38">
        <v>2028</v>
      </c>
      <c r="G38" t="s">
        <v>78</v>
      </c>
      <c r="H38">
        <v>5029589.0000000149</v>
      </c>
      <c r="I38">
        <v>354416.99999999744</v>
      </c>
    </row>
    <row r="39" spans="1:9" x14ac:dyDescent="0.25">
      <c r="A39" t="s">
        <v>1</v>
      </c>
      <c r="B39" t="s">
        <v>76</v>
      </c>
      <c r="C39" t="s">
        <v>77</v>
      </c>
      <c r="D39">
        <v>1</v>
      </c>
      <c r="E39" t="s">
        <v>62</v>
      </c>
      <c r="F39">
        <v>2029</v>
      </c>
      <c r="G39" t="s">
        <v>78</v>
      </c>
      <c r="H39">
        <v>4778109.0000000149</v>
      </c>
      <c r="I39">
        <v>329607.99999999232</v>
      </c>
    </row>
    <row r="40" spans="1:9" x14ac:dyDescent="0.25">
      <c r="A40" t="s">
        <v>1</v>
      </c>
      <c r="B40" t="s">
        <v>76</v>
      </c>
      <c r="C40" t="s">
        <v>77</v>
      </c>
      <c r="D40">
        <v>1</v>
      </c>
      <c r="E40" t="s">
        <v>62</v>
      </c>
      <c r="F40">
        <v>2030</v>
      </c>
      <c r="G40" t="s">
        <v>78</v>
      </c>
      <c r="H40">
        <v>4526630.0000000121</v>
      </c>
      <c r="I40">
        <v>306534.99999999651</v>
      </c>
    </row>
    <row r="41" spans="1:9" x14ac:dyDescent="0.25">
      <c r="A41" t="s">
        <v>1</v>
      </c>
      <c r="B41" t="s">
        <v>76</v>
      </c>
      <c r="C41" t="s">
        <v>77</v>
      </c>
      <c r="D41">
        <v>1</v>
      </c>
      <c r="E41" t="s">
        <v>62</v>
      </c>
      <c r="F41">
        <v>2031</v>
      </c>
      <c r="G41" t="s">
        <v>78</v>
      </c>
      <c r="H41">
        <v>4275150.9999999925</v>
      </c>
      <c r="I41">
        <v>301018.00000000809</v>
      </c>
    </row>
    <row r="42" spans="1:9" x14ac:dyDescent="0.25">
      <c r="A42" t="s">
        <v>1</v>
      </c>
      <c r="B42" t="s">
        <v>76</v>
      </c>
      <c r="C42" t="s">
        <v>77</v>
      </c>
      <c r="D42">
        <v>1</v>
      </c>
      <c r="E42" t="s">
        <v>62</v>
      </c>
      <c r="F42">
        <v>2032</v>
      </c>
      <c r="G42" t="s">
        <v>78</v>
      </c>
      <c r="H42">
        <v>4023670.9999999907</v>
      </c>
      <c r="I42">
        <v>295599.00000000413</v>
      </c>
    </row>
    <row r="43" spans="1:9" x14ac:dyDescent="0.25">
      <c r="A43" t="s">
        <v>1</v>
      </c>
      <c r="B43" t="s">
        <v>76</v>
      </c>
      <c r="C43" t="s">
        <v>77</v>
      </c>
      <c r="D43">
        <v>1</v>
      </c>
      <c r="E43" t="s">
        <v>62</v>
      </c>
      <c r="F43">
        <v>2033</v>
      </c>
      <c r="G43" t="s">
        <v>78</v>
      </c>
      <c r="H43">
        <v>3772192.0000000019</v>
      </c>
      <c r="I43">
        <v>290278.99999999348</v>
      </c>
    </row>
    <row r="44" spans="1:9" x14ac:dyDescent="0.25">
      <c r="A44" t="s">
        <v>1</v>
      </c>
      <c r="B44" t="s">
        <v>76</v>
      </c>
      <c r="C44" t="s">
        <v>77</v>
      </c>
      <c r="D44">
        <v>1</v>
      </c>
      <c r="E44" t="s">
        <v>62</v>
      </c>
      <c r="F44">
        <v>2034</v>
      </c>
      <c r="G44" t="s">
        <v>78</v>
      </c>
      <c r="H44">
        <v>3520711.9999999981</v>
      </c>
      <c r="I44">
        <v>285054.00000001024</v>
      </c>
    </row>
    <row r="45" spans="1:9" x14ac:dyDescent="0.25">
      <c r="A45" t="s">
        <v>1</v>
      </c>
      <c r="B45" t="s">
        <v>76</v>
      </c>
      <c r="C45" t="s">
        <v>77</v>
      </c>
      <c r="D45">
        <v>1</v>
      </c>
      <c r="E45" t="s">
        <v>62</v>
      </c>
      <c r="F45">
        <v>2035</v>
      </c>
      <c r="G45" t="s">
        <v>78</v>
      </c>
      <c r="H45">
        <v>3269232.9999999963</v>
      </c>
      <c r="I45">
        <v>279922.99999999825</v>
      </c>
    </row>
    <row r="46" spans="1:9" x14ac:dyDescent="0.25">
      <c r="A46" t="s">
        <v>1</v>
      </c>
      <c r="B46" t="s">
        <v>76</v>
      </c>
      <c r="C46" t="s">
        <v>77</v>
      </c>
      <c r="D46">
        <v>1</v>
      </c>
      <c r="E46" t="s">
        <v>62</v>
      </c>
      <c r="F46">
        <v>2036</v>
      </c>
      <c r="G46" t="s">
        <v>78</v>
      </c>
      <c r="H46">
        <v>3094874.0000000037</v>
      </c>
      <c r="I46">
        <v>274883.99999998685</v>
      </c>
    </row>
    <row r="47" spans="1:9" x14ac:dyDescent="0.25">
      <c r="A47" t="s">
        <v>1</v>
      </c>
      <c r="B47" t="s">
        <v>76</v>
      </c>
      <c r="C47" t="s">
        <v>77</v>
      </c>
      <c r="D47">
        <v>1</v>
      </c>
      <c r="E47" t="s">
        <v>62</v>
      </c>
      <c r="F47">
        <v>2037</v>
      </c>
      <c r="G47" t="s">
        <v>78</v>
      </c>
      <c r="H47">
        <v>2920515.0000000135</v>
      </c>
      <c r="I47">
        <v>269936.00000000588</v>
      </c>
    </row>
    <row r="48" spans="1:9" x14ac:dyDescent="0.25">
      <c r="A48" t="s">
        <v>1</v>
      </c>
      <c r="B48" t="s">
        <v>76</v>
      </c>
      <c r="C48" t="s">
        <v>77</v>
      </c>
      <c r="D48">
        <v>1</v>
      </c>
      <c r="E48" t="s">
        <v>62</v>
      </c>
      <c r="F48">
        <v>2038</v>
      </c>
      <c r="G48" t="s">
        <v>78</v>
      </c>
      <c r="H48">
        <v>2746156.0000000047</v>
      </c>
      <c r="I48">
        <v>265077.00000000547</v>
      </c>
    </row>
    <row r="49" spans="1:9" x14ac:dyDescent="0.25">
      <c r="A49" t="s">
        <v>1</v>
      </c>
      <c r="B49" t="s">
        <v>76</v>
      </c>
      <c r="C49" t="s">
        <v>77</v>
      </c>
      <c r="D49">
        <v>1</v>
      </c>
      <c r="E49" t="s">
        <v>62</v>
      </c>
      <c r="F49">
        <v>2039</v>
      </c>
      <c r="G49" t="s">
        <v>78</v>
      </c>
      <c r="H49">
        <v>2571796.0000000005</v>
      </c>
      <c r="I49">
        <v>260305.99999998644</v>
      </c>
    </row>
    <row r="50" spans="1:9" x14ac:dyDescent="0.25">
      <c r="A50" t="s">
        <v>1</v>
      </c>
      <c r="B50" t="s">
        <v>76</v>
      </c>
      <c r="C50" t="s">
        <v>77</v>
      </c>
      <c r="D50">
        <v>1</v>
      </c>
      <c r="E50" t="s">
        <v>62</v>
      </c>
      <c r="F50">
        <v>2040</v>
      </c>
      <c r="G50" t="s">
        <v>78</v>
      </c>
      <c r="H50">
        <v>2397436.9999999981</v>
      </c>
      <c r="I50">
        <v>255619.99999999654</v>
      </c>
    </row>
    <row r="51" spans="1:9" x14ac:dyDescent="0.25">
      <c r="A51" t="s">
        <v>1</v>
      </c>
      <c r="B51" t="s">
        <v>76</v>
      </c>
      <c r="C51" t="s">
        <v>77</v>
      </c>
      <c r="D51">
        <v>1</v>
      </c>
      <c r="E51" t="s">
        <v>62</v>
      </c>
      <c r="F51">
        <v>2041</v>
      </c>
      <c r="G51" t="s">
        <v>78</v>
      </c>
      <c r="H51">
        <v>2223078.0000000102</v>
      </c>
      <c r="I51">
        <v>251018.99999999627</v>
      </c>
    </row>
    <row r="52" spans="1:9" x14ac:dyDescent="0.25">
      <c r="A52" t="s">
        <v>1</v>
      </c>
      <c r="B52" t="s">
        <v>76</v>
      </c>
      <c r="C52" t="s">
        <v>77</v>
      </c>
      <c r="D52">
        <v>1</v>
      </c>
      <c r="E52" t="s">
        <v>62</v>
      </c>
      <c r="F52">
        <v>2042</v>
      </c>
      <c r="G52" t="s">
        <v>78</v>
      </c>
      <c r="H52">
        <v>2048719.0000000047</v>
      </c>
      <c r="I52">
        <v>246500.99999998923</v>
      </c>
    </row>
    <row r="53" spans="1:9" x14ac:dyDescent="0.25">
      <c r="A53" t="s">
        <v>1</v>
      </c>
      <c r="B53" t="s">
        <v>76</v>
      </c>
      <c r="C53" t="s">
        <v>77</v>
      </c>
      <c r="D53">
        <v>1</v>
      </c>
      <c r="E53" t="s">
        <v>62</v>
      </c>
      <c r="F53">
        <v>2043</v>
      </c>
      <c r="G53" t="s">
        <v>78</v>
      </c>
      <c r="H53">
        <v>1874360.0000000054</v>
      </c>
      <c r="I53">
        <v>240091.99999998725</v>
      </c>
    </row>
    <row r="54" spans="1:9" x14ac:dyDescent="0.25">
      <c r="A54" t="s">
        <v>1</v>
      </c>
      <c r="B54" t="s">
        <v>76</v>
      </c>
      <c r="C54" t="s">
        <v>77</v>
      </c>
      <c r="D54">
        <v>1</v>
      </c>
      <c r="E54" t="s">
        <v>62</v>
      </c>
      <c r="F54">
        <v>2044</v>
      </c>
      <c r="G54" t="s">
        <v>78</v>
      </c>
      <c r="H54">
        <v>1700000.9999999988</v>
      </c>
      <c r="I54">
        <v>233848.99999998734</v>
      </c>
    </row>
    <row r="55" spans="1:9" x14ac:dyDescent="0.25">
      <c r="A55" t="s">
        <v>1</v>
      </c>
      <c r="B55" t="s">
        <v>76</v>
      </c>
      <c r="C55" t="s">
        <v>77</v>
      </c>
      <c r="D55">
        <v>1</v>
      </c>
      <c r="E55" t="s">
        <v>62</v>
      </c>
      <c r="F55">
        <v>2045</v>
      </c>
      <c r="G55" t="s">
        <v>78</v>
      </c>
      <c r="H55">
        <v>1525642.0000000135</v>
      </c>
      <c r="I55">
        <v>227768.99999998778</v>
      </c>
    </row>
    <row r="56" spans="1:9" x14ac:dyDescent="0.25">
      <c r="A56" t="s">
        <v>1</v>
      </c>
      <c r="B56" t="s">
        <v>76</v>
      </c>
      <c r="C56" t="s">
        <v>77</v>
      </c>
      <c r="D56">
        <v>1</v>
      </c>
      <c r="E56" t="s">
        <v>62</v>
      </c>
      <c r="F56">
        <v>2046</v>
      </c>
      <c r="G56" t="s">
        <v>78</v>
      </c>
      <c r="H56">
        <v>1351283.000000013</v>
      </c>
      <c r="I56">
        <v>221846.99999998807</v>
      </c>
    </row>
    <row r="57" spans="1:9" x14ac:dyDescent="0.25">
      <c r="A57" t="s">
        <v>1</v>
      </c>
      <c r="B57" t="s">
        <v>76</v>
      </c>
      <c r="C57" t="s">
        <v>77</v>
      </c>
      <c r="D57">
        <v>1</v>
      </c>
      <c r="E57" t="s">
        <v>62</v>
      </c>
      <c r="F57">
        <v>2047</v>
      </c>
      <c r="G57" t="s">
        <v>78</v>
      </c>
      <c r="H57">
        <v>1176924.000000014</v>
      </c>
      <c r="I57">
        <v>216078.99999998853</v>
      </c>
    </row>
    <row r="58" spans="1:9" x14ac:dyDescent="0.25">
      <c r="A58" t="s">
        <v>1</v>
      </c>
      <c r="B58" t="s">
        <v>76</v>
      </c>
      <c r="C58" t="s">
        <v>77</v>
      </c>
      <c r="D58">
        <v>1</v>
      </c>
      <c r="E58" t="s">
        <v>62</v>
      </c>
      <c r="F58">
        <v>2048</v>
      </c>
      <c r="G58" t="s">
        <v>78</v>
      </c>
      <c r="H58">
        <v>1002564.9999999967</v>
      </c>
      <c r="I58">
        <v>210460.99999998772</v>
      </c>
    </row>
    <row r="59" spans="1:9" x14ac:dyDescent="0.25">
      <c r="A59" t="s">
        <v>1</v>
      </c>
      <c r="B59" t="s">
        <v>76</v>
      </c>
      <c r="C59" t="s">
        <v>77</v>
      </c>
      <c r="D59">
        <v>1</v>
      </c>
      <c r="E59" t="s">
        <v>62</v>
      </c>
      <c r="F59">
        <v>2049</v>
      </c>
      <c r="G59" t="s">
        <v>78</v>
      </c>
      <c r="H59">
        <v>828206.00000001071</v>
      </c>
      <c r="I59">
        <v>204989.000000008</v>
      </c>
    </row>
    <row r="60" spans="1:9" x14ac:dyDescent="0.25">
      <c r="A60" t="s">
        <v>1</v>
      </c>
      <c r="B60" t="s">
        <v>76</v>
      </c>
      <c r="C60" t="s">
        <v>77</v>
      </c>
      <c r="D60">
        <v>1</v>
      </c>
      <c r="E60" t="s">
        <v>62</v>
      </c>
      <c r="F60">
        <v>2050</v>
      </c>
      <c r="G60" t="s">
        <v>78</v>
      </c>
      <c r="H60">
        <v>653846.99999999849</v>
      </c>
      <c r="I60">
        <v>199658.99999999124</v>
      </c>
    </row>
    <row r="61" spans="1:9" x14ac:dyDescent="0.25">
      <c r="A61" t="s">
        <v>1</v>
      </c>
      <c r="B61" t="s">
        <v>76</v>
      </c>
      <c r="C61" t="s">
        <v>77</v>
      </c>
      <c r="D61">
        <v>1</v>
      </c>
      <c r="E61" t="s">
        <v>62</v>
      </c>
      <c r="F61">
        <v>2051</v>
      </c>
      <c r="G61" t="s">
        <v>78</v>
      </c>
      <c r="H61">
        <v>653847.00000000012</v>
      </c>
      <c r="I61">
        <v>199658.99999999339</v>
      </c>
    </row>
    <row r="62" spans="1:9" x14ac:dyDescent="0.25">
      <c r="A62" t="s">
        <v>1</v>
      </c>
      <c r="B62" t="s">
        <v>76</v>
      </c>
      <c r="C62" t="s">
        <v>77</v>
      </c>
      <c r="D62">
        <v>1</v>
      </c>
      <c r="E62" t="s">
        <v>63</v>
      </c>
      <c r="F62">
        <v>2022</v>
      </c>
      <c r="G62" t="s">
        <v>78</v>
      </c>
      <c r="H62">
        <v>6205576.764216383</v>
      </c>
      <c r="I62">
        <v>589402.2425112921</v>
      </c>
    </row>
    <row r="63" spans="1:9" x14ac:dyDescent="0.25">
      <c r="A63" t="s">
        <v>1</v>
      </c>
      <c r="B63" t="s">
        <v>76</v>
      </c>
      <c r="C63" t="s">
        <v>77</v>
      </c>
      <c r="D63">
        <v>1</v>
      </c>
      <c r="E63" t="s">
        <v>63</v>
      </c>
      <c r="F63">
        <v>2023</v>
      </c>
      <c r="G63" t="s">
        <v>78</v>
      </c>
      <c r="H63">
        <v>6026183.8751396323</v>
      </c>
      <c r="I63">
        <v>572809.94176656974</v>
      </c>
    </row>
    <row r="64" spans="1:9" x14ac:dyDescent="0.25">
      <c r="A64" t="s">
        <v>1</v>
      </c>
      <c r="B64" t="s">
        <v>76</v>
      </c>
      <c r="C64" t="s">
        <v>77</v>
      </c>
      <c r="D64">
        <v>1</v>
      </c>
      <c r="E64" t="s">
        <v>63</v>
      </c>
      <c r="F64">
        <v>2024</v>
      </c>
      <c r="G64" t="s">
        <v>78</v>
      </c>
      <c r="H64">
        <v>6013942.2099307952</v>
      </c>
      <c r="I64">
        <v>574759.25399520202</v>
      </c>
    </row>
    <row r="65" spans="1:9" x14ac:dyDescent="0.25">
      <c r="A65" t="s">
        <v>1</v>
      </c>
      <c r="B65" t="s">
        <v>76</v>
      </c>
      <c r="C65" t="s">
        <v>77</v>
      </c>
      <c r="D65">
        <v>1</v>
      </c>
      <c r="E65" t="s">
        <v>63</v>
      </c>
      <c r="F65">
        <v>2025</v>
      </c>
      <c r="G65" t="s">
        <v>78</v>
      </c>
      <c r="H65">
        <v>5811914.7241440862</v>
      </c>
      <c r="I65">
        <v>556122.36650258792</v>
      </c>
    </row>
    <row r="66" spans="1:9" x14ac:dyDescent="0.25">
      <c r="A66" t="s">
        <v>1</v>
      </c>
      <c r="B66" t="s">
        <v>76</v>
      </c>
      <c r="C66" t="s">
        <v>77</v>
      </c>
      <c r="D66">
        <v>1</v>
      </c>
      <c r="E66" t="s">
        <v>63</v>
      </c>
      <c r="F66">
        <v>2026</v>
      </c>
      <c r="G66" t="s">
        <v>78</v>
      </c>
      <c r="H66">
        <v>5712093.0000000093</v>
      </c>
      <c r="I66">
        <v>539110.00000000815</v>
      </c>
    </row>
    <row r="67" spans="1:9" x14ac:dyDescent="0.25">
      <c r="A67" t="s">
        <v>1</v>
      </c>
      <c r="B67" t="s">
        <v>76</v>
      </c>
      <c r="C67" t="s">
        <v>77</v>
      </c>
      <c r="D67">
        <v>1</v>
      </c>
      <c r="E67" t="s">
        <v>63</v>
      </c>
      <c r="F67">
        <v>2027</v>
      </c>
      <c r="G67" t="s">
        <v>78</v>
      </c>
      <c r="H67">
        <v>5520462</v>
      </c>
      <c r="I67">
        <v>521022.99999999179</v>
      </c>
    </row>
    <row r="68" spans="1:9" x14ac:dyDescent="0.25">
      <c r="A68" t="s">
        <v>1</v>
      </c>
      <c r="B68" t="s">
        <v>76</v>
      </c>
      <c r="C68" t="s">
        <v>77</v>
      </c>
      <c r="D68">
        <v>1</v>
      </c>
      <c r="E68" t="s">
        <v>63</v>
      </c>
      <c r="F68">
        <v>2028</v>
      </c>
      <c r="G68" t="s">
        <v>78</v>
      </c>
      <c r="H68">
        <v>5328830.9999999991</v>
      </c>
      <c r="I68">
        <v>502937.00000000384</v>
      </c>
    </row>
    <row r="69" spans="1:9" x14ac:dyDescent="0.25">
      <c r="A69" t="s">
        <v>1</v>
      </c>
      <c r="B69" t="s">
        <v>76</v>
      </c>
      <c r="C69" t="s">
        <v>77</v>
      </c>
      <c r="D69">
        <v>1</v>
      </c>
      <c r="E69" t="s">
        <v>63</v>
      </c>
      <c r="F69">
        <v>2029</v>
      </c>
      <c r="G69" t="s">
        <v>78</v>
      </c>
      <c r="H69">
        <v>5137200</v>
      </c>
      <c r="I69">
        <v>484850.99999998667</v>
      </c>
    </row>
    <row r="70" spans="1:9" x14ac:dyDescent="0.25">
      <c r="A70" t="s">
        <v>1</v>
      </c>
      <c r="B70" t="s">
        <v>76</v>
      </c>
      <c r="C70" t="s">
        <v>77</v>
      </c>
      <c r="D70">
        <v>1</v>
      </c>
      <c r="E70" t="s">
        <v>63</v>
      </c>
      <c r="F70">
        <v>2030</v>
      </c>
      <c r="G70" t="s">
        <v>78</v>
      </c>
      <c r="H70">
        <v>4945569.0000000037</v>
      </c>
      <c r="I70">
        <v>466764.99999999197</v>
      </c>
    </row>
    <row r="71" spans="1:9" x14ac:dyDescent="0.25">
      <c r="A71" t="s">
        <v>1</v>
      </c>
      <c r="B71" t="s">
        <v>76</v>
      </c>
      <c r="C71" t="s">
        <v>77</v>
      </c>
      <c r="D71">
        <v>1</v>
      </c>
      <c r="E71" t="s">
        <v>63</v>
      </c>
      <c r="F71">
        <v>2031</v>
      </c>
      <c r="G71" t="s">
        <v>78</v>
      </c>
      <c r="H71">
        <v>4753937.9999999991</v>
      </c>
      <c r="I71">
        <v>448678.99999999214</v>
      </c>
    </row>
    <row r="72" spans="1:9" x14ac:dyDescent="0.25">
      <c r="A72" t="s">
        <v>1</v>
      </c>
      <c r="B72" t="s">
        <v>76</v>
      </c>
      <c r="C72" t="s">
        <v>77</v>
      </c>
      <c r="D72">
        <v>1</v>
      </c>
      <c r="E72" t="s">
        <v>63</v>
      </c>
      <c r="F72">
        <v>2032</v>
      </c>
      <c r="G72" t="s">
        <v>78</v>
      </c>
      <c r="H72">
        <v>4562306.999999987</v>
      </c>
      <c r="I72">
        <v>430591.99999999191</v>
      </c>
    </row>
    <row r="73" spans="1:9" x14ac:dyDescent="0.25">
      <c r="A73" t="s">
        <v>1</v>
      </c>
      <c r="B73" t="s">
        <v>76</v>
      </c>
      <c r="C73" t="s">
        <v>77</v>
      </c>
      <c r="D73">
        <v>1</v>
      </c>
      <c r="E73" t="s">
        <v>63</v>
      </c>
      <c r="F73">
        <v>2033</v>
      </c>
      <c r="G73" t="s">
        <v>78</v>
      </c>
      <c r="H73">
        <v>4370676.0000000084</v>
      </c>
      <c r="I73">
        <v>412506.0000000142</v>
      </c>
    </row>
    <row r="74" spans="1:9" x14ac:dyDescent="0.25">
      <c r="A74" t="s">
        <v>1</v>
      </c>
      <c r="B74" t="s">
        <v>76</v>
      </c>
      <c r="C74" t="s">
        <v>77</v>
      </c>
      <c r="D74">
        <v>1</v>
      </c>
      <c r="E74" t="s">
        <v>63</v>
      </c>
      <c r="F74">
        <v>2034</v>
      </c>
      <c r="G74" t="s">
        <v>78</v>
      </c>
      <c r="H74">
        <v>4179045.0000000098</v>
      </c>
      <c r="I74">
        <v>394420.00000000995</v>
      </c>
    </row>
    <row r="75" spans="1:9" x14ac:dyDescent="0.25">
      <c r="A75" t="s">
        <v>1</v>
      </c>
      <c r="B75" t="s">
        <v>76</v>
      </c>
      <c r="C75" t="s">
        <v>77</v>
      </c>
      <c r="D75">
        <v>1</v>
      </c>
      <c r="E75" t="s">
        <v>63</v>
      </c>
      <c r="F75">
        <v>2035</v>
      </c>
      <c r="G75" t="s">
        <v>78</v>
      </c>
      <c r="H75">
        <v>3987413.9999999846</v>
      </c>
      <c r="I75">
        <v>376334.00000000495</v>
      </c>
    </row>
    <row r="76" spans="1:9" x14ac:dyDescent="0.25">
      <c r="A76" t="s">
        <v>1</v>
      </c>
      <c r="B76" t="s">
        <v>76</v>
      </c>
      <c r="C76" t="s">
        <v>77</v>
      </c>
      <c r="D76">
        <v>1</v>
      </c>
      <c r="E76" t="s">
        <v>63</v>
      </c>
      <c r="F76">
        <v>2036</v>
      </c>
      <c r="G76" t="s">
        <v>78</v>
      </c>
      <c r="H76">
        <v>3795783.0000000023</v>
      </c>
      <c r="I76">
        <v>358248.00000000175</v>
      </c>
    </row>
    <row r="77" spans="1:9" x14ac:dyDescent="0.25">
      <c r="A77" t="s">
        <v>1</v>
      </c>
      <c r="B77" t="s">
        <v>76</v>
      </c>
      <c r="C77" t="s">
        <v>77</v>
      </c>
      <c r="D77">
        <v>1</v>
      </c>
      <c r="E77" t="s">
        <v>63</v>
      </c>
      <c r="F77">
        <v>2037</v>
      </c>
      <c r="G77" t="s">
        <v>78</v>
      </c>
      <c r="H77">
        <v>3524656.0000000079</v>
      </c>
      <c r="I77">
        <v>332657.99999999517</v>
      </c>
    </row>
    <row r="78" spans="1:9" x14ac:dyDescent="0.25">
      <c r="A78" t="s">
        <v>1</v>
      </c>
      <c r="B78" t="s">
        <v>76</v>
      </c>
      <c r="C78" t="s">
        <v>77</v>
      </c>
      <c r="D78">
        <v>1</v>
      </c>
      <c r="E78" t="s">
        <v>63</v>
      </c>
      <c r="F78">
        <v>2038</v>
      </c>
      <c r="G78" t="s">
        <v>78</v>
      </c>
      <c r="H78">
        <v>3253529.0000000051</v>
      </c>
      <c r="I78">
        <v>307069.00000001228</v>
      </c>
    </row>
    <row r="79" spans="1:9" x14ac:dyDescent="0.25">
      <c r="A79" t="s">
        <v>1</v>
      </c>
      <c r="B79" t="s">
        <v>76</v>
      </c>
      <c r="C79" t="s">
        <v>77</v>
      </c>
      <c r="D79">
        <v>1</v>
      </c>
      <c r="E79" t="s">
        <v>63</v>
      </c>
      <c r="F79">
        <v>2039</v>
      </c>
      <c r="G79" t="s">
        <v>78</v>
      </c>
      <c r="H79">
        <v>2982401.9999999991</v>
      </c>
      <c r="I79">
        <v>281479.99999999057</v>
      </c>
    </row>
    <row r="80" spans="1:9" x14ac:dyDescent="0.25">
      <c r="A80" t="s">
        <v>1</v>
      </c>
      <c r="B80" t="s">
        <v>76</v>
      </c>
      <c r="C80" t="s">
        <v>77</v>
      </c>
      <c r="D80">
        <v>1</v>
      </c>
      <c r="E80" t="s">
        <v>63</v>
      </c>
      <c r="F80">
        <v>2040</v>
      </c>
      <c r="G80" t="s">
        <v>78</v>
      </c>
      <c r="H80">
        <v>2711273.0000000051</v>
      </c>
      <c r="I80">
        <v>255891.0000000096</v>
      </c>
    </row>
    <row r="81" spans="1:9" x14ac:dyDescent="0.25">
      <c r="A81" t="s">
        <v>1</v>
      </c>
      <c r="B81" t="s">
        <v>76</v>
      </c>
      <c r="C81" t="s">
        <v>77</v>
      </c>
      <c r="D81">
        <v>1</v>
      </c>
      <c r="E81" t="s">
        <v>63</v>
      </c>
      <c r="F81">
        <v>2041</v>
      </c>
      <c r="G81" t="s">
        <v>78</v>
      </c>
      <c r="H81">
        <v>2440145.9999999981</v>
      </c>
      <c r="I81">
        <v>230302.00000000803</v>
      </c>
    </row>
    <row r="82" spans="1:9" x14ac:dyDescent="0.25">
      <c r="A82" t="s">
        <v>1</v>
      </c>
      <c r="B82" t="s">
        <v>76</v>
      </c>
      <c r="C82" t="s">
        <v>77</v>
      </c>
      <c r="D82">
        <v>1</v>
      </c>
      <c r="E82" t="s">
        <v>63</v>
      </c>
      <c r="F82">
        <v>2042</v>
      </c>
      <c r="G82" t="s">
        <v>78</v>
      </c>
      <c r="H82">
        <v>2169018.9999999953</v>
      </c>
      <c r="I82">
        <v>204712.99999999031</v>
      </c>
    </row>
    <row r="83" spans="1:9" x14ac:dyDescent="0.25">
      <c r="A83" t="s">
        <v>1</v>
      </c>
      <c r="B83" t="s">
        <v>76</v>
      </c>
      <c r="C83" t="s">
        <v>77</v>
      </c>
      <c r="D83">
        <v>1</v>
      </c>
      <c r="E83" t="s">
        <v>63</v>
      </c>
      <c r="F83">
        <v>2043</v>
      </c>
      <c r="G83" t="s">
        <v>78</v>
      </c>
      <c r="H83">
        <v>1897891.9999999995</v>
      </c>
      <c r="I83">
        <v>179123.99999999232</v>
      </c>
    </row>
    <row r="84" spans="1:9" x14ac:dyDescent="0.25">
      <c r="A84" t="s">
        <v>1</v>
      </c>
      <c r="B84" t="s">
        <v>76</v>
      </c>
      <c r="C84" t="s">
        <v>77</v>
      </c>
      <c r="D84">
        <v>1</v>
      </c>
      <c r="E84" t="s">
        <v>63</v>
      </c>
      <c r="F84">
        <v>2044</v>
      </c>
      <c r="G84" t="s">
        <v>78</v>
      </c>
      <c r="H84">
        <v>1626763.9999999923</v>
      </c>
      <c r="I84">
        <v>153534.99999999176</v>
      </c>
    </row>
    <row r="85" spans="1:9" x14ac:dyDescent="0.25">
      <c r="A85" t="s">
        <v>1</v>
      </c>
      <c r="B85" t="s">
        <v>76</v>
      </c>
      <c r="C85" t="s">
        <v>77</v>
      </c>
      <c r="D85">
        <v>1</v>
      </c>
      <c r="E85" t="s">
        <v>63</v>
      </c>
      <c r="F85">
        <v>2045</v>
      </c>
      <c r="G85" t="s">
        <v>78</v>
      </c>
      <c r="H85">
        <v>1355636.9999999991</v>
      </c>
      <c r="I85">
        <v>127945.99999999074</v>
      </c>
    </row>
    <row r="86" spans="1:9" x14ac:dyDescent="0.25">
      <c r="A86" t="s">
        <v>1</v>
      </c>
      <c r="B86" t="s">
        <v>76</v>
      </c>
      <c r="C86" t="s">
        <v>77</v>
      </c>
      <c r="D86">
        <v>1</v>
      </c>
      <c r="E86" t="s">
        <v>63</v>
      </c>
      <c r="F86">
        <v>2046</v>
      </c>
      <c r="G86" t="s">
        <v>78</v>
      </c>
      <c r="H86">
        <v>1084510.0000000002</v>
      </c>
      <c r="I86">
        <v>102355.99999999121</v>
      </c>
    </row>
    <row r="87" spans="1:9" x14ac:dyDescent="0.25">
      <c r="A87" t="s">
        <v>1</v>
      </c>
      <c r="B87" t="s">
        <v>76</v>
      </c>
      <c r="C87" t="s">
        <v>77</v>
      </c>
      <c r="D87">
        <v>1</v>
      </c>
      <c r="E87" t="s">
        <v>63</v>
      </c>
      <c r="F87">
        <v>2047</v>
      </c>
      <c r="G87" t="s">
        <v>78</v>
      </c>
      <c r="H87">
        <v>813381.99999999267</v>
      </c>
      <c r="I87">
        <v>76766.99999999172</v>
      </c>
    </row>
    <row r="88" spans="1:9" x14ac:dyDescent="0.25">
      <c r="A88" t="s">
        <v>1</v>
      </c>
      <c r="B88" t="s">
        <v>76</v>
      </c>
      <c r="C88" t="s">
        <v>77</v>
      </c>
      <c r="D88">
        <v>1</v>
      </c>
      <c r="E88" t="s">
        <v>63</v>
      </c>
      <c r="F88">
        <v>2048</v>
      </c>
      <c r="G88" t="s">
        <v>78</v>
      </c>
      <c r="H88">
        <v>542254.00000000244</v>
      </c>
      <c r="I88">
        <v>51177.999999990789</v>
      </c>
    </row>
    <row r="89" spans="1:9" x14ac:dyDescent="0.25">
      <c r="A89" t="s">
        <v>1</v>
      </c>
      <c r="B89" t="s">
        <v>76</v>
      </c>
      <c r="C89" t="s">
        <v>77</v>
      </c>
      <c r="D89">
        <v>1</v>
      </c>
      <c r="E89" t="s">
        <v>63</v>
      </c>
      <c r="F89">
        <v>2049</v>
      </c>
      <c r="G89" t="s">
        <v>78</v>
      </c>
      <c r="H89">
        <v>271127.00000000122</v>
      </c>
      <c r="I89">
        <v>25589.000000003733</v>
      </c>
    </row>
    <row r="90" spans="1:9" x14ac:dyDescent="0.25">
      <c r="A90" t="s">
        <v>1</v>
      </c>
      <c r="B90" t="s">
        <v>76</v>
      </c>
      <c r="C90" t="s">
        <v>77</v>
      </c>
      <c r="D90">
        <v>1</v>
      </c>
      <c r="E90" t="s">
        <v>63</v>
      </c>
      <c r="F90">
        <v>2050</v>
      </c>
      <c r="G90" t="s">
        <v>78</v>
      </c>
      <c r="H90">
        <v>8.6065483628772199E-9</v>
      </c>
      <c r="I90">
        <v>-9.6463281806791201E-10</v>
      </c>
    </row>
    <row r="91" spans="1:9" x14ac:dyDescent="0.25">
      <c r="A91" t="s">
        <v>1</v>
      </c>
      <c r="B91" t="s">
        <v>76</v>
      </c>
      <c r="C91" t="s">
        <v>77</v>
      </c>
      <c r="D91">
        <v>1</v>
      </c>
      <c r="E91" t="s">
        <v>63</v>
      </c>
      <c r="F91">
        <v>2051</v>
      </c>
      <c r="G91" t="s">
        <v>78</v>
      </c>
      <c r="H91">
        <v>-9.936229616869241E-10</v>
      </c>
      <c r="I91">
        <v>1.6765397958806716E-9</v>
      </c>
    </row>
    <row r="92" spans="1:9" x14ac:dyDescent="0.25">
      <c r="A92" t="s">
        <v>1</v>
      </c>
      <c r="B92" t="s">
        <v>76</v>
      </c>
      <c r="C92" t="s">
        <v>77</v>
      </c>
      <c r="D92">
        <v>1</v>
      </c>
      <c r="E92" t="s">
        <v>64</v>
      </c>
      <c r="F92">
        <v>2022</v>
      </c>
      <c r="G92" t="s">
        <v>78</v>
      </c>
      <c r="H92">
        <v>6206799.2214078931</v>
      </c>
      <c r="I92">
        <v>589557.55912399816</v>
      </c>
    </row>
    <row r="93" spans="1:9" x14ac:dyDescent="0.25">
      <c r="A93" t="s">
        <v>1</v>
      </c>
      <c r="B93" t="s">
        <v>76</v>
      </c>
      <c r="C93" t="s">
        <v>77</v>
      </c>
      <c r="D93">
        <v>1</v>
      </c>
      <c r="E93" t="s">
        <v>64</v>
      </c>
      <c r="F93">
        <v>2023</v>
      </c>
      <c r="G93" t="s">
        <v>78</v>
      </c>
      <c r="H93">
        <v>6042415.2168459604</v>
      </c>
      <c r="I93">
        <v>509448.0000000099</v>
      </c>
    </row>
    <row r="94" spans="1:9" x14ac:dyDescent="0.25">
      <c r="A94" t="s">
        <v>1</v>
      </c>
      <c r="B94" t="s">
        <v>76</v>
      </c>
      <c r="C94" t="s">
        <v>77</v>
      </c>
      <c r="D94">
        <v>1</v>
      </c>
      <c r="E94" t="s">
        <v>64</v>
      </c>
      <c r="F94">
        <v>2024</v>
      </c>
      <c r="G94" t="s">
        <v>78</v>
      </c>
      <c r="H94">
        <v>6035502.2919308031</v>
      </c>
      <c r="I94">
        <v>473787.00000000745</v>
      </c>
    </row>
    <row r="95" spans="1:9" x14ac:dyDescent="0.25">
      <c r="A95" t="s">
        <v>1</v>
      </c>
      <c r="B95" t="s">
        <v>76</v>
      </c>
      <c r="C95" t="s">
        <v>77</v>
      </c>
      <c r="D95">
        <v>1</v>
      </c>
      <c r="E95" t="s">
        <v>64</v>
      </c>
      <c r="F95">
        <v>2025</v>
      </c>
      <c r="G95" t="s">
        <v>78</v>
      </c>
      <c r="H95">
        <v>5784026.9999999944</v>
      </c>
      <c r="I95">
        <v>440622.00000000093</v>
      </c>
    </row>
    <row r="96" spans="1:9" x14ac:dyDescent="0.25">
      <c r="A96" t="s">
        <v>1</v>
      </c>
      <c r="B96" t="s">
        <v>76</v>
      </c>
      <c r="C96" t="s">
        <v>77</v>
      </c>
      <c r="D96">
        <v>1</v>
      </c>
      <c r="E96" t="s">
        <v>64</v>
      </c>
      <c r="F96">
        <v>2026</v>
      </c>
      <c r="G96" t="s">
        <v>78</v>
      </c>
      <c r="H96">
        <v>5532548.0000000158</v>
      </c>
      <c r="I96">
        <v>409777.99999998754</v>
      </c>
    </row>
    <row r="97" spans="1:9" x14ac:dyDescent="0.25">
      <c r="A97" t="s">
        <v>1</v>
      </c>
      <c r="B97" t="s">
        <v>76</v>
      </c>
      <c r="C97" t="s">
        <v>77</v>
      </c>
      <c r="D97">
        <v>1</v>
      </c>
      <c r="E97" t="s">
        <v>64</v>
      </c>
      <c r="F97">
        <v>2027</v>
      </c>
      <c r="G97" t="s">
        <v>78</v>
      </c>
      <c r="H97">
        <v>5281068.0000000149</v>
      </c>
      <c r="I97">
        <v>381093.99999998783</v>
      </c>
    </row>
    <row r="98" spans="1:9" x14ac:dyDescent="0.25">
      <c r="A98" t="s">
        <v>1</v>
      </c>
      <c r="B98" t="s">
        <v>76</v>
      </c>
      <c r="C98" t="s">
        <v>77</v>
      </c>
      <c r="D98">
        <v>1</v>
      </c>
      <c r="E98" t="s">
        <v>64</v>
      </c>
      <c r="F98">
        <v>2028</v>
      </c>
      <c r="G98" t="s">
        <v>78</v>
      </c>
      <c r="H98">
        <v>5029589.000000013</v>
      </c>
      <c r="I98">
        <v>354416.99999999424</v>
      </c>
    </row>
    <row r="99" spans="1:9" x14ac:dyDescent="0.25">
      <c r="A99" t="s">
        <v>1</v>
      </c>
      <c r="B99" t="s">
        <v>76</v>
      </c>
      <c r="C99" t="s">
        <v>77</v>
      </c>
      <c r="D99">
        <v>1</v>
      </c>
      <c r="E99" t="s">
        <v>64</v>
      </c>
      <c r="F99">
        <v>2029</v>
      </c>
      <c r="G99" t="s">
        <v>78</v>
      </c>
      <c r="H99">
        <v>4778109.0000000149</v>
      </c>
      <c r="I99">
        <v>329607.99999998917</v>
      </c>
    </row>
    <row r="100" spans="1:9" x14ac:dyDescent="0.25">
      <c r="A100" t="s">
        <v>1</v>
      </c>
      <c r="B100" t="s">
        <v>76</v>
      </c>
      <c r="C100" t="s">
        <v>77</v>
      </c>
      <c r="D100">
        <v>1</v>
      </c>
      <c r="E100" t="s">
        <v>64</v>
      </c>
      <c r="F100">
        <v>2030</v>
      </c>
      <c r="G100" t="s">
        <v>78</v>
      </c>
      <c r="H100">
        <v>4526630.0000000084</v>
      </c>
      <c r="I100">
        <v>306534.99999999825</v>
      </c>
    </row>
    <row r="101" spans="1:9" x14ac:dyDescent="0.25">
      <c r="A101" t="s">
        <v>1</v>
      </c>
      <c r="B101" t="s">
        <v>76</v>
      </c>
      <c r="C101" t="s">
        <v>77</v>
      </c>
      <c r="D101">
        <v>1</v>
      </c>
      <c r="E101" t="s">
        <v>64</v>
      </c>
      <c r="F101">
        <v>2031</v>
      </c>
      <c r="G101" t="s">
        <v>78</v>
      </c>
      <c r="H101">
        <v>4275150.9999999963</v>
      </c>
      <c r="I101">
        <v>301018.00000000221</v>
      </c>
    </row>
    <row r="102" spans="1:9" x14ac:dyDescent="0.25">
      <c r="A102" t="s">
        <v>1</v>
      </c>
      <c r="B102" t="s">
        <v>76</v>
      </c>
      <c r="C102" t="s">
        <v>77</v>
      </c>
      <c r="D102">
        <v>1</v>
      </c>
      <c r="E102" t="s">
        <v>64</v>
      </c>
      <c r="F102">
        <v>2032</v>
      </c>
      <c r="G102" t="s">
        <v>78</v>
      </c>
      <c r="H102">
        <v>4023671.0000000047</v>
      </c>
      <c r="I102">
        <v>295598.99999999482</v>
      </c>
    </row>
    <row r="103" spans="1:9" x14ac:dyDescent="0.25">
      <c r="A103" t="s">
        <v>1</v>
      </c>
      <c r="B103" t="s">
        <v>76</v>
      </c>
      <c r="C103" t="s">
        <v>77</v>
      </c>
      <c r="D103">
        <v>1</v>
      </c>
      <c r="E103" t="s">
        <v>64</v>
      </c>
      <c r="F103">
        <v>2033</v>
      </c>
      <c r="G103" t="s">
        <v>78</v>
      </c>
      <c r="H103">
        <v>3772192.0000000079</v>
      </c>
      <c r="I103">
        <v>290278.99999998836</v>
      </c>
    </row>
    <row r="104" spans="1:9" x14ac:dyDescent="0.25">
      <c r="A104" t="s">
        <v>1</v>
      </c>
      <c r="B104" t="s">
        <v>76</v>
      </c>
      <c r="C104" t="s">
        <v>77</v>
      </c>
      <c r="D104">
        <v>1</v>
      </c>
      <c r="E104" t="s">
        <v>64</v>
      </c>
      <c r="F104">
        <v>2034</v>
      </c>
      <c r="G104" t="s">
        <v>78</v>
      </c>
      <c r="H104">
        <v>3520711.9999999995</v>
      </c>
      <c r="I104">
        <v>285054.00000001065</v>
      </c>
    </row>
    <row r="105" spans="1:9" x14ac:dyDescent="0.25">
      <c r="A105" t="s">
        <v>1</v>
      </c>
      <c r="B105" t="s">
        <v>76</v>
      </c>
      <c r="C105" t="s">
        <v>77</v>
      </c>
      <c r="D105">
        <v>1</v>
      </c>
      <c r="E105" t="s">
        <v>64</v>
      </c>
      <c r="F105">
        <v>2035</v>
      </c>
      <c r="G105" t="s">
        <v>78</v>
      </c>
      <c r="H105">
        <v>3269232.9999999991</v>
      </c>
      <c r="I105">
        <v>279922.99999999424</v>
      </c>
    </row>
    <row r="106" spans="1:9" x14ac:dyDescent="0.25">
      <c r="A106" t="s">
        <v>1</v>
      </c>
      <c r="B106" t="s">
        <v>76</v>
      </c>
      <c r="C106" t="s">
        <v>77</v>
      </c>
      <c r="D106">
        <v>1</v>
      </c>
      <c r="E106" t="s">
        <v>64</v>
      </c>
      <c r="F106">
        <v>2036</v>
      </c>
      <c r="G106" t="s">
        <v>78</v>
      </c>
      <c r="H106">
        <v>3094874.0000000047</v>
      </c>
      <c r="I106">
        <v>274883.99999999255</v>
      </c>
    </row>
    <row r="107" spans="1:9" x14ac:dyDescent="0.25">
      <c r="A107" t="s">
        <v>1</v>
      </c>
      <c r="B107" t="s">
        <v>76</v>
      </c>
      <c r="C107" t="s">
        <v>77</v>
      </c>
      <c r="D107">
        <v>1</v>
      </c>
      <c r="E107" t="s">
        <v>64</v>
      </c>
      <c r="F107">
        <v>2037</v>
      </c>
      <c r="G107" t="s">
        <v>78</v>
      </c>
      <c r="H107">
        <v>2920514.9999999995</v>
      </c>
      <c r="I107">
        <v>269936.00000001257</v>
      </c>
    </row>
    <row r="108" spans="1:9" x14ac:dyDescent="0.25">
      <c r="A108" t="s">
        <v>1</v>
      </c>
      <c r="B108" t="s">
        <v>76</v>
      </c>
      <c r="C108" t="s">
        <v>77</v>
      </c>
      <c r="D108">
        <v>1</v>
      </c>
      <c r="E108" t="s">
        <v>64</v>
      </c>
      <c r="F108">
        <v>2038</v>
      </c>
      <c r="G108" t="s">
        <v>78</v>
      </c>
      <c r="H108">
        <v>2746156.0000000158</v>
      </c>
      <c r="I108">
        <v>265077.0000000057</v>
      </c>
    </row>
    <row r="109" spans="1:9" x14ac:dyDescent="0.25">
      <c r="A109" t="s">
        <v>1</v>
      </c>
      <c r="B109" t="s">
        <v>76</v>
      </c>
      <c r="C109" t="s">
        <v>77</v>
      </c>
      <c r="D109">
        <v>1</v>
      </c>
      <c r="E109" t="s">
        <v>64</v>
      </c>
      <c r="F109">
        <v>2039</v>
      </c>
      <c r="G109" t="s">
        <v>78</v>
      </c>
      <c r="H109">
        <v>2571796.0000000009</v>
      </c>
      <c r="I109">
        <v>260306.00000001024</v>
      </c>
    </row>
    <row r="110" spans="1:9" x14ac:dyDescent="0.25">
      <c r="A110" t="s">
        <v>1</v>
      </c>
      <c r="B110" t="s">
        <v>76</v>
      </c>
      <c r="C110" t="s">
        <v>77</v>
      </c>
      <c r="D110">
        <v>1</v>
      </c>
      <c r="E110" t="s">
        <v>64</v>
      </c>
      <c r="F110">
        <v>2040</v>
      </c>
      <c r="G110" t="s">
        <v>78</v>
      </c>
      <c r="H110">
        <v>2397436.9999999912</v>
      </c>
      <c r="I110">
        <v>255620.00000000073</v>
      </c>
    </row>
    <row r="111" spans="1:9" x14ac:dyDescent="0.25">
      <c r="A111" t="s">
        <v>1</v>
      </c>
      <c r="B111" t="s">
        <v>76</v>
      </c>
      <c r="C111" t="s">
        <v>77</v>
      </c>
      <c r="D111">
        <v>1</v>
      </c>
      <c r="E111" t="s">
        <v>64</v>
      </c>
      <c r="F111">
        <v>2041</v>
      </c>
      <c r="G111" t="s">
        <v>78</v>
      </c>
      <c r="H111">
        <v>2223077.9999999981</v>
      </c>
      <c r="I111">
        <v>251019.00000000926</v>
      </c>
    </row>
    <row r="112" spans="1:9" x14ac:dyDescent="0.25">
      <c r="A112" t="s">
        <v>1</v>
      </c>
      <c r="B112" t="s">
        <v>76</v>
      </c>
      <c r="C112" t="s">
        <v>77</v>
      </c>
      <c r="D112">
        <v>1</v>
      </c>
      <c r="E112" t="s">
        <v>64</v>
      </c>
      <c r="F112">
        <v>2042</v>
      </c>
      <c r="G112" t="s">
        <v>78</v>
      </c>
      <c r="H112">
        <v>2048718.9999999958</v>
      </c>
      <c r="I112">
        <v>246501.00000001254</v>
      </c>
    </row>
    <row r="113" spans="1:9" x14ac:dyDescent="0.25">
      <c r="A113" t="s">
        <v>1</v>
      </c>
      <c r="B113" t="s">
        <v>76</v>
      </c>
      <c r="C113" t="s">
        <v>77</v>
      </c>
      <c r="D113">
        <v>1</v>
      </c>
      <c r="E113" t="s">
        <v>64</v>
      </c>
      <c r="F113">
        <v>2043</v>
      </c>
      <c r="G113" t="s">
        <v>78</v>
      </c>
      <c r="H113">
        <v>1874359.9999999988</v>
      </c>
      <c r="I113">
        <v>240092.00000001161</v>
      </c>
    </row>
    <row r="114" spans="1:9" x14ac:dyDescent="0.25">
      <c r="A114" t="s">
        <v>1</v>
      </c>
      <c r="B114" t="s">
        <v>76</v>
      </c>
      <c r="C114" t="s">
        <v>77</v>
      </c>
      <c r="D114">
        <v>1</v>
      </c>
      <c r="E114" t="s">
        <v>64</v>
      </c>
      <c r="F114">
        <v>2044</v>
      </c>
      <c r="G114" t="s">
        <v>78</v>
      </c>
      <c r="H114">
        <v>1700001.0000000021</v>
      </c>
      <c r="I114">
        <v>233849.00000001467</v>
      </c>
    </row>
    <row r="115" spans="1:9" x14ac:dyDescent="0.25">
      <c r="A115" t="s">
        <v>1</v>
      </c>
      <c r="B115" t="s">
        <v>76</v>
      </c>
      <c r="C115" t="s">
        <v>77</v>
      </c>
      <c r="D115">
        <v>1</v>
      </c>
      <c r="E115" t="s">
        <v>64</v>
      </c>
      <c r="F115">
        <v>2045</v>
      </c>
      <c r="G115" t="s">
        <v>78</v>
      </c>
      <c r="H115">
        <v>1525642.0000000026</v>
      </c>
      <c r="I115">
        <v>227769.0000000133</v>
      </c>
    </row>
    <row r="116" spans="1:9" x14ac:dyDescent="0.25">
      <c r="A116" t="s">
        <v>1</v>
      </c>
      <c r="B116" t="s">
        <v>76</v>
      </c>
      <c r="C116" t="s">
        <v>77</v>
      </c>
      <c r="D116">
        <v>1</v>
      </c>
      <c r="E116" t="s">
        <v>64</v>
      </c>
      <c r="F116">
        <v>2046</v>
      </c>
      <c r="G116" t="s">
        <v>78</v>
      </c>
      <c r="H116">
        <v>1351283.0000000007</v>
      </c>
      <c r="I116">
        <v>221847.00000001263</v>
      </c>
    </row>
    <row r="117" spans="1:9" x14ac:dyDescent="0.25">
      <c r="A117" t="s">
        <v>1</v>
      </c>
      <c r="B117" t="s">
        <v>76</v>
      </c>
      <c r="C117" t="s">
        <v>77</v>
      </c>
      <c r="D117">
        <v>1</v>
      </c>
      <c r="E117" t="s">
        <v>64</v>
      </c>
      <c r="F117">
        <v>2047</v>
      </c>
      <c r="G117" t="s">
        <v>78</v>
      </c>
      <c r="H117">
        <v>1176924.0000000063</v>
      </c>
      <c r="I117">
        <v>216079.00000001269</v>
      </c>
    </row>
    <row r="118" spans="1:9" x14ac:dyDescent="0.25">
      <c r="A118" t="s">
        <v>1</v>
      </c>
      <c r="B118" t="s">
        <v>76</v>
      </c>
      <c r="C118" t="s">
        <v>77</v>
      </c>
      <c r="D118">
        <v>1</v>
      </c>
      <c r="E118" t="s">
        <v>64</v>
      </c>
      <c r="F118">
        <v>2048</v>
      </c>
      <c r="G118" t="s">
        <v>78</v>
      </c>
      <c r="H118">
        <v>1002565.0000000068</v>
      </c>
      <c r="I118">
        <v>210461.00000001214</v>
      </c>
    </row>
    <row r="119" spans="1:9" x14ac:dyDescent="0.25">
      <c r="A119" t="s">
        <v>1</v>
      </c>
      <c r="B119" t="s">
        <v>76</v>
      </c>
      <c r="C119" t="s">
        <v>77</v>
      </c>
      <c r="D119">
        <v>1</v>
      </c>
      <c r="E119" t="s">
        <v>64</v>
      </c>
      <c r="F119">
        <v>2049</v>
      </c>
      <c r="G119" t="s">
        <v>78</v>
      </c>
      <c r="H119">
        <v>828205.99999999732</v>
      </c>
      <c r="I119">
        <v>204989.00000000035</v>
      </c>
    </row>
    <row r="120" spans="1:9" x14ac:dyDescent="0.25">
      <c r="A120" t="s">
        <v>1</v>
      </c>
      <c r="B120" t="s">
        <v>76</v>
      </c>
      <c r="C120" t="s">
        <v>77</v>
      </c>
      <c r="D120">
        <v>1</v>
      </c>
      <c r="E120" t="s">
        <v>64</v>
      </c>
      <c r="F120">
        <v>2050</v>
      </c>
      <c r="G120" t="s">
        <v>78</v>
      </c>
      <c r="H120">
        <v>653846.99999999476</v>
      </c>
      <c r="I120">
        <v>199658.9999999938</v>
      </c>
    </row>
    <row r="121" spans="1:9" x14ac:dyDescent="0.25">
      <c r="A121" t="s">
        <v>1</v>
      </c>
      <c r="B121" t="s">
        <v>76</v>
      </c>
      <c r="C121" t="s">
        <v>77</v>
      </c>
      <c r="D121">
        <v>1</v>
      </c>
      <c r="E121" t="s">
        <v>64</v>
      </c>
      <c r="F121">
        <v>2051</v>
      </c>
      <c r="G121" t="s">
        <v>78</v>
      </c>
      <c r="H121">
        <v>653846.99999999604</v>
      </c>
      <c r="I121">
        <v>199658.9999999943</v>
      </c>
    </row>
    <row r="122" spans="1:9" x14ac:dyDescent="0.25">
      <c r="A122" t="s">
        <v>1</v>
      </c>
      <c r="B122" t="s">
        <v>76</v>
      </c>
      <c r="C122" t="s">
        <v>77</v>
      </c>
      <c r="D122">
        <v>1</v>
      </c>
      <c r="E122" t="s">
        <v>65</v>
      </c>
      <c r="F122">
        <v>2022</v>
      </c>
      <c r="G122" t="s">
        <v>78</v>
      </c>
      <c r="H122">
        <v>6206799.2214078931</v>
      </c>
      <c r="I122">
        <v>589557.55912399816</v>
      </c>
    </row>
    <row r="123" spans="1:9" x14ac:dyDescent="0.25">
      <c r="A123" t="s">
        <v>1</v>
      </c>
      <c r="B123" t="s">
        <v>76</v>
      </c>
      <c r="C123" t="s">
        <v>77</v>
      </c>
      <c r="D123">
        <v>1</v>
      </c>
      <c r="E123" t="s">
        <v>65</v>
      </c>
      <c r="F123">
        <v>2023</v>
      </c>
      <c r="G123" t="s">
        <v>78</v>
      </c>
      <c r="H123">
        <v>6045849.0238900697</v>
      </c>
      <c r="I123">
        <v>509448.00000000256</v>
      </c>
    </row>
    <row r="124" spans="1:9" x14ac:dyDescent="0.25">
      <c r="A124" t="s">
        <v>1</v>
      </c>
      <c r="B124" t="s">
        <v>76</v>
      </c>
      <c r="C124" t="s">
        <v>77</v>
      </c>
      <c r="D124">
        <v>1</v>
      </c>
      <c r="E124" t="s">
        <v>65</v>
      </c>
      <c r="F124">
        <v>2024</v>
      </c>
      <c r="G124" t="s">
        <v>78</v>
      </c>
      <c r="H124">
        <v>6035507.0000000028</v>
      </c>
      <c r="I124">
        <v>473787.00000000565</v>
      </c>
    </row>
    <row r="125" spans="1:9" x14ac:dyDescent="0.25">
      <c r="A125" t="s">
        <v>1</v>
      </c>
      <c r="B125" t="s">
        <v>76</v>
      </c>
      <c r="C125" t="s">
        <v>77</v>
      </c>
      <c r="D125">
        <v>1</v>
      </c>
      <c r="E125" t="s">
        <v>65</v>
      </c>
      <c r="F125">
        <v>2025</v>
      </c>
      <c r="G125" t="s">
        <v>78</v>
      </c>
      <c r="H125">
        <v>5784026.9999999981</v>
      </c>
      <c r="I125">
        <v>440622.00000000448</v>
      </c>
    </row>
    <row r="126" spans="1:9" x14ac:dyDescent="0.25">
      <c r="A126" t="s">
        <v>1</v>
      </c>
      <c r="B126" t="s">
        <v>76</v>
      </c>
      <c r="C126" t="s">
        <v>77</v>
      </c>
      <c r="D126">
        <v>1</v>
      </c>
      <c r="E126" t="s">
        <v>65</v>
      </c>
      <c r="F126">
        <v>2026</v>
      </c>
      <c r="G126" t="s">
        <v>78</v>
      </c>
      <c r="H126">
        <v>5532548.0000000112</v>
      </c>
      <c r="I126">
        <v>409777.99999999418</v>
      </c>
    </row>
    <row r="127" spans="1:9" x14ac:dyDescent="0.25">
      <c r="A127" t="s">
        <v>1</v>
      </c>
      <c r="B127" t="s">
        <v>76</v>
      </c>
      <c r="C127" t="s">
        <v>77</v>
      </c>
      <c r="D127">
        <v>1</v>
      </c>
      <c r="E127" t="s">
        <v>65</v>
      </c>
      <c r="F127">
        <v>2027</v>
      </c>
      <c r="G127" t="s">
        <v>78</v>
      </c>
      <c r="H127">
        <v>5281068.0000000121</v>
      </c>
      <c r="I127">
        <v>381093.99999998813</v>
      </c>
    </row>
    <row r="128" spans="1:9" x14ac:dyDescent="0.25">
      <c r="A128" t="s">
        <v>1</v>
      </c>
      <c r="B128" t="s">
        <v>76</v>
      </c>
      <c r="C128" t="s">
        <v>77</v>
      </c>
      <c r="D128">
        <v>1</v>
      </c>
      <c r="E128" t="s">
        <v>65</v>
      </c>
      <c r="F128">
        <v>2028</v>
      </c>
      <c r="G128" t="s">
        <v>78</v>
      </c>
      <c r="H128">
        <v>5029589.0000000186</v>
      </c>
      <c r="I128">
        <v>354417.00000000157</v>
      </c>
    </row>
    <row r="129" spans="1:9" x14ac:dyDescent="0.25">
      <c r="A129" t="s">
        <v>1</v>
      </c>
      <c r="B129" t="s">
        <v>76</v>
      </c>
      <c r="C129" t="s">
        <v>77</v>
      </c>
      <c r="D129">
        <v>1</v>
      </c>
      <c r="E129" t="s">
        <v>65</v>
      </c>
      <c r="F129">
        <v>2029</v>
      </c>
      <c r="G129" t="s">
        <v>78</v>
      </c>
      <c r="H129">
        <v>4778109.000000014</v>
      </c>
      <c r="I129">
        <v>329608.00000000151</v>
      </c>
    </row>
    <row r="130" spans="1:9" x14ac:dyDescent="0.25">
      <c r="A130" t="s">
        <v>1</v>
      </c>
      <c r="B130" t="s">
        <v>76</v>
      </c>
      <c r="C130" t="s">
        <v>77</v>
      </c>
      <c r="D130">
        <v>1</v>
      </c>
      <c r="E130" t="s">
        <v>65</v>
      </c>
      <c r="F130">
        <v>2030</v>
      </c>
      <c r="G130" t="s">
        <v>78</v>
      </c>
      <c r="H130">
        <v>4526629.9999999991</v>
      </c>
      <c r="I130">
        <v>306534.99999999726</v>
      </c>
    </row>
    <row r="131" spans="1:9" x14ac:dyDescent="0.25">
      <c r="A131" t="s">
        <v>1</v>
      </c>
      <c r="B131" t="s">
        <v>76</v>
      </c>
      <c r="C131" t="s">
        <v>77</v>
      </c>
      <c r="D131">
        <v>1</v>
      </c>
      <c r="E131" t="s">
        <v>65</v>
      </c>
      <c r="F131">
        <v>2031</v>
      </c>
      <c r="G131" t="s">
        <v>78</v>
      </c>
      <c r="H131">
        <v>4275151.0000000084</v>
      </c>
      <c r="I131">
        <v>301017.99999999744</v>
      </c>
    </row>
    <row r="132" spans="1:9" x14ac:dyDescent="0.25">
      <c r="A132" t="s">
        <v>1</v>
      </c>
      <c r="B132" t="s">
        <v>76</v>
      </c>
      <c r="C132" t="s">
        <v>77</v>
      </c>
      <c r="D132">
        <v>1</v>
      </c>
      <c r="E132" t="s">
        <v>65</v>
      </c>
      <c r="F132">
        <v>2032</v>
      </c>
      <c r="G132" t="s">
        <v>78</v>
      </c>
      <c r="H132">
        <v>4023671.0000000065</v>
      </c>
      <c r="I132">
        <v>295599.0000000099</v>
      </c>
    </row>
    <row r="133" spans="1:9" x14ac:dyDescent="0.25">
      <c r="A133" t="s">
        <v>1</v>
      </c>
      <c r="B133" t="s">
        <v>76</v>
      </c>
      <c r="C133" t="s">
        <v>77</v>
      </c>
      <c r="D133">
        <v>1</v>
      </c>
      <c r="E133" t="s">
        <v>65</v>
      </c>
      <c r="F133">
        <v>2033</v>
      </c>
      <c r="G133" t="s">
        <v>78</v>
      </c>
      <c r="H133">
        <v>3772191.9999999898</v>
      </c>
      <c r="I133">
        <v>290278.99999999971</v>
      </c>
    </row>
    <row r="134" spans="1:9" x14ac:dyDescent="0.25">
      <c r="A134" t="s">
        <v>1</v>
      </c>
      <c r="B134" t="s">
        <v>76</v>
      </c>
      <c r="C134" t="s">
        <v>77</v>
      </c>
      <c r="D134">
        <v>1</v>
      </c>
      <c r="E134" t="s">
        <v>65</v>
      </c>
      <c r="F134">
        <v>2034</v>
      </c>
      <c r="G134" t="s">
        <v>78</v>
      </c>
      <c r="H134">
        <v>3520711.9999999898</v>
      </c>
      <c r="I134">
        <v>285053.99999998818</v>
      </c>
    </row>
    <row r="135" spans="1:9" x14ac:dyDescent="0.25">
      <c r="A135" t="s">
        <v>1</v>
      </c>
      <c r="B135" t="s">
        <v>76</v>
      </c>
      <c r="C135" t="s">
        <v>77</v>
      </c>
      <c r="D135">
        <v>1</v>
      </c>
      <c r="E135" t="s">
        <v>65</v>
      </c>
      <c r="F135">
        <v>2035</v>
      </c>
      <c r="G135" t="s">
        <v>78</v>
      </c>
      <c r="H135">
        <v>3269233.0000000079</v>
      </c>
      <c r="I135">
        <v>279923.0000000018</v>
      </c>
    </row>
    <row r="136" spans="1:9" x14ac:dyDescent="0.25">
      <c r="A136" t="s">
        <v>1</v>
      </c>
      <c r="B136" t="s">
        <v>76</v>
      </c>
      <c r="C136" t="s">
        <v>77</v>
      </c>
      <c r="D136">
        <v>1</v>
      </c>
      <c r="E136" t="s">
        <v>65</v>
      </c>
      <c r="F136">
        <v>2036</v>
      </c>
      <c r="G136" t="s">
        <v>78</v>
      </c>
      <c r="H136">
        <v>3094873.9999999963</v>
      </c>
      <c r="I136">
        <v>274884.0000000046</v>
      </c>
    </row>
    <row r="137" spans="1:9" x14ac:dyDescent="0.25">
      <c r="A137" t="s">
        <v>1</v>
      </c>
      <c r="B137" t="s">
        <v>76</v>
      </c>
      <c r="C137" t="s">
        <v>77</v>
      </c>
      <c r="D137">
        <v>1</v>
      </c>
      <c r="E137" t="s">
        <v>65</v>
      </c>
      <c r="F137">
        <v>2037</v>
      </c>
      <c r="G137" t="s">
        <v>78</v>
      </c>
      <c r="H137">
        <v>2920514.9999999991</v>
      </c>
      <c r="I137">
        <v>269936.00000001193</v>
      </c>
    </row>
    <row r="138" spans="1:9" x14ac:dyDescent="0.25">
      <c r="A138" t="s">
        <v>1</v>
      </c>
      <c r="B138" t="s">
        <v>76</v>
      </c>
      <c r="C138" t="s">
        <v>77</v>
      </c>
      <c r="D138">
        <v>1</v>
      </c>
      <c r="E138" t="s">
        <v>65</v>
      </c>
      <c r="F138">
        <v>2038</v>
      </c>
      <c r="G138" t="s">
        <v>78</v>
      </c>
      <c r="H138">
        <v>2746155.9999999916</v>
      </c>
      <c r="I138">
        <v>265076.9999999897</v>
      </c>
    </row>
    <row r="139" spans="1:9" x14ac:dyDescent="0.25">
      <c r="A139" t="s">
        <v>1</v>
      </c>
      <c r="B139" t="s">
        <v>76</v>
      </c>
      <c r="C139" t="s">
        <v>77</v>
      </c>
      <c r="D139">
        <v>1</v>
      </c>
      <c r="E139" t="s">
        <v>65</v>
      </c>
      <c r="F139">
        <v>2039</v>
      </c>
      <c r="G139" t="s">
        <v>78</v>
      </c>
      <c r="H139">
        <v>2571796.0000000047</v>
      </c>
      <c r="I139">
        <v>260305.99999998912</v>
      </c>
    </row>
    <row r="140" spans="1:9" x14ac:dyDescent="0.25">
      <c r="A140" t="s">
        <v>1</v>
      </c>
      <c r="B140" t="s">
        <v>76</v>
      </c>
      <c r="C140" t="s">
        <v>77</v>
      </c>
      <c r="D140">
        <v>1</v>
      </c>
      <c r="E140" t="s">
        <v>65</v>
      </c>
      <c r="F140">
        <v>2040</v>
      </c>
      <c r="G140" t="s">
        <v>78</v>
      </c>
      <c r="H140">
        <v>2397437.0000000075</v>
      </c>
      <c r="I140">
        <v>255619.99999998981</v>
      </c>
    </row>
    <row r="141" spans="1:9" x14ac:dyDescent="0.25">
      <c r="A141" t="s">
        <v>1</v>
      </c>
      <c r="B141" t="s">
        <v>76</v>
      </c>
      <c r="C141" t="s">
        <v>77</v>
      </c>
      <c r="D141">
        <v>1</v>
      </c>
      <c r="E141" t="s">
        <v>65</v>
      </c>
      <c r="F141">
        <v>2041</v>
      </c>
      <c r="G141" t="s">
        <v>78</v>
      </c>
      <c r="H141">
        <v>2223078.0000000102</v>
      </c>
      <c r="I141">
        <v>251019.00000000329</v>
      </c>
    </row>
    <row r="142" spans="1:9" x14ac:dyDescent="0.25">
      <c r="A142" t="s">
        <v>1</v>
      </c>
      <c r="B142" t="s">
        <v>76</v>
      </c>
      <c r="C142" t="s">
        <v>77</v>
      </c>
      <c r="D142">
        <v>1</v>
      </c>
      <c r="E142" t="s">
        <v>65</v>
      </c>
      <c r="F142">
        <v>2042</v>
      </c>
      <c r="G142" t="s">
        <v>78</v>
      </c>
      <c r="H142">
        <v>2048719.0000000098</v>
      </c>
      <c r="I142">
        <v>246500.99999999927</v>
      </c>
    </row>
    <row r="143" spans="1:9" x14ac:dyDescent="0.25">
      <c r="A143" t="s">
        <v>1</v>
      </c>
      <c r="B143" t="s">
        <v>76</v>
      </c>
      <c r="C143" t="s">
        <v>77</v>
      </c>
      <c r="D143">
        <v>1</v>
      </c>
      <c r="E143" t="s">
        <v>65</v>
      </c>
      <c r="F143">
        <v>2043</v>
      </c>
      <c r="G143" t="s">
        <v>78</v>
      </c>
      <c r="H143">
        <v>1874360.0000000088</v>
      </c>
      <c r="I143">
        <v>240091.99999999907</v>
      </c>
    </row>
    <row r="144" spans="1:9" x14ac:dyDescent="0.25">
      <c r="A144" t="s">
        <v>1</v>
      </c>
      <c r="B144" t="s">
        <v>76</v>
      </c>
      <c r="C144" t="s">
        <v>77</v>
      </c>
      <c r="D144">
        <v>1</v>
      </c>
      <c r="E144" t="s">
        <v>65</v>
      </c>
      <c r="F144">
        <v>2044</v>
      </c>
      <c r="G144" t="s">
        <v>78</v>
      </c>
      <c r="H144">
        <v>1700000.9999999951</v>
      </c>
      <c r="I144">
        <v>233848.99999999904</v>
      </c>
    </row>
    <row r="145" spans="1:9" x14ac:dyDescent="0.25">
      <c r="A145" t="s">
        <v>1</v>
      </c>
      <c r="B145" t="s">
        <v>76</v>
      </c>
      <c r="C145" t="s">
        <v>77</v>
      </c>
      <c r="D145">
        <v>1</v>
      </c>
      <c r="E145" t="s">
        <v>65</v>
      </c>
      <c r="F145">
        <v>2045</v>
      </c>
      <c r="G145" t="s">
        <v>78</v>
      </c>
      <c r="H145">
        <v>1525641.999999993</v>
      </c>
      <c r="I145">
        <v>227769.00000000044</v>
      </c>
    </row>
    <row r="146" spans="1:9" x14ac:dyDescent="0.25">
      <c r="A146" t="s">
        <v>1</v>
      </c>
      <c r="B146" t="s">
        <v>76</v>
      </c>
      <c r="C146" t="s">
        <v>77</v>
      </c>
      <c r="D146">
        <v>1</v>
      </c>
      <c r="E146" t="s">
        <v>65</v>
      </c>
      <c r="F146">
        <v>2046</v>
      </c>
      <c r="G146" t="s">
        <v>78</v>
      </c>
      <c r="H146">
        <v>1351282.9999999939</v>
      </c>
      <c r="I146">
        <v>221846.99999999939</v>
      </c>
    </row>
    <row r="147" spans="1:9" x14ac:dyDescent="0.25">
      <c r="A147" t="s">
        <v>1</v>
      </c>
      <c r="B147" t="s">
        <v>76</v>
      </c>
      <c r="C147" t="s">
        <v>77</v>
      </c>
      <c r="D147">
        <v>1</v>
      </c>
      <c r="E147" t="s">
        <v>65</v>
      </c>
      <c r="F147">
        <v>2047</v>
      </c>
      <c r="G147" t="s">
        <v>78</v>
      </c>
      <c r="H147">
        <v>1176923.9999999995</v>
      </c>
      <c r="I147">
        <v>216078.99999999808</v>
      </c>
    </row>
    <row r="148" spans="1:9" x14ac:dyDescent="0.25">
      <c r="A148" t="s">
        <v>1</v>
      </c>
      <c r="B148" t="s">
        <v>76</v>
      </c>
      <c r="C148" t="s">
        <v>77</v>
      </c>
      <c r="D148">
        <v>1</v>
      </c>
      <c r="E148" t="s">
        <v>65</v>
      </c>
      <c r="F148">
        <v>2048</v>
      </c>
      <c r="G148" t="s">
        <v>78</v>
      </c>
      <c r="H148">
        <v>1002564.9999999967</v>
      </c>
      <c r="I148">
        <v>210460.99999999814</v>
      </c>
    </row>
    <row r="149" spans="1:9" x14ac:dyDescent="0.25">
      <c r="A149" t="s">
        <v>1</v>
      </c>
      <c r="B149" t="s">
        <v>76</v>
      </c>
      <c r="C149" t="s">
        <v>77</v>
      </c>
      <c r="D149">
        <v>1</v>
      </c>
      <c r="E149" t="s">
        <v>65</v>
      </c>
      <c r="F149">
        <v>2049</v>
      </c>
      <c r="G149" t="s">
        <v>78</v>
      </c>
      <c r="H149">
        <v>828206.00000000023</v>
      </c>
      <c r="I149">
        <v>204989.0000000117</v>
      </c>
    </row>
    <row r="150" spans="1:9" x14ac:dyDescent="0.25">
      <c r="A150" t="s">
        <v>1</v>
      </c>
      <c r="B150" t="s">
        <v>76</v>
      </c>
      <c r="C150" t="s">
        <v>77</v>
      </c>
      <c r="D150">
        <v>1</v>
      </c>
      <c r="E150" t="s">
        <v>65</v>
      </c>
      <c r="F150">
        <v>2050</v>
      </c>
      <c r="G150" t="s">
        <v>78</v>
      </c>
      <c r="H150">
        <v>653847.00000000896</v>
      </c>
      <c r="I150">
        <v>199658.9999999904</v>
      </c>
    </row>
    <row r="151" spans="1:9" x14ac:dyDescent="0.25">
      <c r="A151" t="s">
        <v>1</v>
      </c>
      <c r="B151" t="s">
        <v>76</v>
      </c>
      <c r="C151" t="s">
        <v>77</v>
      </c>
      <c r="D151">
        <v>1</v>
      </c>
      <c r="E151" t="s">
        <v>65</v>
      </c>
      <c r="F151">
        <v>2051</v>
      </c>
      <c r="G151" t="s">
        <v>78</v>
      </c>
      <c r="H151">
        <v>653846.99999999604</v>
      </c>
      <c r="I151">
        <v>199659.00000000375</v>
      </c>
    </row>
    <row r="152" spans="1:9" x14ac:dyDescent="0.25">
      <c r="A152" t="s">
        <v>1</v>
      </c>
      <c r="B152" t="s">
        <v>76</v>
      </c>
      <c r="C152" t="s">
        <v>77</v>
      </c>
      <c r="D152">
        <v>1</v>
      </c>
      <c r="E152" t="s">
        <v>66</v>
      </c>
      <c r="F152">
        <v>2022</v>
      </c>
      <c r="G152" t="s">
        <v>78</v>
      </c>
      <c r="H152" s="2">
        <v>6216210.4071955802</v>
      </c>
      <c r="I152" s="2">
        <v>590760.85055259999</v>
      </c>
    </row>
    <row r="153" spans="1:9" x14ac:dyDescent="0.25">
      <c r="A153" t="s">
        <v>1</v>
      </c>
      <c r="B153" t="s">
        <v>76</v>
      </c>
      <c r="C153" t="s">
        <v>77</v>
      </c>
      <c r="D153">
        <v>1</v>
      </c>
      <c r="E153" t="s">
        <v>66</v>
      </c>
      <c r="F153">
        <v>2023</v>
      </c>
      <c r="G153" t="s">
        <v>78</v>
      </c>
      <c r="H153" s="2">
        <v>6012347.91636186</v>
      </c>
      <c r="I153" s="2">
        <v>509448.00000001001</v>
      </c>
    </row>
    <row r="154" spans="1:9" x14ac:dyDescent="0.25">
      <c r="A154" t="s">
        <v>1</v>
      </c>
      <c r="B154" t="s">
        <v>76</v>
      </c>
      <c r="C154" t="s">
        <v>77</v>
      </c>
      <c r="D154">
        <v>1</v>
      </c>
      <c r="E154" t="s">
        <v>66</v>
      </c>
      <c r="F154">
        <v>2024</v>
      </c>
      <c r="G154" t="s">
        <v>78</v>
      </c>
      <c r="H154" s="2">
        <v>5988128.8344965996</v>
      </c>
      <c r="I154" s="2">
        <v>473787.00000001001</v>
      </c>
    </row>
    <row r="155" spans="1:9" x14ac:dyDescent="0.25">
      <c r="A155" t="s">
        <v>1</v>
      </c>
      <c r="B155" t="s">
        <v>76</v>
      </c>
      <c r="C155" t="s">
        <v>77</v>
      </c>
      <c r="D155">
        <v>1</v>
      </c>
      <c r="E155" t="s">
        <v>66</v>
      </c>
      <c r="F155">
        <v>2025</v>
      </c>
      <c r="G155" t="s">
        <v>78</v>
      </c>
      <c r="H155" s="2">
        <v>5737649.4178328002</v>
      </c>
      <c r="I155" s="2">
        <v>440622</v>
      </c>
    </row>
    <row r="156" spans="1:9" x14ac:dyDescent="0.25">
      <c r="A156" t="s">
        <v>1</v>
      </c>
      <c r="B156" t="s">
        <v>76</v>
      </c>
      <c r="C156" t="s">
        <v>77</v>
      </c>
      <c r="D156">
        <v>1</v>
      </c>
      <c r="E156" t="s">
        <v>66</v>
      </c>
      <c r="F156">
        <v>2026</v>
      </c>
      <c r="G156" t="s">
        <v>78</v>
      </c>
      <c r="H156" s="2">
        <v>5532548</v>
      </c>
      <c r="I156" s="2">
        <v>409778.00000001001</v>
      </c>
    </row>
    <row r="157" spans="1:9" x14ac:dyDescent="0.25">
      <c r="A157" t="s">
        <v>1</v>
      </c>
      <c r="B157" t="s">
        <v>76</v>
      </c>
      <c r="C157" t="s">
        <v>77</v>
      </c>
      <c r="D157">
        <v>1</v>
      </c>
      <c r="E157" t="s">
        <v>66</v>
      </c>
      <c r="F157">
        <v>2027</v>
      </c>
      <c r="G157" t="s">
        <v>78</v>
      </c>
      <c r="H157" s="2">
        <v>5281067.9999999898</v>
      </c>
      <c r="I157" s="2">
        <v>381094.00000001001</v>
      </c>
    </row>
    <row r="158" spans="1:9" x14ac:dyDescent="0.25">
      <c r="A158" t="s">
        <v>1</v>
      </c>
      <c r="B158" t="s">
        <v>76</v>
      </c>
      <c r="C158" t="s">
        <v>77</v>
      </c>
      <c r="D158">
        <v>1</v>
      </c>
      <c r="E158" t="s">
        <v>66</v>
      </c>
      <c r="F158">
        <v>2028</v>
      </c>
      <c r="G158" t="s">
        <v>78</v>
      </c>
      <c r="H158" s="2">
        <v>5029589</v>
      </c>
      <c r="I158" s="2">
        <v>354416.99999998999</v>
      </c>
    </row>
    <row r="159" spans="1:9" x14ac:dyDescent="0.25">
      <c r="A159" t="s">
        <v>1</v>
      </c>
      <c r="B159" t="s">
        <v>76</v>
      </c>
      <c r="C159" t="s">
        <v>77</v>
      </c>
      <c r="D159">
        <v>1</v>
      </c>
      <c r="E159" t="s">
        <v>66</v>
      </c>
      <c r="F159">
        <v>2029</v>
      </c>
      <c r="G159" t="s">
        <v>78</v>
      </c>
      <c r="H159" s="2">
        <v>4778109</v>
      </c>
      <c r="I159" s="2">
        <v>329607.99999998999</v>
      </c>
    </row>
    <row r="160" spans="1:9" x14ac:dyDescent="0.25">
      <c r="A160" t="s">
        <v>1</v>
      </c>
      <c r="B160" t="s">
        <v>76</v>
      </c>
      <c r="C160" t="s">
        <v>77</v>
      </c>
      <c r="D160">
        <v>1</v>
      </c>
      <c r="E160" t="s">
        <v>66</v>
      </c>
      <c r="F160">
        <v>2030</v>
      </c>
      <c r="G160" t="s">
        <v>78</v>
      </c>
      <c r="H160" s="2">
        <v>4526630.0000000102</v>
      </c>
      <c r="I160" s="2">
        <v>306535</v>
      </c>
    </row>
    <row r="161" spans="1:9" x14ac:dyDescent="0.25">
      <c r="A161" t="s">
        <v>1</v>
      </c>
      <c r="B161" t="s">
        <v>76</v>
      </c>
      <c r="C161" t="s">
        <v>77</v>
      </c>
      <c r="D161">
        <v>1</v>
      </c>
      <c r="E161" t="s">
        <v>66</v>
      </c>
      <c r="F161">
        <v>2031</v>
      </c>
      <c r="G161" t="s">
        <v>78</v>
      </c>
      <c r="H161" s="2">
        <v>4275151.0000000102</v>
      </c>
      <c r="I161" s="2">
        <v>301017.99999998999</v>
      </c>
    </row>
    <row r="162" spans="1:9" x14ac:dyDescent="0.25">
      <c r="A162" t="s">
        <v>1</v>
      </c>
      <c r="B162" t="s">
        <v>76</v>
      </c>
      <c r="C162" t="s">
        <v>77</v>
      </c>
      <c r="D162">
        <v>1</v>
      </c>
      <c r="E162" t="s">
        <v>66</v>
      </c>
      <c r="F162">
        <v>2032</v>
      </c>
      <c r="G162" t="s">
        <v>78</v>
      </c>
      <c r="H162" s="2">
        <v>4023671</v>
      </c>
      <c r="I162" s="2">
        <v>295599.00000001001</v>
      </c>
    </row>
    <row r="163" spans="1:9" x14ac:dyDescent="0.25">
      <c r="A163" t="s">
        <v>1</v>
      </c>
      <c r="B163" t="s">
        <v>76</v>
      </c>
      <c r="C163" t="s">
        <v>77</v>
      </c>
      <c r="D163">
        <v>1</v>
      </c>
      <c r="E163" t="s">
        <v>66</v>
      </c>
      <c r="F163">
        <v>2033</v>
      </c>
      <c r="G163" t="s">
        <v>78</v>
      </c>
      <c r="H163" s="2">
        <v>3772192</v>
      </c>
      <c r="I163" s="2">
        <v>290278.99999998999</v>
      </c>
    </row>
    <row r="164" spans="1:9" x14ac:dyDescent="0.25">
      <c r="A164" t="s">
        <v>1</v>
      </c>
      <c r="B164" t="s">
        <v>76</v>
      </c>
      <c r="C164" t="s">
        <v>77</v>
      </c>
      <c r="D164">
        <v>1</v>
      </c>
      <c r="E164" t="s">
        <v>66</v>
      </c>
      <c r="F164">
        <v>2034</v>
      </c>
      <c r="G164" t="s">
        <v>78</v>
      </c>
      <c r="H164" s="2">
        <v>3520712</v>
      </c>
      <c r="I164" s="2">
        <v>285054</v>
      </c>
    </row>
    <row r="165" spans="1:9" x14ac:dyDescent="0.25">
      <c r="A165" t="s">
        <v>1</v>
      </c>
      <c r="B165" t="s">
        <v>76</v>
      </c>
      <c r="C165" t="s">
        <v>77</v>
      </c>
      <c r="D165">
        <v>1</v>
      </c>
      <c r="E165" t="s">
        <v>66</v>
      </c>
      <c r="F165">
        <v>2035</v>
      </c>
      <c r="G165" t="s">
        <v>78</v>
      </c>
      <c r="H165" s="2">
        <v>3269233</v>
      </c>
      <c r="I165" s="2">
        <v>279923</v>
      </c>
    </row>
    <row r="166" spans="1:9" x14ac:dyDescent="0.25">
      <c r="A166" t="s">
        <v>1</v>
      </c>
      <c r="B166" t="s">
        <v>76</v>
      </c>
      <c r="C166" t="s">
        <v>77</v>
      </c>
      <c r="D166">
        <v>1</v>
      </c>
      <c r="E166" t="s">
        <v>66</v>
      </c>
      <c r="F166">
        <v>2036</v>
      </c>
      <c r="G166" t="s">
        <v>78</v>
      </c>
      <c r="H166" s="2">
        <v>3094874.0000000098</v>
      </c>
      <c r="I166" s="2">
        <v>274884.00000001001</v>
      </c>
    </row>
    <row r="167" spans="1:9" x14ac:dyDescent="0.25">
      <c r="A167" t="s">
        <v>1</v>
      </c>
      <c r="B167" t="s">
        <v>76</v>
      </c>
      <c r="C167" t="s">
        <v>77</v>
      </c>
      <c r="D167">
        <v>1</v>
      </c>
      <c r="E167" t="s">
        <v>66</v>
      </c>
      <c r="F167">
        <v>2037</v>
      </c>
      <c r="G167" t="s">
        <v>78</v>
      </c>
      <c r="H167" s="2">
        <v>2920515</v>
      </c>
      <c r="I167" s="2">
        <v>269935.99999998999</v>
      </c>
    </row>
    <row r="168" spans="1:9" x14ac:dyDescent="0.25">
      <c r="A168" t="s">
        <v>1</v>
      </c>
      <c r="B168" t="s">
        <v>76</v>
      </c>
      <c r="C168" t="s">
        <v>77</v>
      </c>
      <c r="D168">
        <v>1</v>
      </c>
      <c r="E168" t="s">
        <v>66</v>
      </c>
      <c r="F168">
        <v>2038</v>
      </c>
      <c r="G168" t="s">
        <v>78</v>
      </c>
      <c r="H168" s="2">
        <v>2746156</v>
      </c>
      <c r="I168" s="2">
        <v>265077.00000001001</v>
      </c>
    </row>
    <row r="169" spans="1:9" x14ac:dyDescent="0.25">
      <c r="A169" t="s">
        <v>1</v>
      </c>
      <c r="B169" t="s">
        <v>76</v>
      </c>
      <c r="C169" t="s">
        <v>77</v>
      </c>
      <c r="D169">
        <v>1</v>
      </c>
      <c r="E169" t="s">
        <v>66</v>
      </c>
      <c r="F169">
        <v>2039</v>
      </c>
      <c r="G169" t="s">
        <v>78</v>
      </c>
      <c r="H169" s="2">
        <v>2571796.0000000098</v>
      </c>
      <c r="I169" s="2">
        <v>260306.00000001001</v>
      </c>
    </row>
    <row r="170" spans="1:9" x14ac:dyDescent="0.25">
      <c r="A170" t="s">
        <v>1</v>
      </c>
      <c r="B170" t="s">
        <v>76</v>
      </c>
      <c r="C170" t="s">
        <v>77</v>
      </c>
      <c r="D170">
        <v>1</v>
      </c>
      <c r="E170" t="s">
        <v>66</v>
      </c>
      <c r="F170">
        <v>2040</v>
      </c>
      <c r="G170" t="s">
        <v>78</v>
      </c>
      <c r="H170" s="2">
        <v>2397437.0000000098</v>
      </c>
      <c r="I170" s="2">
        <v>255620</v>
      </c>
    </row>
    <row r="171" spans="1:9" x14ac:dyDescent="0.25">
      <c r="A171" t="s">
        <v>1</v>
      </c>
      <c r="B171" t="s">
        <v>76</v>
      </c>
      <c r="C171" t="s">
        <v>77</v>
      </c>
      <c r="D171">
        <v>1</v>
      </c>
      <c r="E171" t="s">
        <v>66</v>
      </c>
      <c r="F171">
        <v>2041</v>
      </c>
      <c r="G171" t="s">
        <v>78</v>
      </c>
      <c r="H171" s="2">
        <v>2223078.0000000098</v>
      </c>
      <c r="I171" s="2">
        <v>251018.99999998999</v>
      </c>
    </row>
    <row r="172" spans="1:9" x14ac:dyDescent="0.25">
      <c r="A172" t="s">
        <v>1</v>
      </c>
      <c r="B172" t="s">
        <v>76</v>
      </c>
      <c r="C172" t="s">
        <v>77</v>
      </c>
      <c r="D172">
        <v>1</v>
      </c>
      <c r="E172" t="s">
        <v>66</v>
      </c>
      <c r="F172">
        <v>2042</v>
      </c>
      <c r="G172" t="s">
        <v>78</v>
      </c>
      <c r="H172" s="2">
        <v>2048719</v>
      </c>
      <c r="I172" s="2">
        <v>246501.00000001001</v>
      </c>
    </row>
    <row r="173" spans="1:9" x14ac:dyDescent="0.25">
      <c r="A173" t="s">
        <v>1</v>
      </c>
      <c r="B173" t="s">
        <v>76</v>
      </c>
      <c r="C173" t="s">
        <v>77</v>
      </c>
      <c r="D173">
        <v>1</v>
      </c>
      <c r="E173" t="s">
        <v>66</v>
      </c>
      <c r="F173">
        <v>2043</v>
      </c>
      <c r="G173" t="s">
        <v>78</v>
      </c>
      <c r="H173" s="2">
        <v>1874360.00000001</v>
      </c>
      <c r="I173" s="2">
        <v>240092.00000001001</v>
      </c>
    </row>
    <row r="174" spans="1:9" x14ac:dyDescent="0.25">
      <c r="A174" t="s">
        <v>1</v>
      </c>
      <c r="B174" t="s">
        <v>76</v>
      </c>
      <c r="C174" t="s">
        <v>77</v>
      </c>
      <c r="D174">
        <v>1</v>
      </c>
      <c r="E174" t="s">
        <v>66</v>
      </c>
      <c r="F174">
        <v>2044</v>
      </c>
      <c r="G174" t="s">
        <v>78</v>
      </c>
      <c r="H174" s="2">
        <v>1700001</v>
      </c>
      <c r="I174" s="2">
        <v>233848.99999998999</v>
      </c>
    </row>
    <row r="175" spans="1:9" x14ac:dyDescent="0.25">
      <c r="A175" t="s">
        <v>1</v>
      </c>
      <c r="B175" t="s">
        <v>76</v>
      </c>
      <c r="C175" t="s">
        <v>77</v>
      </c>
      <c r="D175">
        <v>1</v>
      </c>
      <c r="E175" t="s">
        <v>66</v>
      </c>
      <c r="F175">
        <v>2045</v>
      </c>
      <c r="G175" t="s">
        <v>78</v>
      </c>
      <c r="H175" s="2">
        <v>1525642</v>
      </c>
      <c r="I175" s="2">
        <v>227768.99999998999</v>
      </c>
    </row>
    <row r="176" spans="1:9" x14ac:dyDescent="0.25">
      <c r="A176" t="s">
        <v>1</v>
      </c>
      <c r="B176" t="s">
        <v>76</v>
      </c>
      <c r="C176" t="s">
        <v>77</v>
      </c>
      <c r="D176">
        <v>1</v>
      </c>
      <c r="E176" t="s">
        <v>66</v>
      </c>
      <c r="F176">
        <v>2046</v>
      </c>
      <c r="G176" t="s">
        <v>78</v>
      </c>
      <c r="H176" s="2">
        <v>1351283</v>
      </c>
      <c r="I176" s="2">
        <v>221846.99999998999</v>
      </c>
    </row>
    <row r="177" spans="1:9" x14ac:dyDescent="0.25">
      <c r="A177" t="s">
        <v>1</v>
      </c>
      <c r="B177" t="s">
        <v>76</v>
      </c>
      <c r="C177" t="s">
        <v>77</v>
      </c>
      <c r="D177">
        <v>1</v>
      </c>
      <c r="E177" t="s">
        <v>66</v>
      </c>
      <c r="F177">
        <v>2047</v>
      </c>
      <c r="G177" t="s">
        <v>78</v>
      </c>
      <c r="H177" s="2">
        <v>1176924</v>
      </c>
      <c r="I177" s="2">
        <v>216079</v>
      </c>
    </row>
    <row r="178" spans="1:9" x14ac:dyDescent="0.25">
      <c r="A178" t="s">
        <v>1</v>
      </c>
      <c r="B178" t="s">
        <v>76</v>
      </c>
      <c r="C178" t="s">
        <v>77</v>
      </c>
      <c r="D178">
        <v>1</v>
      </c>
      <c r="E178" t="s">
        <v>66</v>
      </c>
      <c r="F178">
        <v>2048</v>
      </c>
      <c r="G178" t="s">
        <v>78</v>
      </c>
      <c r="H178" s="2">
        <v>1002565.00000001</v>
      </c>
      <c r="I178" s="2">
        <v>209312.29626892001</v>
      </c>
    </row>
    <row r="179" spans="1:9" x14ac:dyDescent="0.25">
      <c r="A179" t="s">
        <v>1</v>
      </c>
      <c r="B179" t="s">
        <v>76</v>
      </c>
      <c r="C179" t="s">
        <v>77</v>
      </c>
      <c r="D179">
        <v>1</v>
      </c>
      <c r="E179" t="s">
        <v>66</v>
      </c>
      <c r="F179">
        <v>2049</v>
      </c>
      <c r="G179" t="s">
        <v>78</v>
      </c>
      <c r="H179" s="2">
        <v>828206</v>
      </c>
      <c r="I179" s="2">
        <v>195738.80425871999</v>
      </c>
    </row>
    <row r="180" spans="1:9" x14ac:dyDescent="0.25">
      <c r="A180" t="s">
        <v>1</v>
      </c>
      <c r="B180" t="s">
        <v>76</v>
      </c>
      <c r="C180" t="s">
        <v>77</v>
      </c>
      <c r="D180">
        <v>1</v>
      </c>
      <c r="E180" t="s">
        <v>66</v>
      </c>
      <c r="F180">
        <v>2050</v>
      </c>
      <c r="G180" t="s">
        <v>78</v>
      </c>
      <c r="H180" s="2">
        <v>653846.99999998999</v>
      </c>
      <c r="I180" s="2">
        <v>183887.35822702001</v>
      </c>
    </row>
    <row r="181" spans="1:9" x14ac:dyDescent="0.25">
      <c r="A181" t="s">
        <v>1</v>
      </c>
      <c r="B181" t="s">
        <v>76</v>
      </c>
      <c r="C181" t="s">
        <v>77</v>
      </c>
      <c r="D181">
        <v>1</v>
      </c>
      <c r="E181" t="s">
        <v>66</v>
      </c>
      <c r="F181">
        <v>2051</v>
      </c>
      <c r="G181" t="s">
        <v>78</v>
      </c>
      <c r="H181" s="2">
        <v>653847</v>
      </c>
      <c r="I181" s="2">
        <v>183887.35822702001</v>
      </c>
    </row>
    <row r="182" spans="1:9" x14ac:dyDescent="0.25">
      <c r="A182" t="s">
        <v>1</v>
      </c>
      <c r="B182" t="s">
        <v>76</v>
      </c>
      <c r="C182" t="s">
        <v>77</v>
      </c>
      <c r="D182">
        <v>1</v>
      </c>
      <c r="E182" t="s">
        <v>67</v>
      </c>
      <c r="F182">
        <v>2022</v>
      </c>
      <c r="G182" t="s">
        <v>78</v>
      </c>
      <c r="H182">
        <v>6216210.4071955839</v>
      </c>
      <c r="I182">
        <v>590760.8505526043</v>
      </c>
    </row>
    <row r="183" spans="1:9" x14ac:dyDescent="0.25">
      <c r="A183" t="s">
        <v>1</v>
      </c>
      <c r="B183" t="s">
        <v>76</v>
      </c>
      <c r="C183" t="s">
        <v>77</v>
      </c>
      <c r="D183">
        <v>1</v>
      </c>
      <c r="E183" t="s">
        <v>67</v>
      </c>
      <c r="F183">
        <v>2023</v>
      </c>
      <c r="G183" t="s">
        <v>78</v>
      </c>
      <c r="H183">
        <v>5937354.7866537487</v>
      </c>
      <c r="I183">
        <v>509447.99999999831</v>
      </c>
    </row>
    <row r="184" spans="1:9" x14ac:dyDescent="0.25">
      <c r="A184" t="s">
        <v>1</v>
      </c>
      <c r="B184" t="s">
        <v>76</v>
      </c>
      <c r="C184" t="s">
        <v>77</v>
      </c>
      <c r="D184">
        <v>1</v>
      </c>
      <c r="E184" t="s">
        <v>67</v>
      </c>
      <c r="F184">
        <v>2024</v>
      </c>
      <c r="G184" t="s">
        <v>78</v>
      </c>
      <c r="H184">
        <v>5757431.0278318059</v>
      </c>
      <c r="I184">
        <v>473786.99999999895</v>
      </c>
    </row>
    <row r="185" spans="1:9" x14ac:dyDescent="0.25">
      <c r="A185" t="s">
        <v>1</v>
      </c>
      <c r="B185" t="s">
        <v>76</v>
      </c>
      <c r="C185" t="s">
        <v>77</v>
      </c>
      <c r="D185">
        <v>1</v>
      </c>
      <c r="E185" t="s">
        <v>67</v>
      </c>
      <c r="F185">
        <v>2025</v>
      </c>
      <c r="G185" t="s">
        <v>78</v>
      </c>
      <c r="H185">
        <v>5398149.6657880861</v>
      </c>
      <c r="I185">
        <v>440621.99999999133</v>
      </c>
    </row>
    <row r="186" spans="1:9" x14ac:dyDescent="0.25">
      <c r="A186" t="s">
        <v>1</v>
      </c>
      <c r="B186" t="s">
        <v>76</v>
      </c>
      <c r="C186" t="s">
        <v>77</v>
      </c>
      <c r="D186">
        <v>1</v>
      </c>
      <c r="E186" t="s">
        <v>67</v>
      </c>
      <c r="F186">
        <v>2026</v>
      </c>
      <c r="G186" t="s">
        <v>78</v>
      </c>
      <c r="H186">
        <v>5121108.088743886</v>
      </c>
      <c r="I186">
        <v>409777.99999999884</v>
      </c>
    </row>
    <row r="187" spans="1:9" x14ac:dyDescent="0.25">
      <c r="A187" t="s">
        <v>1</v>
      </c>
      <c r="B187" t="s">
        <v>76</v>
      </c>
      <c r="C187" t="s">
        <v>77</v>
      </c>
      <c r="D187">
        <v>1</v>
      </c>
      <c r="E187" t="s">
        <v>67</v>
      </c>
      <c r="F187">
        <v>2027</v>
      </c>
      <c r="G187" t="s">
        <v>78</v>
      </c>
      <c r="H187">
        <v>4849994.7400639961</v>
      </c>
      <c r="I187">
        <v>381093.99999999569</v>
      </c>
    </row>
    <row r="188" spans="1:9" x14ac:dyDescent="0.25">
      <c r="A188" t="s">
        <v>1</v>
      </c>
      <c r="B188" t="s">
        <v>76</v>
      </c>
      <c r="C188" t="s">
        <v>77</v>
      </c>
      <c r="D188">
        <v>1</v>
      </c>
      <c r="E188" t="s">
        <v>67</v>
      </c>
      <c r="F188">
        <v>2028</v>
      </c>
      <c r="G188" t="s">
        <v>78</v>
      </c>
      <c r="H188">
        <v>4614089.8085797811</v>
      </c>
      <c r="I188">
        <v>354417.00000000501</v>
      </c>
    </row>
    <row r="189" spans="1:9" x14ac:dyDescent="0.25">
      <c r="A189" t="s">
        <v>1</v>
      </c>
      <c r="B189" t="s">
        <v>76</v>
      </c>
      <c r="C189" t="s">
        <v>77</v>
      </c>
      <c r="D189">
        <v>1</v>
      </c>
      <c r="E189" t="s">
        <v>67</v>
      </c>
      <c r="F189">
        <v>2029</v>
      </c>
      <c r="G189" t="s">
        <v>78</v>
      </c>
      <c r="H189">
        <v>4326535.1417188132</v>
      </c>
      <c r="I189">
        <v>329608.00000001403</v>
      </c>
    </row>
    <row r="190" spans="1:9" x14ac:dyDescent="0.25">
      <c r="A190" t="s">
        <v>1</v>
      </c>
      <c r="B190" t="s">
        <v>76</v>
      </c>
      <c r="C190" t="s">
        <v>77</v>
      </c>
      <c r="D190">
        <v>1</v>
      </c>
      <c r="E190" t="s">
        <v>67</v>
      </c>
      <c r="F190">
        <v>2030</v>
      </c>
      <c r="G190" t="s">
        <v>78</v>
      </c>
      <c r="H190">
        <v>4075339.1321784924</v>
      </c>
      <c r="I190">
        <v>306535.00000000233</v>
      </c>
    </row>
    <row r="191" spans="1:9" x14ac:dyDescent="0.25">
      <c r="A191" t="s">
        <v>1</v>
      </c>
      <c r="B191" t="s">
        <v>76</v>
      </c>
      <c r="C191" t="s">
        <v>77</v>
      </c>
      <c r="D191">
        <v>1</v>
      </c>
      <c r="E191" t="s">
        <v>67</v>
      </c>
      <c r="F191">
        <v>2031</v>
      </c>
      <c r="G191" t="s">
        <v>78</v>
      </c>
      <c r="H191">
        <v>3829142.8295103726</v>
      </c>
      <c r="I191">
        <v>301018.00000001118</v>
      </c>
    </row>
    <row r="192" spans="1:9" x14ac:dyDescent="0.25">
      <c r="A192" t="s">
        <v>1</v>
      </c>
      <c r="B192" t="s">
        <v>76</v>
      </c>
      <c r="C192" t="s">
        <v>77</v>
      </c>
      <c r="D192">
        <v>1</v>
      </c>
      <c r="E192" t="s">
        <v>67</v>
      </c>
      <c r="F192">
        <v>2032</v>
      </c>
      <c r="G192" t="s">
        <v>78</v>
      </c>
      <c r="H192">
        <v>3612747.1448922879</v>
      </c>
      <c r="I192">
        <v>295598.99999999697</v>
      </c>
    </row>
    <row r="193" spans="1:9" x14ac:dyDescent="0.25">
      <c r="A193" t="s">
        <v>1</v>
      </c>
      <c r="B193" t="s">
        <v>76</v>
      </c>
      <c r="C193" t="s">
        <v>77</v>
      </c>
      <c r="D193">
        <v>1</v>
      </c>
      <c r="E193" t="s">
        <v>67</v>
      </c>
      <c r="F193">
        <v>2033</v>
      </c>
      <c r="G193" t="s">
        <v>78</v>
      </c>
      <c r="H193">
        <v>3352586.5573069686</v>
      </c>
      <c r="I193">
        <v>290278.99999999703</v>
      </c>
    </row>
    <row r="194" spans="1:9" x14ac:dyDescent="0.25">
      <c r="A194" t="s">
        <v>1</v>
      </c>
      <c r="B194" t="s">
        <v>76</v>
      </c>
      <c r="C194" t="s">
        <v>77</v>
      </c>
      <c r="D194">
        <v>1</v>
      </c>
      <c r="E194" t="s">
        <v>67</v>
      </c>
      <c r="F194">
        <v>2034</v>
      </c>
      <c r="G194" t="s">
        <v>78</v>
      </c>
      <c r="H194">
        <v>3119424.5951782623</v>
      </c>
      <c r="I194">
        <v>285053.99999999889</v>
      </c>
    </row>
    <row r="195" spans="1:9" x14ac:dyDescent="0.25">
      <c r="A195" t="s">
        <v>1</v>
      </c>
      <c r="B195" t="s">
        <v>76</v>
      </c>
      <c r="C195" t="s">
        <v>77</v>
      </c>
      <c r="D195">
        <v>1</v>
      </c>
      <c r="E195" t="s">
        <v>67</v>
      </c>
      <c r="F195">
        <v>2035</v>
      </c>
      <c r="G195" t="s">
        <v>78</v>
      </c>
      <c r="H195">
        <v>2889394.9990038686</v>
      </c>
      <c r="I195">
        <v>265117.23220701911</v>
      </c>
    </row>
    <row r="196" spans="1:9" x14ac:dyDescent="0.25">
      <c r="A196" t="s">
        <v>1</v>
      </c>
      <c r="B196" t="s">
        <v>76</v>
      </c>
      <c r="C196" t="s">
        <v>77</v>
      </c>
      <c r="D196">
        <v>1</v>
      </c>
      <c r="E196" t="s">
        <v>67</v>
      </c>
      <c r="F196">
        <v>2036</v>
      </c>
      <c r="G196" t="s">
        <v>78</v>
      </c>
      <c r="H196">
        <v>2680954.6599304858</v>
      </c>
      <c r="I196">
        <v>243859.66918539797</v>
      </c>
    </row>
    <row r="197" spans="1:9" x14ac:dyDescent="0.25">
      <c r="A197" t="s">
        <v>1</v>
      </c>
      <c r="B197" t="s">
        <v>76</v>
      </c>
      <c r="C197" t="s">
        <v>77</v>
      </c>
      <c r="D197">
        <v>1</v>
      </c>
      <c r="E197" t="s">
        <v>67</v>
      </c>
      <c r="F197">
        <v>2037</v>
      </c>
      <c r="G197" t="s">
        <v>78</v>
      </c>
      <c r="H197">
        <v>2437025.5777605688</v>
      </c>
      <c r="I197">
        <v>219379.3776952186</v>
      </c>
    </row>
    <row r="198" spans="1:9" x14ac:dyDescent="0.25">
      <c r="A198" t="s">
        <v>1</v>
      </c>
      <c r="B198" t="s">
        <v>76</v>
      </c>
      <c r="C198" t="s">
        <v>77</v>
      </c>
      <c r="D198">
        <v>1</v>
      </c>
      <c r="E198" t="s">
        <v>67</v>
      </c>
      <c r="F198">
        <v>2038</v>
      </c>
      <c r="G198" t="s">
        <v>78</v>
      </c>
      <c r="H198">
        <v>2213954.2087290687</v>
      </c>
      <c r="I198">
        <v>196825.80345861582</v>
      </c>
    </row>
    <row r="199" spans="1:9" x14ac:dyDescent="0.25">
      <c r="A199" t="s">
        <v>1</v>
      </c>
      <c r="B199" t="s">
        <v>76</v>
      </c>
      <c r="C199" t="s">
        <v>77</v>
      </c>
      <c r="D199">
        <v>1</v>
      </c>
      <c r="E199" t="s">
        <v>67</v>
      </c>
      <c r="F199">
        <v>2039</v>
      </c>
      <c r="G199" t="s">
        <v>78</v>
      </c>
      <c r="H199">
        <v>1992549.3622717673</v>
      </c>
      <c r="I199">
        <v>174486.68569061777</v>
      </c>
    </row>
    <row r="200" spans="1:9" x14ac:dyDescent="0.25">
      <c r="A200" t="s">
        <v>1</v>
      </c>
      <c r="B200" t="s">
        <v>76</v>
      </c>
      <c r="C200" t="s">
        <v>77</v>
      </c>
      <c r="D200">
        <v>1</v>
      </c>
      <c r="E200" t="s">
        <v>67</v>
      </c>
      <c r="F200">
        <v>2040</v>
      </c>
      <c r="G200" t="s">
        <v>78</v>
      </c>
      <c r="H200">
        <v>1786212.3146875885</v>
      </c>
      <c r="I200">
        <v>153476.64459639858</v>
      </c>
    </row>
    <row r="201" spans="1:9" x14ac:dyDescent="0.25">
      <c r="A201" t="s">
        <v>1</v>
      </c>
      <c r="B201" t="s">
        <v>76</v>
      </c>
      <c r="C201" t="s">
        <v>77</v>
      </c>
      <c r="D201">
        <v>1</v>
      </c>
      <c r="E201" t="s">
        <v>67</v>
      </c>
      <c r="F201">
        <v>2041</v>
      </c>
      <c r="G201" t="s">
        <v>78</v>
      </c>
      <c r="H201">
        <v>1555151.441407467</v>
      </c>
      <c r="I201">
        <v>130383.40220151647</v>
      </c>
    </row>
    <row r="202" spans="1:9" x14ac:dyDescent="0.25">
      <c r="A202" t="s">
        <v>1</v>
      </c>
      <c r="B202" t="s">
        <v>76</v>
      </c>
      <c r="C202" t="s">
        <v>77</v>
      </c>
      <c r="D202">
        <v>1</v>
      </c>
      <c r="E202" t="s">
        <v>67</v>
      </c>
      <c r="F202">
        <v>2042</v>
      </c>
      <c r="G202" t="s">
        <v>78</v>
      </c>
      <c r="H202">
        <v>1338705.1239827669</v>
      </c>
      <c r="I202">
        <v>108665.08255981677</v>
      </c>
    </row>
    <row r="203" spans="1:9" x14ac:dyDescent="0.25">
      <c r="A203" t="s">
        <v>1</v>
      </c>
      <c r="B203" t="s">
        <v>76</v>
      </c>
      <c r="C203" t="s">
        <v>77</v>
      </c>
      <c r="D203">
        <v>1</v>
      </c>
      <c r="E203" t="s">
        <v>67</v>
      </c>
      <c r="F203">
        <v>2043</v>
      </c>
      <c r="G203" t="s">
        <v>78</v>
      </c>
      <c r="H203">
        <v>1123494.0711270685</v>
      </c>
      <c r="I203">
        <v>87138.179093617189</v>
      </c>
    </row>
    <row r="204" spans="1:9" x14ac:dyDescent="0.25">
      <c r="A204" t="s">
        <v>1</v>
      </c>
      <c r="B204" t="s">
        <v>76</v>
      </c>
      <c r="C204" t="s">
        <v>77</v>
      </c>
      <c r="D204">
        <v>1</v>
      </c>
      <c r="E204" t="s">
        <v>67</v>
      </c>
      <c r="F204">
        <v>2044</v>
      </c>
      <c r="G204" t="s">
        <v>78</v>
      </c>
      <c r="H204">
        <v>917762.98911408742</v>
      </c>
      <c r="I204">
        <v>66422.444033396372</v>
      </c>
    </row>
    <row r="205" spans="1:9" x14ac:dyDescent="0.25">
      <c r="A205" t="s">
        <v>1</v>
      </c>
      <c r="B205" t="s">
        <v>76</v>
      </c>
      <c r="C205" t="s">
        <v>77</v>
      </c>
      <c r="D205">
        <v>1</v>
      </c>
      <c r="E205" t="s">
        <v>67</v>
      </c>
      <c r="F205">
        <v>2045</v>
      </c>
      <c r="G205" t="s">
        <v>78</v>
      </c>
      <c r="H205">
        <v>698309.02989996818</v>
      </c>
      <c r="I205">
        <v>44680.840207016401</v>
      </c>
    </row>
    <row r="206" spans="1:9" x14ac:dyDescent="0.25">
      <c r="A206" t="s">
        <v>1</v>
      </c>
      <c r="B206" t="s">
        <v>76</v>
      </c>
      <c r="C206" t="s">
        <v>77</v>
      </c>
      <c r="D206">
        <v>1</v>
      </c>
      <c r="E206" t="s">
        <v>67</v>
      </c>
      <c r="F206">
        <v>2046</v>
      </c>
      <c r="G206" t="s">
        <v>78</v>
      </c>
      <c r="H206">
        <v>502445.60881806689</v>
      </c>
      <c r="I206">
        <v>25721.786200819919</v>
      </c>
    </row>
    <row r="207" spans="1:9" x14ac:dyDescent="0.25">
      <c r="A207" t="s">
        <v>1</v>
      </c>
      <c r="B207" t="s">
        <v>76</v>
      </c>
      <c r="C207" t="s">
        <v>77</v>
      </c>
      <c r="D207">
        <v>1</v>
      </c>
      <c r="E207" t="s">
        <v>67</v>
      </c>
      <c r="F207">
        <v>2047</v>
      </c>
      <c r="G207" t="s">
        <v>78</v>
      </c>
      <c r="H207">
        <v>366957.25318356766</v>
      </c>
      <c r="I207">
        <v>14955.520386117127</v>
      </c>
    </row>
    <row r="208" spans="1:9" x14ac:dyDescent="0.25">
      <c r="A208" t="s">
        <v>1</v>
      </c>
      <c r="B208" t="s">
        <v>76</v>
      </c>
      <c r="C208" t="s">
        <v>77</v>
      </c>
      <c r="D208">
        <v>1</v>
      </c>
      <c r="E208" t="s">
        <v>67</v>
      </c>
      <c r="F208">
        <v>2048</v>
      </c>
      <c r="G208" t="s">
        <v>78</v>
      </c>
      <c r="H208">
        <v>282508.74975478655</v>
      </c>
      <c r="I208">
        <v>10147.788610696556</v>
      </c>
    </row>
    <row r="209" spans="1:9" x14ac:dyDescent="0.25">
      <c r="A209" t="s">
        <v>1</v>
      </c>
      <c r="B209" t="s">
        <v>76</v>
      </c>
      <c r="C209" t="s">
        <v>77</v>
      </c>
      <c r="D209">
        <v>1</v>
      </c>
      <c r="E209" t="s">
        <v>67</v>
      </c>
      <c r="F209">
        <v>2049</v>
      </c>
      <c r="G209" t="s">
        <v>78</v>
      </c>
      <c r="H209">
        <v>191175.41153276726</v>
      </c>
      <c r="I209">
        <v>5611.7728202181625</v>
      </c>
    </row>
    <row r="210" spans="1:9" x14ac:dyDescent="0.25">
      <c r="A210" t="s">
        <v>1</v>
      </c>
      <c r="B210" t="s">
        <v>76</v>
      </c>
      <c r="C210" t="s">
        <v>77</v>
      </c>
      <c r="D210">
        <v>1</v>
      </c>
      <c r="E210" t="s">
        <v>67</v>
      </c>
      <c r="F210">
        <v>2050</v>
      </c>
      <c r="G210" t="s">
        <v>78</v>
      </c>
      <c r="H210">
        <v>103866.36070486571</v>
      </c>
      <c r="I210">
        <v>1409.7040977153567</v>
      </c>
    </row>
    <row r="211" spans="1:9" x14ac:dyDescent="0.25">
      <c r="A211" t="s">
        <v>1</v>
      </c>
      <c r="B211" t="s">
        <v>76</v>
      </c>
      <c r="C211" t="s">
        <v>77</v>
      </c>
      <c r="D211">
        <v>1</v>
      </c>
      <c r="E211" t="s">
        <v>67</v>
      </c>
      <c r="F211">
        <v>2051</v>
      </c>
      <c r="G211" t="s">
        <v>78</v>
      </c>
      <c r="H211">
        <v>103866.36070486571</v>
      </c>
      <c r="I211">
        <v>1409.7040977153567</v>
      </c>
    </row>
    <row r="212" spans="1:9" x14ac:dyDescent="0.25">
      <c r="A212" t="s">
        <v>1</v>
      </c>
      <c r="B212" t="s">
        <v>76</v>
      </c>
      <c r="C212" t="s">
        <v>77</v>
      </c>
      <c r="D212">
        <v>1</v>
      </c>
      <c r="E212" t="s">
        <v>95</v>
      </c>
      <c r="F212">
        <v>2022</v>
      </c>
      <c r="G212" t="s">
        <v>78</v>
      </c>
      <c r="H212">
        <v>5996709.5028679026</v>
      </c>
      <c r="I212">
        <v>531566.81673918548</v>
      </c>
    </row>
    <row r="213" spans="1:9" x14ac:dyDescent="0.25">
      <c r="A213" t="s">
        <v>1</v>
      </c>
      <c r="B213" t="s">
        <v>76</v>
      </c>
      <c r="C213" t="s">
        <v>77</v>
      </c>
      <c r="D213">
        <v>1</v>
      </c>
      <c r="E213" t="s">
        <v>95</v>
      </c>
      <c r="F213">
        <v>2023</v>
      </c>
      <c r="G213" t="s">
        <v>78</v>
      </c>
      <c r="H213">
        <v>5972674.9819374057</v>
      </c>
      <c r="I213">
        <v>509448.00000001153</v>
      </c>
    </row>
    <row r="214" spans="1:9" x14ac:dyDescent="0.25">
      <c r="A214" t="s">
        <v>1</v>
      </c>
      <c r="B214" t="s">
        <v>76</v>
      </c>
      <c r="C214" t="s">
        <v>77</v>
      </c>
      <c r="D214">
        <v>1</v>
      </c>
      <c r="E214" t="s">
        <v>95</v>
      </c>
      <c r="F214">
        <v>2024</v>
      </c>
      <c r="G214" t="s">
        <v>78</v>
      </c>
      <c r="H214">
        <v>5983909.1510869721</v>
      </c>
      <c r="I214">
        <v>473787.00000001502</v>
      </c>
    </row>
    <row r="215" spans="1:9" x14ac:dyDescent="0.25">
      <c r="A215" t="s">
        <v>1</v>
      </c>
      <c r="B215" t="s">
        <v>76</v>
      </c>
      <c r="C215" t="s">
        <v>77</v>
      </c>
      <c r="D215">
        <v>1</v>
      </c>
      <c r="E215" t="s">
        <v>95</v>
      </c>
      <c r="F215">
        <v>2025</v>
      </c>
      <c r="G215" t="s">
        <v>78</v>
      </c>
      <c r="H215">
        <v>5784026.9999999832</v>
      </c>
      <c r="I215">
        <v>440622.00000001327</v>
      </c>
    </row>
    <row r="216" spans="1:9" x14ac:dyDescent="0.25">
      <c r="A216" t="s">
        <v>1</v>
      </c>
      <c r="B216" t="s">
        <v>76</v>
      </c>
      <c r="C216" t="s">
        <v>77</v>
      </c>
      <c r="D216">
        <v>1</v>
      </c>
      <c r="E216" t="s">
        <v>95</v>
      </c>
      <c r="F216">
        <v>2026</v>
      </c>
      <c r="G216" t="s">
        <v>78</v>
      </c>
      <c r="H216">
        <v>5532548.0000000093</v>
      </c>
      <c r="I216">
        <v>409778.00000001426</v>
      </c>
    </row>
    <row r="217" spans="1:9" x14ac:dyDescent="0.25">
      <c r="A217" t="s">
        <v>1</v>
      </c>
      <c r="B217" t="s">
        <v>76</v>
      </c>
      <c r="C217" t="s">
        <v>77</v>
      </c>
      <c r="D217">
        <v>1</v>
      </c>
      <c r="E217" t="s">
        <v>95</v>
      </c>
      <c r="F217">
        <v>2027</v>
      </c>
      <c r="G217" t="s">
        <v>78</v>
      </c>
      <c r="H217">
        <v>5281068.0000000102</v>
      </c>
      <c r="I217">
        <v>381093.99999999558</v>
      </c>
    </row>
    <row r="218" spans="1:9" x14ac:dyDescent="0.25">
      <c r="A218" t="s">
        <v>1</v>
      </c>
      <c r="B218" t="s">
        <v>76</v>
      </c>
      <c r="C218" t="s">
        <v>77</v>
      </c>
      <c r="D218">
        <v>1</v>
      </c>
      <c r="E218" t="s">
        <v>95</v>
      </c>
      <c r="F218">
        <v>2028</v>
      </c>
      <c r="G218" t="s">
        <v>78</v>
      </c>
      <c r="H218">
        <v>5029588.9999999898</v>
      </c>
      <c r="I218">
        <v>354416.99999999971</v>
      </c>
    </row>
    <row r="219" spans="1:9" x14ac:dyDescent="0.25">
      <c r="A219" t="s">
        <v>1</v>
      </c>
      <c r="B219" t="s">
        <v>76</v>
      </c>
      <c r="C219" t="s">
        <v>77</v>
      </c>
      <c r="D219">
        <v>1</v>
      </c>
      <c r="E219" t="s">
        <v>95</v>
      </c>
      <c r="F219">
        <v>2029</v>
      </c>
      <c r="G219" t="s">
        <v>78</v>
      </c>
      <c r="H219">
        <v>4778108.9999999935</v>
      </c>
      <c r="I219">
        <v>329607.99999999837</v>
      </c>
    </row>
    <row r="220" spans="1:9" x14ac:dyDescent="0.25">
      <c r="A220" t="s">
        <v>1</v>
      </c>
      <c r="B220" t="s">
        <v>76</v>
      </c>
      <c r="C220" t="s">
        <v>77</v>
      </c>
      <c r="D220">
        <v>1</v>
      </c>
      <c r="E220" t="s">
        <v>95</v>
      </c>
      <c r="F220">
        <v>2030</v>
      </c>
      <c r="G220" t="s">
        <v>78</v>
      </c>
      <c r="H220">
        <v>4526629.9999999879</v>
      </c>
      <c r="I220">
        <v>306534.99999999983</v>
      </c>
    </row>
    <row r="221" spans="1:9" x14ac:dyDescent="0.25">
      <c r="A221" t="s">
        <v>1</v>
      </c>
      <c r="B221" t="s">
        <v>76</v>
      </c>
      <c r="C221" t="s">
        <v>77</v>
      </c>
      <c r="D221">
        <v>1</v>
      </c>
      <c r="E221" t="s">
        <v>95</v>
      </c>
      <c r="F221">
        <v>2031</v>
      </c>
      <c r="G221" t="s">
        <v>78</v>
      </c>
      <c r="H221">
        <v>4275151</v>
      </c>
      <c r="I221">
        <v>301017.9999999961</v>
      </c>
    </row>
    <row r="222" spans="1:9" x14ac:dyDescent="0.25">
      <c r="A222" t="s">
        <v>1</v>
      </c>
      <c r="B222" t="s">
        <v>76</v>
      </c>
      <c r="C222" t="s">
        <v>77</v>
      </c>
      <c r="D222">
        <v>1</v>
      </c>
      <c r="E222" t="s">
        <v>95</v>
      </c>
      <c r="F222">
        <v>2032</v>
      </c>
      <c r="G222" t="s">
        <v>78</v>
      </c>
      <c r="H222">
        <v>4023670.9999999953</v>
      </c>
      <c r="I222">
        <v>295598.99999999849</v>
      </c>
    </row>
    <row r="223" spans="1:9" x14ac:dyDescent="0.25">
      <c r="A223" t="s">
        <v>1</v>
      </c>
      <c r="B223" t="s">
        <v>76</v>
      </c>
      <c r="C223" t="s">
        <v>77</v>
      </c>
      <c r="D223">
        <v>1</v>
      </c>
      <c r="E223" t="s">
        <v>95</v>
      </c>
      <c r="F223">
        <v>2033</v>
      </c>
      <c r="G223" t="s">
        <v>78</v>
      </c>
      <c r="H223">
        <v>3772192.0000000065</v>
      </c>
      <c r="I223">
        <v>290278.99999999662</v>
      </c>
    </row>
    <row r="224" spans="1:9" x14ac:dyDescent="0.25">
      <c r="A224" t="s">
        <v>1</v>
      </c>
      <c r="B224" t="s">
        <v>76</v>
      </c>
      <c r="C224" t="s">
        <v>77</v>
      </c>
      <c r="D224">
        <v>1</v>
      </c>
      <c r="E224" t="s">
        <v>95</v>
      </c>
      <c r="F224">
        <v>2034</v>
      </c>
      <c r="G224" t="s">
        <v>78</v>
      </c>
      <c r="H224">
        <v>3520711.9999999991</v>
      </c>
      <c r="I224">
        <v>285053.99999999627</v>
      </c>
    </row>
    <row r="225" spans="1:9" x14ac:dyDescent="0.25">
      <c r="A225" t="s">
        <v>1</v>
      </c>
      <c r="B225" t="s">
        <v>76</v>
      </c>
      <c r="C225" t="s">
        <v>77</v>
      </c>
      <c r="D225">
        <v>1</v>
      </c>
      <c r="E225" t="s">
        <v>95</v>
      </c>
      <c r="F225">
        <v>2035</v>
      </c>
      <c r="G225" t="s">
        <v>78</v>
      </c>
      <c r="H225">
        <v>3269232.9999999991</v>
      </c>
      <c r="I225">
        <v>279922.99999999709</v>
      </c>
    </row>
    <row r="226" spans="1:9" x14ac:dyDescent="0.25">
      <c r="A226" t="s">
        <v>1</v>
      </c>
      <c r="B226" t="s">
        <v>76</v>
      </c>
      <c r="C226" t="s">
        <v>77</v>
      </c>
      <c r="D226">
        <v>1</v>
      </c>
      <c r="E226" t="s">
        <v>95</v>
      </c>
      <c r="F226">
        <v>2036</v>
      </c>
      <c r="G226" t="s">
        <v>78</v>
      </c>
      <c r="H226">
        <v>3094873.9999999986</v>
      </c>
      <c r="I226">
        <v>274883.99999999534</v>
      </c>
    </row>
    <row r="227" spans="1:9" x14ac:dyDescent="0.25">
      <c r="A227" t="s">
        <v>1</v>
      </c>
      <c r="B227" t="s">
        <v>76</v>
      </c>
      <c r="C227" t="s">
        <v>77</v>
      </c>
      <c r="D227">
        <v>1</v>
      </c>
      <c r="E227" t="s">
        <v>95</v>
      </c>
      <c r="F227">
        <v>2037</v>
      </c>
      <c r="G227" t="s">
        <v>78</v>
      </c>
      <c r="H227">
        <v>2920515.0000000023</v>
      </c>
      <c r="I227">
        <v>269935.99999999889</v>
      </c>
    </row>
    <row r="228" spans="1:9" x14ac:dyDescent="0.25">
      <c r="A228" t="s">
        <v>1</v>
      </c>
      <c r="B228" t="s">
        <v>76</v>
      </c>
      <c r="C228" t="s">
        <v>77</v>
      </c>
      <c r="D228">
        <v>1</v>
      </c>
      <c r="E228" t="s">
        <v>95</v>
      </c>
      <c r="F228">
        <v>2038</v>
      </c>
      <c r="G228" t="s">
        <v>78</v>
      </c>
      <c r="H228">
        <v>2746156.0000000028</v>
      </c>
      <c r="I228">
        <v>265076.99999999674</v>
      </c>
    </row>
    <row r="229" spans="1:9" x14ac:dyDescent="0.25">
      <c r="A229" t="s">
        <v>1</v>
      </c>
      <c r="B229" t="s">
        <v>76</v>
      </c>
      <c r="C229" t="s">
        <v>77</v>
      </c>
      <c r="D229">
        <v>1</v>
      </c>
      <c r="E229" t="s">
        <v>95</v>
      </c>
      <c r="F229">
        <v>2039</v>
      </c>
      <c r="G229" t="s">
        <v>78</v>
      </c>
      <c r="H229">
        <v>2571796.0000000037</v>
      </c>
      <c r="I229">
        <v>260305.99999999645</v>
      </c>
    </row>
    <row r="230" spans="1:9" x14ac:dyDescent="0.25">
      <c r="A230" t="s">
        <v>1</v>
      </c>
      <c r="B230" t="s">
        <v>76</v>
      </c>
      <c r="C230" t="s">
        <v>77</v>
      </c>
      <c r="D230">
        <v>1</v>
      </c>
      <c r="E230" t="s">
        <v>95</v>
      </c>
      <c r="F230">
        <v>2040</v>
      </c>
      <c r="G230" t="s">
        <v>78</v>
      </c>
      <c r="H230">
        <v>2397436.9999999986</v>
      </c>
      <c r="I230">
        <v>255619.99999998705</v>
      </c>
    </row>
    <row r="231" spans="1:9" x14ac:dyDescent="0.25">
      <c r="A231" t="s">
        <v>1</v>
      </c>
      <c r="B231" t="s">
        <v>76</v>
      </c>
      <c r="C231" t="s">
        <v>77</v>
      </c>
      <c r="D231">
        <v>1</v>
      </c>
      <c r="E231" t="s">
        <v>95</v>
      </c>
      <c r="F231">
        <v>2041</v>
      </c>
      <c r="G231" t="s">
        <v>78</v>
      </c>
      <c r="H231">
        <v>2223078.0000000061</v>
      </c>
      <c r="I231">
        <v>251018.99999998818</v>
      </c>
    </row>
    <row r="232" spans="1:9" x14ac:dyDescent="0.25">
      <c r="A232" t="s">
        <v>1</v>
      </c>
      <c r="B232" t="s">
        <v>76</v>
      </c>
      <c r="C232" t="s">
        <v>77</v>
      </c>
      <c r="D232">
        <v>1</v>
      </c>
      <c r="E232" t="s">
        <v>95</v>
      </c>
      <c r="F232">
        <v>2042</v>
      </c>
      <c r="G232" t="s">
        <v>78</v>
      </c>
      <c r="H232">
        <v>2048719.0000000107</v>
      </c>
      <c r="I232">
        <v>246500.99999998658</v>
      </c>
    </row>
    <row r="233" spans="1:9" x14ac:dyDescent="0.25">
      <c r="A233" t="s">
        <v>1</v>
      </c>
      <c r="B233" t="s">
        <v>76</v>
      </c>
      <c r="C233" t="s">
        <v>77</v>
      </c>
      <c r="D233">
        <v>1</v>
      </c>
      <c r="E233" t="s">
        <v>95</v>
      </c>
      <c r="F233">
        <v>2043</v>
      </c>
      <c r="G233" t="s">
        <v>78</v>
      </c>
      <c r="H233">
        <v>1874360.00000001</v>
      </c>
      <c r="I233">
        <v>240091.99999999593</v>
      </c>
    </row>
    <row r="234" spans="1:9" x14ac:dyDescent="0.25">
      <c r="A234" t="s">
        <v>1</v>
      </c>
      <c r="B234" t="s">
        <v>76</v>
      </c>
      <c r="C234" t="s">
        <v>77</v>
      </c>
      <c r="D234">
        <v>1</v>
      </c>
      <c r="E234" t="s">
        <v>95</v>
      </c>
      <c r="F234">
        <v>2044</v>
      </c>
      <c r="G234" t="s">
        <v>78</v>
      </c>
      <c r="H234">
        <v>1700001.0000000075</v>
      </c>
      <c r="I234">
        <v>233849.00000001307</v>
      </c>
    </row>
    <row r="235" spans="1:9" x14ac:dyDescent="0.25">
      <c r="A235" t="s">
        <v>1</v>
      </c>
      <c r="B235" t="s">
        <v>76</v>
      </c>
      <c r="C235" t="s">
        <v>77</v>
      </c>
      <c r="D235">
        <v>1</v>
      </c>
      <c r="E235" t="s">
        <v>95</v>
      </c>
      <c r="F235">
        <v>2045</v>
      </c>
      <c r="G235" t="s">
        <v>78</v>
      </c>
      <c r="H235">
        <v>1525641.9999999974</v>
      </c>
      <c r="I235">
        <v>227769.00000001217</v>
      </c>
    </row>
    <row r="236" spans="1:9" x14ac:dyDescent="0.25">
      <c r="A236" t="s">
        <v>1</v>
      </c>
      <c r="B236" t="s">
        <v>76</v>
      </c>
      <c r="C236" t="s">
        <v>77</v>
      </c>
      <c r="D236">
        <v>1</v>
      </c>
      <c r="E236" t="s">
        <v>95</v>
      </c>
      <c r="F236">
        <v>2046</v>
      </c>
      <c r="G236" t="s">
        <v>78</v>
      </c>
      <c r="H236">
        <v>1351282.9999999939</v>
      </c>
      <c r="I236">
        <v>221847.0000000115</v>
      </c>
    </row>
    <row r="237" spans="1:9" x14ac:dyDescent="0.25">
      <c r="A237" t="s">
        <v>1</v>
      </c>
      <c r="B237" t="s">
        <v>76</v>
      </c>
      <c r="C237" t="s">
        <v>77</v>
      </c>
      <c r="D237">
        <v>1</v>
      </c>
      <c r="E237" t="s">
        <v>95</v>
      </c>
      <c r="F237">
        <v>2047</v>
      </c>
      <c r="G237" t="s">
        <v>78</v>
      </c>
      <c r="H237">
        <v>1176923.9999999979</v>
      </c>
      <c r="I237">
        <v>216079.00000001118</v>
      </c>
    </row>
    <row r="238" spans="1:9" x14ac:dyDescent="0.25">
      <c r="A238" t="s">
        <v>1</v>
      </c>
      <c r="B238" t="s">
        <v>76</v>
      </c>
      <c r="C238" t="s">
        <v>77</v>
      </c>
      <c r="D238">
        <v>1</v>
      </c>
      <c r="E238" t="s">
        <v>95</v>
      </c>
      <c r="F238">
        <v>2048</v>
      </c>
      <c r="G238" t="s">
        <v>78</v>
      </c>
      <c r="H238">
        <v>1002565.0000000031</v>
      </c>
      <c r="I238">
        <v>210461.00000001257</v>
      </c>
    </row>
    <row r="239" spans="1:9" x14ac:dyDescent="0.25">
      <c r="A239" t="s">
        <v>1</v>
      </c>
      <c r="B239" t="s">
        <v>76</v>
      </c>
      <c r="C239" t="s">
        <v>77</v>
      </c>
      <c r="D239">
        <v>1</v>
      </c>
      <c r="E239" t="s">
        <v>95</v>
      </c>
      <c r="F239">
        <v>2049</v>
      </c>
      <c r="G239" t="s">
        <v>78</v>
      </c>
      <c r="H239">
        <v>828206.00000000687</v>
      </c>
      <c r="I239">
        <v>204989.00000000012</v>
      </c>
    </row>
    <row r="240" spans="1:9" x14ac:dyDescent="0.25">
      <c r="A240" t="s">
        <v>1</v>
      </c>
      <c r="B240" t="s">
        <v>76</v>
      </c>
      <c r="C240" t="s">
        <v>77</v>
      </c>
      <c r="D240">
        <v>1</v>
      </c>
      <c r="E240" t="s">
        <v>95</v>
      </c>
      <c r="F240">
        <v>2050</v>
      </c>
      <c r="G240" t="s">
        <v>78</v>
      </c>
      <c r="H240">
        <v>653847.00000000361</v>
      </c>
      <c r="I240">
        <v>199659.00000000006</v>
      </c>
    </row>
    <row r="241" spans="1:9" x14ac:dyDescent="0.25">
      <c r="A241" t="s">
        <v>1</v>
      </c>
      <c r="B241" t="s">
        <v>76</v>
      </c>
      <c r="C241" t="s">
        <v>77</v>
      </c>
      <c r="D241">
        <v>1</v>
      </c>
      <c r="E241" t="s">
        <v>95</v>
      </c>
      <c r="F241">
        <v>2051</v>
      </c>
      <c r="G241" t="s">
        <v>78</v>
      </c>
      <c r="H241">
        <v>653846.99999999849</v>
      </c>
      <c r="I241">
        <v>199659.00000000215</v>
      </c>
    </row>
    <row r="242" spans="1:9" x14ac:dyDescent="0.25">
      <c r="A242" t="s">
        <v>1</v>
      </c>
      <c r="B242" t="s">
        <v>76</v>
      </c>
      <c r="C242" t="s">
        <v>77</v>
      </c>
      <c r="D242">
        <v>1</v>
      </c>
      <c r="E242" t="s">
        <v>96</v>
      </c>
      <c r="F242">
        <v>2022</v>
      </c>
      <c r="G242" t="s">
        <v>78</v>
      </c>
      <c r="H242">
        <v>6206799.2214078931</v>
      </c>
      <c r="I242">
        <v>589557.55912399816</v>
      </c>
    </row>
    <row r="243" spans="1:9" x14ac:dyDescent="0.25">
      <c r="A243" t="s">
        <v>1</v>
      </c>
      <c r="B243" t="s">
        <v>76</v>
      </c>
      <c r="C243" t="s">
        <v>77</v>
      </c>
      <c r="D243">
        <v>1</v>
      </c>
      <c r="E243" t="s">
        <v>96</v>
      </c>
      <c r="F243">
        <v>2023</v>
      </c>
      <c r="G243" t="s">
        <v>78</v>
      </c>
      <c r="H243">
        <v>6146101.3909373917</v>
      </c>
      <c r="I243">
        <v>509448.00000000297</v>
      </c>
    </row>
    <row r="244" spans="1:9" x14ac:dyDescent="0.25">
      <c r="A244" t="s">
        <v>1</v>
      </c>
      <c r="B244" t="s">
        <v>76</v>
      </c>
      <c r="C244" t="s">
        <v>77</v>
      </c>
      <c r="D244">
        <v>1</v>
      </c>
      <c r="E244" t="s">
        <v>96</v>
      </c>
      <c r="F244">
        <v>2024</v>
      </c>
      <c r="G244" t="s">
        <v>78</v>
      </c>
      <c r="H244">
        <v>6035507.000000014</v>
      </c>
      <c r="I244">
        <v>473786.99999999051</v>
      </c>
    </row>
    <row r="245" spans="1:9" x14ac:dyDescent="0.25">
      <c r="A245" t="s">
        <v>1</v>
      </c>
      <c r="B245" t="s">
        <v>76</v>
      </c>
      <c r="C245" t="s">
        <v>77</v>
      </c>
      <c r="D245">
        <v>1</v>
      </c>
      <c r="E245" t="s">
        <v>96</v>
      </c>
      <c r="F245">
        <v>2025</v>
      </c>
      <c r="G245" t="s">
        <v>78</v>
      </c>
      <c r="H245">
        <v>5784026.999999986</v>
      </c>
      <c r="I245">
        <v>440622.00000000745</v>
      </c>
    </row>
    <row r="246" spans="1:9" x14ac:dyDescent="0.25">
      <c r="A246" t="s">
        <v>1</v>
      </c>
      <c r="B246" t="s">
        <v>76</v>
      </c>
      <c r="C246" t="s">
        <v>77</v>
      </c>
      <c r="D246">
        <v>1</v>
      </c>
      <c r="E246" t="s">
        <v>96</v>
      </c>
      <c r="F246">
        <v>2026</v>
      </c>
      <c r="G246" t="s">
        <v>78</v>
      </c>
      <c r="H246">
        <v>5532548.0000000065</v>
      </c>
      <c r="I246">
        <v>409777.99999999395</v>
      </c>
    </row>
    <row r="247" spans="1:9" x14ac:dyDescent="0.25">
      <c r="A247" t="s">
        <v>1</v>
      </c>
      <c r="B247" t="s">
        <v>76</v>
      </c>
      <c r="C247" t="s">
        <v>77</v>
      </c>
      <c r="D247">
        <v>1</v>
      </c>
      <c r="E247" t="s">
        <v>96</v>
      </c>
      <c r="F247">
        <v>2027</v>
      </c>
      <c r="G247" t="s">
        <v>78</v>
      </c>
      <c r="H247">
        <v>5281068.0000000037</v>
      </c>
      <c r="I247">
        <v>381094.00000000198</v>
      </c>
    </row>
    <row r="248" spans="1:9" x14ac:dyDescent="0.25">
      <c r="A248" t="s">
        <v>1</v>
      </c>
      <c r="B248" t="s">
        <v>76</v>
      </c>
      <c r="C248" t="s">
        <v>77</v>
      </c>
      <c r="D248">
        <v>1</v>
      </c>
      <c r="E248" t="s">
        <v>96</v>
      </c>
      <c r="F248">
        <v>2028</v>
      </c>
      <c r="G248" t="s">
        <v>78</v>
      </c>
      <c r="H248">
        <v>5029588.9999999991</v>
      </c>
      <c r="I248">
        <v>354417.0000000078</v>
      </c>
    </row>
    <row r="249" spans="1:9" x14ac:dyDescent="0.25">
      <c r="A249" t="s">
        <v>1</v>
      </c>
      <c r="B249" t="s">
        <v>76</v>
      </c>
      <c r="C249" t="s">
        <v>77</v>
      </c>
      <c r="D249">
        <v>1</v>
      </c>
      <c r="E249" t="s">
        <v>96</v>
      </c>
      <c r="F249">
        <v>2029</v>
      </c>
      <c r="G249" t="s">
        <v>78</v>
      </c>
      <c r="H249">
        <v>4778109.0000000019</v>
      </c>
      <c r="I249">
        <v>329607.99999999447</v>
      </c>
    </row>
    <row r="250" spans="1:9" x14ac:dyDescent="0.25">
      <c r="A250" t="s">
        <v>1</v>
      </c>
      <c r="B250" t="s">
        <v>76</v>
      </c>
      <c r="C250" t="s">
        <v>77</v>
      </c>
      <c r="D250">
        <v>1</v>
      </c>
      <c r="E250" t="s">
        <v>96</v>
      </c>
      <c r="F250">
        <v>2030</v>
      </c>
      <c r="G250" t="s">
        <v>78</v>
      </c>
      <c r="H250">
        <v>4526629.9999999981</v>
      </c>
      <c r="I250">
        <v>306534.99999999977</v>
      </c>
    </row>
    <row r="251" spans="1:9" x14ac:dyDescent="0.25">
      <c r="A251" t="s">
        <v>1</v>
      </c>
      <c r="B251" t="s">
        <v>76</v>
      </c>
      <c r="C251" t="s">
        <v>77</v>
      </c>
      <c r="D251">
        <v>1</v>
      </c>
      <c r="E251" t="s">
        <v>96</v>
      </c>
      <c r="F251">
        <v>2031</v>
      </c>
      <c r="G251" t="s">
        <v>78</v>
      </c>
      <c r="H251">
        <v>4275150.9999999944</v>
      </c>
      <c r="I251">
        <v>301017.99999999814</v>
      </c>
    </row>
    <row r="252" spans="1:9" x14ac:dyDescent="0.25">
      <c r="A252" t="s">
        <v>1</v>
      </c>
      <c r="B252" t="s">
        <v>76</v>
      </c>
      <c r="C252" t="s">
        <v>77</v>
      </c>
      <c r="D252">
        <v>1</v>
      </c>
      <c r="E252" t="s">
        <v>96</v>
      </c>
      <c r="F252">
        <v>2032</v>
      </c>
      <c r="G252" t="s">
        <v>78</v>
      </c>
      <c r="H252">
        <v>4023671.0000000028</v>
      </c>
      <c r="I252">
        <v>295598.99999999691</v>
      </c>
    </row>
    <row r="253" spans="1:9" x14ac:dyDescent="0.25">
      <c r="A253" t="s">
        <v>1</v>
      </c>
      <c r="B253" t="s">
        <v>76</v>
      </c>
      <c r="C253" t="s">
        <v>77</v>
      </c>
      <c r="D253">
        <v>1</v>
      </c>
      <c r="E253" t="s">
        <v>96</v>
      </c>
      <c r="F253">
        <v>2033</v>
      </c>
      <c r="G253" t="s">
        <v>78</v>
      </c>
      <c r="H253">
        <v>3772191.9999999986</v>
      </c>
      <c r="I253">
        <v>290279.00000000326</v>
      </c>
    </row>
    <row r="254" spans="1:9" x14ac:dyDescent="0.25">
      <c r="A254" t="s">
        <v>1</v>
      </c>
      <c r="B254" t="s">
        <v>76</v>
      </c>
      <c r="C254" t="s">
        <v>77</v>
      </c>
      <c r="D254">
        <v>1</v>
      </c>
      <c r="E254" t="s">
        <v>96</v>
      </c>
      <c r="F254">
        <v>2034</v>
      </c>
      <c r="G254" t="s">
        <v>78</v>
      </c>
      <c r="H254">
        <v>3520712</v>
      </c>
      <c r="I254">
        <v>285053.99999999016</v>
      </c>
    </row>
    <row r="255" spans="1:9" x14ac:dyDescent="0.25">
      <c r="A255" t="s">
        <v>1</v>
      </c>
      <c r="B255" t="s">
        <v>76</v>
      </c>
      <c r="C255" t="s">
        <v>77</v>
      </c>
      <c r="D255">
        <v>1</v>
      </c>
      <c r="E255" t="s">
        <v>96</v>
      </c>
      <c r="F255">
        <v>2035</v>
      </c>
      <c r="G255" t="s">
        <v>78</v>
      </c>
      <c r="H255">
        <v>3269233.0000000042</v>
      </c>
      <c r="I255">
        <v>279923.00000000425</v>
      </c>
    </row>
    <row r="256" spans="1:9" x14ac:dyDescent="0.25">
      <c r="A256" t="s">
        <v>1</v>
      </c>
      <c r="B256" t="s">
        <v>76</v>
      </c>
      <c r="C256" t="s">
        <v>77</v>
      </c>
      <c r="D256">
        <v>1</v>
      </c>
      <c r="E256" t="s">
        <v>96</v>
      </c>
      <c r="F256">
        <v>2036</v>
      </c>
      <c r="G256" t="s">
        <v>78</v>
      </c>
      <c r="H256">
        <v>3094874.0000000033</v>
      </c>
      <c r="I256">
        <v>274883.99999999133</v>
      </c>
    </row>
    <row r="257" spans="1:9" x14ac:dyDescent="0.25">
      <c r="A257" t="s">
        <v>1</v>
      </c>
      <c r="B257" t="s">
        <v>76</v>
      </c>
      <c r="C257" t="s">
        <v>77</v>
      </c>
      <c r="D257">
        <v>1</v>
      </c>
      <c r="E257" t="s">
        <v>96</v>
      </c>
      <c r="F257">
        <v>2037</v>
      </c>
      <c r="G257" t="s">
        <v>78</v>
      </c>
      <c r="H257">
        <v>2920514.9999999991</v>
      </c>
      <c r="I257">
        <v>269936.00000001112</v>
      </c>
    </row>
    <row r="258" spans="1:9" x14ac:dyDescent="0.25">
      <c r="A258" t="s">
        <v>1</v>
      </c>
      <c r="B258" t="s">
        <v>76</v>
      </c>
      <c r="C258" t="s">
        <v>77</v>
      </c>
      <c r="D258">
        <v>1</v>
      </c>
      <c r="E258" t="s">
        <v>96</v>
      </c>
      <c r="F258">
        <v>2038</v>
      </c>
      <c r="G258" t="s">
        <v>78</v>
      </c>
      <c r="H258">
        <v>2746156.0000000009</v>
      </c>
      <c r="I258">
        <v>265076.99999998545</v>
      </c>
    </row>
    <row r="259" spans="1:9" x14ac:dyDescent="0.25">
      <c r="A259" t="s">
        <v>1</v>
      </c>
      <c r="B259" t="s">
        <v>76</v>
      </c>
      <c r="C259" t="s">
        <v>77</v>
      </c>
      <c r="D259">
        <v>1</v>
      </c>
      <c r="E259" t="s">
        <v>96</v>
      </c>
      <c r="F259">
        <v>2039</v>
      </c>
      <c r="G259" t="s">
        <v>78</v>
      </c>
      <c r="H259">
        <v>2571796</v>
      </c>
      <c r="I259">
        <v>260306.00000000023</v>
      </c>
    </row>
    <row r="260" spans="1:9" x14ac:dyDescent="0.25">
      <c r="A260" t="s">
        <v>1</v>
      </c>
      <c r="B260" t="s">
        <v>76</v>
      </c>
      <c r="C260" t="s">
        <v>77</v>
      </c>
      <c r="D260">
        <v>1</v>
      </c>
      <c r="E260" t="s">
        <v>96</v>
      </c>
      <c r="F260">
        <v>2040</v>
      </c>
      <c r="G260" t="s">
        <v>78</v>
      </c>
      <c r="H260">
        <v>2397437.0000000033</v>
      </c>
      <c r="I260">
        <v>255619.99999999665</v>
      </c>
    </row>
    <row r="261" spans="1:9" x14ac:dyDescent="0.25">
      <c r="A261" t="s">
        <v>1</v>
      </c>
      <c r="B261" t="s">
        <v>76</v>
      </c>
      <c r="C261" t="s">
        <v>77</v>
      </c>
      <c r="D261">
        <v>1</v>
      </c>
      <c r="E261" t="s">
        <v>96</v>
      </c>
      <c r="F261">
        <v>2041</v>
      </c>
      <c r="G261" t="s">
        <v>78</v>
      </c>
      <c r="H261">
        <v>2223077.9999999963</v>
      </c>
      <c r="I261">
        <v>251019.00000000795</v>
      </c>
    </row>
    <row r="262" spans="1:9" x14ac:dyDescent="0.25">
      <c r="A262" t="s">
        <v>1</v>
      </c>
      <c r="B262" t="s">
        <v>76</v>
      </c>
      <c r="C262" t="s">
        <v>77</v>
      </c>
      <c r="D262">
        <v>1</v>
      </c>
      <c r="E262" t="s">
        <v>96</v>
      </c>
      <c r="F262">
        <v>2042</v>
      </c>
      <c r="G262" t="s">
        <v>78</v>
      </c>
      <c r="H262">
        <v>2048719.0000000072</v>
      </c>
      <c r="I262">
        <v>246500.99999999054</v>
      </c>
    </row>
    <row r="263" spans="1:9" x14ac:dyDescent="0.25">
      <c r="A263" t="s">
        <v>1</v>
      </c>
      <c r="B263" t="s">
        <v>76</v>
      </c>
      <c r="C263" t="s">
        <v>77</v>
      </c>
      <c r="D263">
        <v>1</v>
      </c>
      <c r="E263" t="s">
        <v>96</v>
      </c>
      <c r="F263">
        <v>2043</v>
      </c>
      <c r="G263" t="s">
        <v>78</v>
      </c>
      <c r="H263">
        <v>1874360.0000000116</v>
      </c>
      <c r="I263">
        <v>240092.00000000087</v>
      </c>
    </row>
    <row r="264" spans="1:9" x14ac:dyDescent="0.25">
      <c r="A264" t="s">
        <v>1</v>
      </c>
      <c r="B264" t="s">
        <v>76</v>
      </c>
      <c r="C264" t="s">
        <v>77</v>
      </c>
      <c r="D264">
        <v>1</v>
      </c>
      <c r="E264" t="s">
        <v>96</v>
      </c>
      <c r="F264">
        <v>2044</v>
      </c>
      <c r="G264" t="s">
        <v>78</v>
      </c>
      <c r="H264">
        <v>1700000.9999999946</v>
      </c>
      <c r="I264">
        <v>233849.00000000853</v>
      </c>
    </row>
    <row r="265" spans="1:9" x14ac:dyDescent="0.25">
      <c r="A265" t="s">
        <v>1</v>
      </c>
      <c r="B265" t="s">
        <v>76</v>
      </c>
      <c r="C265" t="s">
        <v>77</v>
      </c>
      <c r="D265">
        <v>1</v>
      </c>
      <c r="E265" t="s">
        <v>96</v>
      </c>
      <c r="F265">
        <v>2045</v>
      </c>
      <c r="G265" t="s">
        <v>78</v>
      </c>
      <c r="H265">
        <v>1525641.9999999991</v>
      </c>
      <c r="I265">
        <v>227768.99999999302</v>
      </c>
    </row>
    <row r="266" spans="1:9" x14ac:dyDescent="0.25">
      <c r="A266" t="s">
        <v>1</v>
      </c>
      <c r="B266" t="s">
        <v>76</v>
      </c>
      <c r="C266" t="s">
        <v>77</v>
      </c>
      <c r="D266">
        <v>1</v>
      </c>
      <c r="E266" t="s">
        <v>96</v>
      </c>
      <c r="F266">
        <v>2046</v>
      </c>
      <c r="G266" t="s">
        <v>78</v>
      </c>
      <c r="H266">
        <v>1351282.9999999888</v>
      </c>
      <c r="I266">
        <v>221847.00000000524</v>
      </c>
    </row>
    <row r="267" spans="1:9" x14ac:dyDescent="0.25">
      <c r="A267" t="s">
        <v>1</v>
      </c>
      <c r="B267" t="s">
        <v>76</v>
      </c>
      <c r="C267" t="s">
        <v>77</v>
      </c>
      <c r="D267">
        <v>1</v>
      </c>
      <c r="E267" t="s">
        <v>96</v>
      </c>
      <c r="F267">
        <v>2047</v>
      </c>
      <c r="G267" t="s">
        <v>78</v>
      </c>
      <c r="H267">
        <v>1176923.9999999907</v>
      </c>
      <c r="I267">
        <v>216079.00000000474</v>
      </c>
    </row>
    <row r="268" spans="1:9" x14ac:dyDescent="0.25">
      <c r="A268" t="s">
        <v>1</v>
      </c>
      <c r="B268" t="s">
        <v>76</v>
      </c>
      <c r="C268" t="s">
        <v>77</v>
      </c>
      <c r="D268">
        <v>1</v>
      </c>
      <c r="E268" t="s">
        <v>96</v>
      </c>
      <c r="F268">
        <v>2048</v>
      </c>
      <c r="G268" t="s">
        <v>78</v>
      </c>
      <c r="H268">
        <v>1002565.0000000056</v>
      </c>
      <c r="I268">
        <v>210461.00000000378</v>
      </c>
    </row>
    <row r="269" spans="1:9" x14ac:dyDescent="0.25">
      <c r="A269" t="s">
        <v>1</v>
      </c>
      <c r="B269" t="s">
        <v>76</v>
      </c>
      <c r="C269" t="s">
        <v>77</v>
      </c>
      <c r="D269">
        <v>1</v>
      </c>
      <c r="E269" t="s">
        <v>96</v>
      </c>
      <c r="F269">
        <v>2049</v>
      </c>
      <c r="G269" t="s">
        <v>78</v>
      </c>
      <c r="H269">
        <v>828206.00000000407</v>
      </c>
      <c r="I269">
        <v>204989.0000000071</v>
      </c>
    </row>
    <row r="270" spans="1:9" x14ac:dyDescent="0.25">
      <c r="A270" t="s">
        <v>1</v>
      </c>
      <c r="B270" t="s">
        <v>76</v>
      </c>
      <c r="C270" t="s">
        <v>77</v>
      </c>
      <c r="D270">
        <v>1</v>
      </c>
      <c r="E270" t="s">
        <v>96</v>
      </c>
      <c r="F270">
        <v>2050</v>
      </c>
      <c r="G270" t="s">
        <v>78</v>
      </c>
      <c r="H270">
        <v>653846.99999999988</v>
      </c>
      <c r="I270">
        <v>199659.00000000396</v>
      </c>
    </row>
    <row r="271" spans="1:9" x14ac:dyDescent="0.25">
      <c r="A271" t="s">
        <v>1</v>
      </c>
      <c r="B271" t="s">
        <v>76</v>
      </c>
      <c r="C271" t="s">
        <v>77</v>
      </c>
      <c r="D271">
        <v>1</v>
      </c>
      <c r="E271" t="s">
        <v>96</v>
      </c>
      <c r="F271">
        <v>2051</v>
      </c>
      <c r="G271" t="s">
        <v>78</v>
      </c>
      <c r="H271">
        <v>653847.00000000757</v>
      </c>
      <c r="I271">
        <v>199658.99999999662</v>
      </c>
    </row>
    <row r="272" spans="1:9" x14ac:dyDescent="0.25">
      <c r="A272" t="s">
        <v>1</v>
      </c>
      <c r="B272" t="s">
        <v>76</v>
      </c>
      <c r="C272" t="s">
        <v>77</v>
      </c>
      <c r="D272">
        <v>1</v>
      </c>
      <c r="E272" t="s">
        <v>97</v>
      </c>
      <c r="F272">
        <v>2022</v>
      </c>
      <c r="G272" t="s">
        <v>78</v>
      </c>
      <c r="H272">
        <v>6206799.221407895</v>
      </c>
      <c r="I272">
        <v>589557.55912399816</v>
      </c>
    </row>
    <row r="273" spans="1:9" x14ac:dyDescent="0.25">
      <c r="A273" t="s">
        <v>1</v>
      </c>
      <c r="B273" t="s">
        <v>76</v>
      </c>
      <c r="C273" t="s">
        <v>77</v>
      </c>
      <c r="D273">
        <v>1</v>
      </c>
      <c r="E273" t="s">
        <v>97</v>
      </c>
      <c r="F273">
        <v>2023</v>
      </c>
      <c r="G273" t="s">
        <v>78</v>
      </c>
      <c r="H273">
        <v>6045849.0238899784</v>
      </c>
      <c r="I273">
        <v>509447.99999999523</v>
      </c>
    </row>
    <row r="274" spans="1:9" x14ac:dyDescent="0.25">
      <c r="A274" t="s">
        <v>1</v>
      </c>
      <c r="B274" t="s">
        <v>76</v>
      </c>
      <c r="C274" t="s">
        <v>77</v>
      </c>
      <c r="D274">
        <v>1</v>
      </c>
      <c r="E274" t="s">
        <v>97</v>
      </c>
      <c r="F274">
        <v>2024</v>
      </c>
      <c r="G274" t="s">
        <v>78</v>
      </c>
      <c r="H274">
        <v>6035507.000000014</v>
      </c>
      <c r="I274">
        <v>473786.99999999872</v>
      </c>
    </row>
    <row r="275" spans="1:9" x14ac:dyDescent="0.25">
      <c r="A275" t="s">
        <v>1</v>
      </c>
      <c r="B275" t="s">
        <v>76</v>
      </c>
      <c r="C275" t="s">
        <v>77</v>
      </c>
      <c r="D275">
        <v>1</v>
      </c>
      <c r="E275" t="s">
        <v>97</v>
      </c>
      <c r="F275">
        <v>2025</v>
      </c>
      <c r="G275" t="s">
        <v>78</v>
      </c>
      <c r="H275">
        <v>5784027.0000000028</v>
      </c>
      <c r="I275">
        <v>440622.00000001065</v>
      </c>
    </row>
    <row r="276" spans="1:9" x14ac:dyDescent="0.25">
      <c r="A276" t="s">
        <v>1</v>
      </c>
      <c r="B276" t="s">
        <v>76</v>
      </c>
      <c r="C276" t="s">
        <v>77</v>
      </c>
      <c r="D276">
        <v>1</v>
      </c>
      <c r="E276" t="s">
        <v>97</v>
      </c>
      <c r="F276">
        <v>2026</v>
      </c>
      <c r="G276" t="s">
        <v>78</v>
      </c>
      <c r="H276">
        <v>5532547.9999999916</v>
      </c>
      <c r="I276">
        <v>409778.0000000117</v>
      </c>
    </row>
    <row r="277" spans="1:9" x14ac:dyDescent="0.25">
      <c r="A277" t="s">
        <v>1</v>
      </c>
      <c r="B277" t="s">
        <v>76</v>
      </c>
      <c r="C277" t="s">
        <v>77</v>
      </c>
      <c r="D277">
        <v>1</v>
      </c>
      <c r="E277" t="s">
        <v>97</v>
      </c>
      <c r="F277">
        <v>2027</v>
      </c>
      <c r="G277" t="s">
        <v>78</v>
      </c>
      <c r="H277">
        <v>5281067.9999999981</v>
      </c>
      <c r="I277">
        <v>381093.99999999988</v>
      </c>
    </row>
    <row r="278" spans="1:9" x14ac:dyDescent="0.25">
      <c r="A278" t="s">
        <v>1</v>
      </c>
      <c r="B278" t="s">
        <v>76</v>
      </c>
      <c r="C278" t="s">
        <v>77</v>
      </c>
      <c r="D278">
        <v>1</v>
      </c>
      <c r="E278" t="s">
        <v>97</v>
      </c>
      <c r="F278">
        <v>2028</v>
      </c>
      <c r="G278" t="s">
        <v>78</v>
      </c>
      <c r="H278">
        <v>5029589.000000013</v>
      </c>
      <c r="I278">
        <v>354416.9999999979</v>
      </c>
    </row>
    <row r="279" spans="1:9" x14ac:dyDescent="0.25">
      <c r="A279" t="s">
        <v>1</v>
      </c>
      <c r="B279" t="s">
        <v>76</v>
      </c>
      <c r="C279" t="s">
        <v>77</v>
      </c>
      <c r="D279">
        <v>1</v>
      </c>
      <c r="E279" t="s">
        <v>97</v>
      </c>
      <c r="F279">
        <v>2029</v>
      </c>
      <c r="G279" t="s">
        <v>78</v>
      </c>
      <c r="H279">
        <v>4778109.0000000075</v>
      </c>
      <c r="I279">
        <v>329607.99999999756</v>
      </c>
    </row>
    <row r="280" spans="1:9" x14ac:dyDescent="0.25">
      <c r="A280" t="s">
        <v>1</v>
      </c>
      <c r="B280" t="s">
        <v>76</v>
      </c>
      <c r="C280" t="s">
        <v>77</v>
      </c>
      <c r="D280">
        <v>1</v>
      </c>
      <c r="E280" t="s">
        <v>97</v>
      </c>
      <c r="F280">
        <v>2030</v>
      </c>
      <c r="G280" t="s">
        <v>78</v>
      </c>
      <c r="H280">
        <v>4526629.9999999972</v>
      </c>
      <c r="I280">
        <v>306535.00000000873</v>
      </c>
    </row>
    <row r="281" spans="1:9" x14ac:dyDescent="0.25">
      <c r="A281" t="s">
        <v>1</v>
      </c>
      <c r="B281" t="s">
        <v>76</v>
      </c>
      <c r="C281" t="s">
        <v>77</v>
      </c>
      <c r="D281">
        <v>1</v>
      </c>
      <c r="E281" t="s">
        <v>97</v>
      </c>
      <c r="F281">
        <v>2031</v>
      </c>
      <c r="G281" t="s">
        <v>78</v>
      </c>
      <c r="H281">
        <v>4275150.9999999842</v>
      </c>
      <c r="I281">
        <v>301017.99999999092</v>
      </c>
    </row>
    <row r="282" spans="1:9" x14ac:dyDescent="0.25">
      <c r="A282" t="s">
        <v>1</v>
      </c>
      <c r="B282" t="s">
        <v>76</v>
      </c>
      <c r="C282" t="s">
        <v>77</v>
      </c>
      <c r="D282">
        <v>1</v>
      </c>
      <c r="E282" t="s">
        <v>97</v>
      </c>
      <c r="F282">
        <v>2032</v>
      </c>
      <c r="G282" t="s">
        <v>78</v>
      </c>
      <c r="H282">
        <v>4023671.0000000116</v>
      </c>
      <c r="I282">
        <v>295598.99999998743</v>
      </c>
    </row>
    <row r="283" spans="1:9" x14ac:dyDescent="0.25">
      <c r="A283" t="s">
        <v>1</v>
      </c>
      <c r="B283" t="s">
        <v>76</v>
      </c>
      <c r="C283" t="s">
        <v>77</v>
      </c>
      <c r="D283">
        <v>1</v>
      </c>
      <c r="E283" t="s">
        <v>97</v>
      </c>
      <c r="F283">
        <v>2033</v>
      </c>
      <c r="G283" t="s">
        <v>78</v>
      </c>
      <c r="H283">
        <v>3772191.9999999991</v>
      </c>
      <c r="I283">
        <v>290278.99999998964</v>
      </c>
    </row>
    <row r="284" spans="1:9" x14ac:dyDescent="0.25">
      <c r="A284" t="s">
        <v>1</v>
      </c>
      <c r="B284" t="s">
        <v>76</v>
      </c>
      <c r="C284" t="s">
        <v>77</v>
      </c>
      <c r="D284">
        <v>1</v>
      </c>
      <c r="E284" t="s">
        <v>97</v>
      </c>
      <c r="F284">
        <v>2034</v>
      </c>
      <c r="G284" t="s">
        <v>78</v>
      </c>
      <c r="H284">
        <v>3520711.9999999916</v>
      </c>
      <c r="I284">
        <v>285054.00000001007</v>
      </c>
    </row>
    <row r="285" spans="1:9" x14ac:dyDescent="0.25">
      <c r="A285" t="s">
        <v>1</v>
      </c>
      <c r="B285" t="s">
        <v>76</v>
      </c>
      <c r="C285" t="s">
        <v>77</v>
      </c>
      <c r="D285">
        <v>1</v>
      </c>
      <c r="E285" t="s">
        <v>97</v>
      </c>
      <c r="F285">
        <v>2035</v>
      </c>
      <c r="G285" t="s">
        <v>78</v>
      </c>
      <c r="H285">
        <v>3269232.9999999898</v>
      </c>
      <c r="I285">
        <v>279923.0000000124</v>
      </c>
    </row>
    <row r="286" spans="1:9" x14ac:dyDescent="0.25">
      <c r="A286" t="s">
        <v>1</v>
      </c>
      <c r="B286" t="s">
        <v>76</v>
      </c>
      <c r="C286" t="s">
        <v>77</v>
      </c>
      <c r="D286">
        <v>1</v>
      </c>
      <c r="E286" t="s">
        <v>97</v>
      </c>
      <c r="F286">
        <v>2036</v>
      </c>
      <c r="G286" t="s">
        <v>78</v>
      </c>
      <c r="H286">
        <v>3094873.9999999986</v>
      </c>
      <c r="I286">
        <v>274883.99999999237</v>
      </c>
    </row>
    <row r="287" spans="1:9" x14ac:dyDescent="0.25">
      <c r="A287" t="s">
        <v>1</v>
      </c>
      <c r="B287" t="s">
        <v>76</v>
      </c>
      <c r="C287" t="s">
        <v>77</v>
      </c>
      <c r="D287">
        <v>1</v>
      </c>
      <c r="E287" t="s">
        <v>97</v>
      </c>
      <c r="F287">
        <v>2037</v>
      </c>
      <c r="G287" t="s">
        <v>78</v>
      </c>
      <c r="H287">
        <v>2920514.9999999893</v>
      </c>
      <c r="I287">
        <v>269936.00000000629</v>
      </c>
    </row>
    <row r="288" spans="1:9" x14ac:dyDescent="0.25">
      <c r="A288" t="s">
        <v>1</v>
      </c>
      <c r="B288" t="s">
        <v>76</v>
      </c>
      <c r="C288" t="s">
        <v>77</v>
      </c>
      <c r="D288">
        <v>1</v>
      </c>
      <c r="E288" t="s">
        <v>97</v>
      </c>
      <c r="F288">
        <v>2038</v>
      </c>
      <c r="G288" t="s">
        <v>78</v>
      </c>
      <c r="H288">
        <v>2746155.999999993</v>
      </c>
      <c r="I288">
        <v>265077.00000000233</v>
      </c>
    </row>
    <row r="289" spans="1:9" x14ac:dyDescent="0.25">
      <c r="A289" t="s">
        <v>1</v>
      </c>
      <c r="B289" t="s">
        <v>76</v>
      </c>
      <c r="C289" t="s">
        <v>77</v>
      </c>
      <c r="D289">
        <v>1</v>
      </c>
      <c r="E289" t="s">
        <v>97</v>
      </c>
      <c r="F289">
        <v>2039</v>
      </c>
      <c r="G289" t="s">
        <v>78</v>
      </c>
      <c r="H289">
        <v>2571795.9999999925</v>
      </c>
      <c r="I289">
        <v>260305.9999999888</v>
      </c>
    </row>
    <row r="290" spans="1:9" x14ac:dyDescent="0.25">
      <c r="A290" t="s">
        <v>1</v>
      </c>
      <c r="B290" t="s">
        <v>76</v>
      </c>
      <c r="C290" t="s">
        <v>77</v>
      </c>
      <c r="D290">
        <v>1</v>
      </c>
      <c r="E290" t="s">
        <v>97</v>
      </c>
      <c r="F290">
        <v>2040</v>
      </c>
      <c r="G290" t="s">
        <v>78</v>
      </c>
      <c r="H290">
        <v>2397436.9999999977</v>
      </c>
      <c r="I290">
        <v>255620.00000000949</v>
      </c>
    </row>
    <row r="291" spans="1:9" x14ac:dyDescent="0.25">
      <c r="A291" t="s">
        <v>1</v>
      </c>
      <c r="B291" t="s">
        <v>76</v>
      </c>
      <c r="C291" t="s">
        <v>77</v>
      </c>
      <c r="D291">
        <v>1</v>
      </c>
      <c r="E291" t="s">
        <v>97</v>
      </c>
      <c r="F291">
        <v>2041</v>
      </c>
      <c r="G291" t="s">
        <v>78</v>
      </c>
      <c r="H291">
        <v>2223077.9999999898</v>
      </c>
      <c r="I291">
        <v>251018.99999999936</v>
      </c>
    </row>
    <row r="292" spans="1:9" x14ac:dyDescent="0.25">
      <c r="A292" t="s">
        <v>1</v>
      </c>
      <c r="B292" t="s">
        <v>76</v>
      </c>
      <c r="C292" t="s">
        <v>77</v>
      </c>
      <c r="D292">
        <v>1</v>
      </c>
      <c r="E292" t="s">
        <v>97</v>
      </c>
      <c r="F292">
        <v>2042</v>
      </c>
      <c r="G292" t="s">
        <v>78</v>
      </c>
      <c r="H292">
        <v>2048718.9999999939</v>
      </c>
      <c r="I292">
        <v>246500.99999999561</v>
      </c>
    </row>
    <row r="293" spans="1:9" x14ac:dyDescent="0.25">
      <c r="A293" t="s">
        <v>1</v>
      </c>
      <c r="B293" t="s">
        <v>76</v>
      </c>
      <c r="C293" t="s">
        <v>77</v>
      </c>
      <c r="D293">
        <v>1</v>
      </c>
      <c r="E293" t="s">
        <v>97</v>
      </c>
      <c r="F293">
        <v>2043</v>
      </c>
      <c r="G293" t="s">
        <v>78</v>
      </c>
      <c r="H293">
        <v>1874359.9999999907</v>
      </c>
      <c r="I293">
        <v>240092.00000000754</v>
      </c>
    </row>
    <row r="294" spans="1:9" x14ac:dyDescent="0.25">
      <c r="A294" t="s">
        <v>1</v>
      </c>
      <c r="B294" t="s">
        <v>76</v>
      </c>
      <c r="C294" t="s">
        <v>77</v>
      </c>
      <c r="D294">
        <v>1</v>
      </c>
      <c r="E294" t="s">
        <v>97</v>
      </c>
      <c r="F294">
        <v>2044</v>
      </c>
      <c r="G294" t="s">
        <v>78</v>
      </c>
      <c r="H294">
        <v>1700000.9999999951</v>
      </c>
      <c r="I294">
        <v>233849.00000000198</v>
      </c>
    </row>
    <row r="295" spans="1:9" x14ac:dyDescent="0.25">
      <c r="A295" t="s">
        <v>1</v>
      </c>
      <c r="B295" t="s">
        <v>76</v>
      </c>
      <c r="C295" t="s">
        <v>77</v>
      </c>
      <c r="D295">
        <v>1</v>
      </c>
      <c r="E295" t="s">
        <v>97</v>
      </c>
      <c r="F295">
        <v>2045</v>
      </c>
      <c r="G295" t="s">
        <v>78</v>
      </c>
      <c r="H295">
        <v>1525641.9999999944</v>
      </c>
      <c r="I295">
        <v>227769.00000000044</v>
      </c>
    </row>
    <row r="296" spans="1:9" x14ac:dyDescent="0.25">
      <c r="A296" t="s">
        <v>1</v>
      </c>
      <c r="B296" t="s">
        <v>76</v>
      </c>
      <c r="C296" t="s">
        <v>77</v>
      </c>
      <c r="D296">
        <v>1</v>
      </c>
      <c r="E296" t="s">
        <v>97</v>
      </c>
      <c r="F296">
        <v>2046</v>
      </c>
      <c r="G296" t="s">
        <v>78</v>
      </c>
      <c r="H296">
        <v>1351282.9999999981</v>
      </c>
      <c r="I296">
        <v>221847.00000000163</v>
      </c>
    </row>
    <row r="297" spans="1:9" x14ac:dyDescent="0.25">
      <c r="A297" t="s">
        <v>1</v>
      </c>
      <c r="B297" t="s">
        <v>76</v>
      </c>
      <c r="C297" t="s">
        <v>77</v>
      </c>
      <c r="D297">
        <v>1</v>
      </c>
      <c r="E297" t="s">
        <v>97</v>
      </c>
      <c r="F297">
        <v>2047</v>
      </c>
      <c r="G297" t="s">
        <v>78</v>
      </c>
      <c r="H297">
        <v>1176923.9999999965</v>
      </c>
      <c r="I297">
        <v>216079.00000000221</v>
      </c>
    </row>
    <row r="298" spans="1:9" x14ac:dyDescent="0.25">
      <c r="A298" t="s">
        <v>1</v>
      </c>
      <c r="B298" t="s">
        <v>76</v>
      </c>
      <c r="C298" t="s">
        <v>77</v>
      </c>
      <c r="D298">
        <v>1</v>
      </c>
      <c r="E298" t="s">
        <v>97</v>
      </c>
      <c r="F298">
        <v>2048</v>
      </c>
      <c r="G298" t="s">
        <v>78</v>
      </c>
      <c r="H298">
        <v>1002565.0000000079</v>
      </c>
      <c r="I298">
        <v>210461.00000000262</v>
      </c>
    </row>
    <row r="299" spans="1:9" x14ac:dyDescent="0.25">
      <c r="A299" t="s">
        <v>1</v>
      </c>
      <c r="B299" t="s">
        <v>76</v>
      </c>
      <c r="C299" t="s">
        <v>77</v>
      </c>
      <c r="D299">
        <v>1</v>
      </c>
      <c r="E299" t="s">
        <v>97</v>
      </c>
      <c r="F299">
        <v>2049</v>
      </c>
      <c r="G299" t="s">
        <v>78</v>
      </c>
      <c r="H299">
        <v>828206.00000000477</v>
      </c>
      <c r="I299">
        <v>204989.00000000471</v>
      </c>
    </row>
    <row r="300" spans="1:9" x14ac:dyDescent="0.25">
      <c r="A300" t="s">
        <v>1</v>
      </c>
      <c r="B300" t="s">
        <v>76</v>
      </c>
      <c r="C300" t="s">
        <v>77</v>
      </c>
      <c r="D300">
        <v>1</v>
      </c>
      <c r="E300" t="s">
        <v>97</v>
      </c>
      <c r="F300">
        <v>2050</v>
      </c>
      <c r="G300" t="s">
        <v>78</v>
      </c>
      <c r="H300">
        <v>653846.99999999919</v>
      </c>
      <c r="I300">
        <v>199658.99999999875</v>
      </c>
    </row>
    <row r="301" spans="1:9" x14ac:dyDescent="0.25">
      <c r="A301" t="s">
        <v>1</v>
      </c>
      <c r="B301" t="s">
        <v>76</v>
      </c>
      <c r="C301" t="s">
        <v>77</v>
      </c>
      <c r="D301">
        <v>1</v>
      </c>
      <c r="E301" t="s">
        <v>97</v>
      </c>
      <c r="F301">
        <v>2051</v>
      </c>
      <c r="G301" t="s">
        <v>78</v>
      </c>
      <c r="H301">
        <v>653847.00000002026</v>
      </c>
      <c r="I301">
        <v>199658.9999999984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182B5-AB26-4295-89B9-0296C3D8293A}">
  <sheetPr>
    <tabColor theme="7"/>
  </sheetPr>
  <dimension ref="A1:K301"/>
  <sheetViews>
    <sheetView workbookViewId="0">
      <selection activeCell="H2" sqref="H2"/>
    </sheetView>
  </sheetViews>
  <sheetFormatPr defaultRowHeight="15" x14ac:dyDescent="0.25"/>
  <cols>
    <col min="8" max="11" width="22.28515625" customWidth="1"/>
  </cols>
  <sheetData>
    <row r="1" spans="1:11" x14ac:dyDescent="0.25">
      <c r="A1" t="s">
        <v>43</v>
      </c>
      <c r="B1" t="s">
        <v>44</v>
      </c>
      <c r="C1" t="s">
        <v>45</v>
      </c>
      <c r="D1" t="s">
        <v>46</v>
      </c>
      <c r="E1" t="s">
        <v>47</v>
      </c>
      <c r="F1" t="s">
        <v>0</v>
      </c>
      <c r="G1" t="s">
        <v>48</v>
      </c>
      <c r="H1" t="s">
        <v>68</v>
      </c>
      <c r="I1" t="s">
        <v>69</v>
      </c>
      <c r="J1" t="s">
        <v>70</v>
      </c>
      <c r="K1" t="s">
        <v>71</v>
      </c>
    </row>
    <row r="2" spans="1:11" x14ac:dyDescent="0.25">
      <c r="A2" t="s">
        <v>1</v>
      </c>
      <c r="B2" t="s">
        <v>59</v>
      </c>
      <c r="C2" t="s">
        <v>60</v>
      </c>
      <c r="D2">
        <v>1</v>
      </c>
      <c r="E2" t="s">
        <v>61</v>
      </c>
      <c r="F2">
        <v>2022</v>
      </c>
      <c r="G2" t="s">
        <v>2</v>
      </c>
      <c r="H2" s="2">
        <v>72149.588998799998</v>
      </c>
      <c r="I2" s="2">
        <v>8611.1450003999998</v>
      </c>
      <c r="J2" s="2">
        <v>35984.105004719997</v>
      </c>
      <c r="K2" s="2">
        <v>1723.2829999200001</v>
      </c>
    </row>
    <row r="3" spans="1:11" x14ac:dyDescent="0.25">
      <c r="A3" t="s">
        <v>1</v>
      </c>
      <c r="B3" t="s">
        <v>59</v>
      </c>
      <c r="C3" t="s">
        <v>60</v>
      </c>
      <c r="D3">
        <v>1</v>
      </c>
      <c r="E3" t="s">
        <v>61</v>
      </c>
      <c r="F3">
        <v>2023</v>
      </c>
      <c r="G3" t="s">
        <v>2</v>
      </c>
      <c r="H3" s="2">
        <v>72843.946000559998</v>
      </c>
      <c r="I3" s="2">
        <v>8787.0930000000008</v>
      </c>
      <c r="J3" s="2">
        <v>35973.658004639998</v>
      </c>
      <c r="K3" s="2">
        <v>1729.1350027200001</v>
      </c>
    </row>
    <row r="4" spans="1:11" x14ac:dyDescent="0.25">
      <c r="A4" t="s">
        <v>1</v>
      </c>
      <c r="B4" t="s">
        <v>59</v>
      </c>
      <c r="C4" t="s">
        <v>60</v>
      </c>
      <c r="D4">
        <v>1</v>
      </c>
      <c r="E4" t="s">
        <v>61</v>
      </c>
      <c r="F4">
        <v>2024</v>
      </c>
      <c r="G4" t="s">
        <v>2</v>
      </c>
      <c r="H4" s="2">
        <v>73526.372999040002</v>
      </c>
      <c r="I4" s="2">
        <v>8909.3880004799994</v>
      </c>
      <c r="J4" s="2">
        <v>35925.22800504</v>
      </c>
      <c r="K4" s="2">
        <v>1725.383988</v>
      </c>
    </row>
    <row r="5" spans="1:11" x14ac:dyDescent="0.25">
      <c r="A5" t="s">
        <v>1</v>
      </c>
      <c r="B5" t="s">
        <v>59</v>
      </c>
      <c r="C5" t="s">
        <v>60</v>
      </c>
      <c r="D5">
        <v>1</v>
      </c>
      <c r="E5" t="s">
        <v>61</v>
      </c>
      <c r="F5">
        <v>2025</v>
      </c>
      <c r="G5" t="s">
        <v>2</v>
      </c>
      <c r="H5" s="2">
        <v>73316.655997919996</v>
      </c>
      <c r="I5" s="2">
        <v>8934.1579992000006</v>
      </c>
      <c r="J5" s="2">
        <v>35478.957004800002</v>
      </c>
      <c r="K5" s="2">
        <v>1703.38399488</v>
      </c>
    </row>
    <row r="6" spans="1:11" x14ac:dyDescent="0.25">
      <c r="A6" t="s">
        <v>1</v>
      </c>
      <c r="B6" t="s">
        <v>59</v>
      </c>
      <c r="C6" t="s">
        <v>60</v>
      </c>
      <c r="D6">
        <v>1</v>
      </c>
      <c r="E6" t="s">
        <v>61</v>
      </c>
      <c r="F6">
        <v>2026</v>
      </c>
      <c r="G6" t="s">
        <v>2</v>
      </c>
      <c r="H6" s="2">
        <v>73627.838999279993</v>
      </c>
      <c r="I6" s="2">
        <v>9014.8259988000009</v>
      </c>
      <c r="J6" s="2">
        <v>35290.278995280001</v>
      </c>
      <c r="K6" s="2">
        <v>1693.9229952000001</v>
      </c>
    </row>
    <row r="7" spans="1:11" x14ac:dyDescent="0.25">
      <c r="A7" t="s">
        <v>1</v>
      </c>
      <c r="B7" t="s">
        <v>59</v>
      </c>
      <c r="C7" t="s">
        <v>60</v>
      </c>
      <c r="D7">
        <v>1</v>
      </c>
      <c r="E7" t="s">
        <v>61</v>
      </c>
      <c r="F7">
        <v>2027</v>
      </c>
      <c r="G7" t="s">
        <v>2</v>
      </c>
      <c r="H7" s="2">
        <v>73955.496002400003</v>
      </c>
      <c r="I7" s="2">
        <v>9093.6290001599991</v>
      </c>
      <c r="J7" s="2">
        <v>35083.971007200002</v>
      </c>
      <c r="K7" s="2">
        <v>1683.0320126399999</v>
      </c>
    </row>
    <row r="8" spans="1:11" x14ac:dyDescent="0.25">
      <c r="A8" t="s">
        <v>1</v>
      </c>
      <c r="B8" t="s">
        <v>59</v>
      </c>
      <c r="C8" t="s">
        <v>60</v>
      </c>
      <c r="D8">
        <v>1</v>
      </c>
      <c r="E8" t="s">
        <v>61</v>
      </c>
      <c r="F8">
        <v>2028</v>
      </c>
      <c r="G8" t="s">
        <v>2</v>
      </c>
      <c r="H8" s="2">
        <v>74713.042998000004</v>
      </c>
      <c r="I8" s="2">
        <v>9227.4420011999991</v>
      </c>
      <c r="J8" s="2">
        <v>35100.370997279999</v>
      </c>
      <c r="K8" s="2">
        <v>1682.16099768</v>
      </c>
    </row>
    <row r="9" spans="1:11" x14ac:dyDescent="0.25">
      <c r="A9" t="s">
        <v>1</v>
      </c>
      <c r="B9" t="s">
        <v>59</v>
      </c>
      <c r="C9" t="s">
        <v>60</v>
      </c>
      <c r="D9">
        <v>1</v>
      </c>
      <c r="E9" t="s">
        <v>61</v>
      </c>
      <c r="F9">
        <v>2029</v>
      </c>
      <c r="G9" t="s">
        <v>2</v>
      </c>
      <c r="H9" s="2">
        <v>74534.793999839996</v>
      </c>
      <c r="I9" s="2">
        <v>9248.0770015199996</v>
      </c>
      <c r="J9" s="2">
        <v>34675.173002639996</v>
      </c>
      <c r="K9" s="2">
        <v>1660.8939875999999</v>
      </c>
    </row>
    <row r="10" spans="1:11" x14ac:dyDescent="0.25">
      <c r="A10" t="s">
        <v>1</v>
      </c>
      <c r="B10" t="s">
        <v>59</v>
      </c>
      <c r="C10" t="s">
        <v>60</v>
      </c>
      <c r="D10">
        <v>1</v>
      </c>
      <c r="E10" t="s">
        <v>61</v>
      </c>
      <c r="F10">
        <v>2030</v>
      </c>
      <c r="G10" t="s">
        <v>2</v>
      </c>
      <c r="H10" s="2">
        <v>74836.679998559994</v>
      </c>
      <c r="I10" s="2">
        <v>9324.3759996000008</v>
      </c>
      <c r="J10" s="2">
        <v>34489.429995359998</v>
      </c>
      <c r="K10" s="2">
        <v>1650.7940095199999</v>
      </c>
    </row>
    <row r="11" spans="1:11" x14ac:dyDescent="0.25">
      <c r="A11" t="s">
        <v>1</v>
      </c>
      <c r="B11" t="s">
        <v>59</v>
      </c>
      <c r="C11" t="s">
        <v>60</v>
      </c>
      <c r="D11">
        <v>1</v>
      </c>
      <c r="E11" t="s">
        <v>61</v>
      </c>
      <c r="F11">
        <v>2031</v>
      </c>
      <c r="G11" t="s">
        <v>2</v>
      </c>
      <c r="H11" s="2">
        <v>75144.683000399993</v>
      </c>
      <c r="I11" s="2">
        <v>9399.6960002399992</v>
      </c>
      <c r="J11" s="2">
        <v>34290.060002639999</v>
      </c>
      <c r="K11" s="2">
        <v>1639.8770102399999</v>
      </c>
    </row>
    <row r="12" spans="1:11" x14ac:dyDescent="0.25">
      <c r="A12" t="s">
        <v>1</v>
      </c>
      <c r="B12" t="s">
        <v>59</v>
      </c>
      <c r="C12" t="s">
        <v>60</v>
      </c>
      <c r="D12">
        <v>1</v>
      </c>
      <c r="E12" t="s">
        <v>61</v>
      </c>
      <c r="F12">
        <v>2032</v>
      </c>
      <c r="G12" t="s">
        <v>2</v>
      </c>
      <c r="H12" s="2">
        <v>75947.421001680006</v>
      </c>
      <c r="I12" s="2">
        <v>9531.2150011199992</v>
      </c>
      <c r="J12" s="2">
        <v>34310.973997200002</v>
      </c>
      <c r="K12" s="2">
        <v>1639.1199931199999</v>
      </c>
    </row>
    <row r="13" spans="1:11" x14ac:dyDescent="0.25">
      <c r="A13" t="s">
        <v>1</v>
      </c>
      <c r="B13" t="s">
        <v>59</v>
      </c>
      <c r="C13" t="s">
        <v>60</v>
      </c>
      <c r="D13">
        <v>1</v>
      </c>
      <c r="E13" t="s">
        <v>61</v>
      </c>
      <c r="F13">
        <v>2033</v>
      </c>
      <c r="G13" t="s">
        <v>2</v>
      </c>
      <c r="H13" s="2">
        <v>75772.903999439994</v>
      </c>
      <c r="I13" s="2">
        <v>9547.05800112</v>
      </c>
      <c r="J13" s="2">
        <v>33894.831000240003</v>
      </c>
      <c r="K13" s="2">
        <v>1618.3710002400001</v>
      </c>
    </row>
    <row r="14" spans="1:11" x14ac:dyDescent="0.25">
      <c r="A14" t="s">
        <v>1</v>
      </c>
      <c r="B14" t="s">
        <v>59</v>
      </c>
      <c r="C14" t="s">
        <v>60</v>
      </c>
      <c r="D14">
        <v>1</v>
      </c>
      <c r="E14" t="s">
        <v>61</v>
      </c>
      <c r="F14">
        <v>2034</v>
      </c>
      <c r="G14" t="s">
        <v>2</v>
      </c>
      <c r="H14" s="2">
        <v>76023.150000719994</v>
      </c>
      <c r="I14" s="2">
        <v>9620.2949980800004</v>
      </c>
      <c r="J14" s="2">
        <v>33698.881005360003</v>
      </c>
      <c r="K14" s="2">
        <v>1607.6659953599999</v>
      </c>
    </row>
    <row r="15" spans="1:11" x14ac:dyDescent="0.25">
      <c r="A15" t="s">
        <v>1</v>
      </c>
      <c r="B15" t="s">
        <v>59</v>
      </c>
      <c r="C15" t="s">
        <v>60</v>
      </c>
      <c r="D15">
        <v>1</v>
      </c>
      <c r="E15" t="s">
        <v>61</v>
      </c>
      <c r="F15">
        <v>2035</v>
      </c>
      <c r="G15" t="s">
        <v>2</v>
      </c>
      <c r="H15" s="2">
        <v>76277.804999999993</v>
      </c>
      <c r="I15" s="2">
        <v>9692.8389991200002</v>
      </c>
      <c r="J15" s="2">
        <v>33504.177000240001</v>
      </c>
      <c r="K15" s="2">
        <v>1597.0499899199999</v>
      </c>
    </row>
    <row r="16" spans="1:11" x14ac:dyDescent="0.25">
      <c r="A16" t="s">
        <v>1</v>
      </c>
      <c r="B16" t="s">
        <v>59</v>
      </c>
      <c r="C16" t="s">
        <v>60</v>
      </c>
      <c r="D16">
        <v>1</v>
      </c>
      <c r="E16" t="s">
        <v>61</v>
      </c>
      <c r="F16">
        <v>2036</v>
      </c>
      <c r="G16" t="s">
        <v>2</v>
      </c>
      <c r="H16" s="2">
        <v>77002.463999040003</v>
      </c>
      <c r="I16" s="2">
        <v>9824.5419988800004</v>
      </c>
      <c r="J16" s="2">
        <v>33524.585997119997</v>
      </c>
      <c r="K16" s="2">
        <v>1596.2640026399999</v>
      </c>
    </row>
    <row r="17" spans="1:11" x14ac:dyDescent="0.25">
      <c r="A17" t="s">
        <v>1</v>
      </c>
      <c r="B17" t="s">
        <v>59</v>
      </c>
      <c r="C17" t="s">
        <v>60</v>
      </c>
      <c r="D17">
        <v>1</v>
      </c>
      <c r="E17" t="s">
        <v>61</v>
      </c>
      <c r="F17">
        <v>2037</v>
      </c>
      <c r="G17" t="s">
        <v>2</v>
      </c>
      <c r="H17" s="2">
        <v>76750.537999680004</v>
      </c>
      <c r="I17" s="2">
        <v>9835.6340018400006</v>
      </c>
      <c r="J17" s="2">
        <v>33118.036989840002</v>
      </c>
      <c r="K17" s="2">
        <v>1575.97201488</v>
      </c>
    </row>
    <row r="18" spans="1:11" x14ac:dyDescent="0.25">
      <c r="A18" t="s">
        <v>1</v>
      </c>
      <c r="B18" t="s">
        <v>59</v>
      </c>
      <c r="C18" t="s">
        <v>60</v>
      </c>
      <c r="D18">
        <v>1</v>
      </c>
      <c r="E18" t="s">
        <v>61</v>
      </c>
      <c r="F18">
        <v>2038</v>
      </c>
      <c r="G18" t="s">
        <v>2</v>
      </c>
      <c r="H18" s="2">
        <v>76947.149999760004</v>
      </c>
      <c r="I18" s="2">
        <v>9905.0329989599995</v>
      </c>
      <c r="J18" s="2">
        <v>32926.752004319998</v>
      </c>
      <c r="K18" s="2">
        <v>1565.5060000799999</v>
      </c>
    </row>
    <row r="19" spans="1:11" x14ac:dyDescent="0.25">
      <c r="A19" t="s">
        <v>1</v>
      </c>
      <c r="B19" t="s">
        <v>59</v>
      </c>
      <c r="C19" t="s">
        <v>60</v>
      </c>
      <c r="D19">
        <v>1</v>
      </c>
      <c r="E19" t="s">
        <v>61</v>
      </c>
      <c r="F19">
        <v>2039</v>
      </c>
      <c r="G19" t="s">
        <v>2</v>
      </c>
      <c r="H19" s="2">
        <v>77115.282998879993</v>
      </c>
      <c r="I19" s="2">
        <v>9973.6020000000008</v>
      </c>
      <c r="J19" s="2">
        <v>32736.52898712</v>
      </c>
      <c r="K19" s="2">
        <v>1555.19799792</v>
      </c>
    </row>
    <row r="20" spans="1:11" x14ac:dyDescent="0.25">
      <c r="A20" t="s">
        <v>1</v>
      </c>
      <c r="B20" t="s">
        <v>59</v>
      </c>
      <c r="C20" t="s">
        <v>60</v>
      </c>
      <c r="D20">
        <v>1</v>
      </c>
      <c r="E20" t="s">
        <v>61</v>
      </c>
      <c r="F20">
        <v>2040</v>
      </c>
      <c r="G20" t="s">
        <v>2</v>
      </c>
      <c r="H20" s="2">
        <v>77744.085999839997</v>
      </c>
      <c r="I20" s="2">
        <v>10100.422000320001</v>
      </c>
      <c r="J20" s="2">
        <v>32756.521004639999</v>
      </c>
      <c r="K20" s="2">
        <v>1554.44099304</v>
      </c>
    </row>
    <row r="21" spans="1:11" x14ac:dyDescent="0.25">
      <c r="A21" t="s">
        <v>1</v>
      </c>
      <c r="B21" t="s">
        <v>59</v>
      </c>
      <c r="C21" t="s">
        <v>60</v>
      </c>
      <c r="D21">
        <v>1</v>
      </c>
      <c r="E21" t="s">
        <v>61</v>
      </c>
      <c r="F21">
        <v>2041</v>
      </c>
      <c r="G21" t="s">
        <v>2</v>
      </c>
      <c r="H21" s="2">
        <v>77412.114000479996</v>
      </c>
      <c r="I21" s="2">
        <v>10106.12199888</v>
      </c>
      <c r="J21" s="2">
        <v>32359.322995440001</v>
      </c>
      <c r="K21" s="2">
        <v>1534.60300248</v>
      </c>
    </row>
    <row r="22" spans="1:11" x14ac:dyDescent="0.25">
      <c r="A22" t="s">
        <v>1</v>
      </c>
      <c r="B22" t="s">
        <v>59</v>
      </c>
      <c r="C22" t="s">
        <v>60</v>
      </c>
      <c r="D22">
        <v>1</v>
      </c>
      <c r="E22" t="s">
        <v>61</v>
      </c>
      <c r="F22">
        <v>2042</v>
      </c>
      <c r="G22" t="s">
        <v>2</v>
      </c>
      <c r="H22" s="2">
        <v>77558.552998319996</v>
      </c>
      <c r="I22" s="2">
        <v>10173.43900056</v>
      </c>
      <c r="J22" s="2">
        <v>32172.46100712</v>
      </c>
      <c r="K22" s="2">
        <v>1524.3819998399999</v>
      </c>
    </row>
    <row r="23" spans="1:11" x14ac:dyDescent="0.25">
      <c r="A23" t="s">
        <v>1</v>
      </c>
      <c r="B23" t="s">
        <v>59</v>
      </c>
      <c r="C23" t="s">
        <v>60</v>
      </c>
      <c r="D23">
        <v>1</v>
      </c>
      <c r="E23" t="s">
        <v>61</v>
      </c>
      <c r="F23">
        <v>2043</v>
      </c>
      <c r="G23" t="s">
        <v>2</v>
      </c>
      <c r="H23" s="2">
        <v>77698.281000479998</v>
      </c>
      <c r="I23" s="2">
        <v>10240.41800136</v>
      </c>
      <c r="J23" s="2">
        <v>31986.600004799999</v>
      </c>
      <c r="K23" s="2">
        <v>1514.2520119200001</v>
      </c>
    </row>
    <row r="24" spans="1:11" x14ac:dyDescent="0.25">
      <c r="A24" t="s">
        <v>1</v>
      </c>
      <c r="B24" t="s">
        <v>59</v>
      </c>
      <c r="C24" t="s">
        <v>60</v>
      </c>
      <c r="D24">
        <v>1</v>
      </c>
      <c r="E24" t="s">
        <v>61</v>
      </c>
      <c r="F24">
        <v>2044</v>
      </c>
      <c r="G24" t="s">
        <v>2</v>
      </c>
      <c r="H24" s="2">
        <v>78331.687999679998</v>
      </c>
      <c r="I24" s="2">
        <v>10369.63100232</v>
      </c>
      <c r="J24" s="2">
        <v>32006.17399272</v>
      </c>
      <c r="K24" s="2">
        <v>1513.49900232</v>
      </c>
    </row>
    <row r="25" spans="1:11" x14ac:dyDescent="0.25">
      <c r="A25" t="s">
        <v>1</v>
      </c>
      <c r="B25" t="s">
        <v>59</v>
      </c>
      <c r="C25" t="s">
        <v>60</v>
      </c>
      <c r="D25">
        <v>1</v>
      </c>
      <c r="E25" t="s">
        <v>61</v>
      </c>
      <c r="F25">
        <v>2045</v>
      </c>
      <c r="G25" t="s">
        <v>2</v>
      </c>
      <c r="H25" s="2">
        <v>77987.091998639997</v>
      </c>
      <c r="I25" s="2">
        <v>10372.3319976</v>
      </c>
      <c r="J25" s="2">
        <v>31618.269995039998</v>
      </c>
      <c r="K25" s="2">
        <v>1494.17598576</v>
      </c>
    </row>
    <row r="26" spans="1:11" x14ac:dyDescent="0.25">
      <c r="A26" t="s">
        <v>1</v>
      </c>
      <c r="B26" t="s">
        <v>59</v>
      </c>
      <c r="C26" t="s">
        <v>60</v>
      </c>
      <c r="D26">
        <v>1</v>
      </c>
      <c r="E26" t="s">
        <v>61</v>
      </c>
      <c r="F26">
        <v>2046</v>
      </c>
      <c r="G26" t="s">
        <v>2</v>
      </c>
      <c r="H26" s="2">
        <v>78124.190996639998</v>
      </c>
      <c r="I26" s="2">
        <v>10437.81599856</v>
      </c>
      <c r="J26" s="2">
        <v>31435.61999472</v>
      </c>
      <c r="K26" s="2">
        <v>1484.2290050399999</v>
      </c>
    </row>
    <row r="27" spans="1:11" x14ac:dyDescent="0.25">
      <c r="A27" t="s">
        <v>1</v>
      </c>
      <c r="B27" t="s">
        <v>59</v>
      </c>
      <c r="C27" t="s">
        <v>60</v>
      </c>
      <c r="D27">
        <v>1</v>
      </c>
      <c r="E27" t="s">
        <v>61</v>
      </c>
      <c r="F27">
        <v>2047</v>
      </c>
      <c r="G27" t="s">
        <v>2</v>
      </c>
      <c r="H27" s="2">
        <v>78254.411001600005</v>
      </c>
      <c r="I27" s="2">
        <v>10502.028998399999</v>
      </c>
      <c r="J27" s="2">
        <v>31254.090012000001</v>
      </c>
      <c r="K27" s="2">
        <v>1474.3079978400001</v>
      </c>
    </row>
    <row r="28" spans="1:11" x14ac:dyDescent="0.25">
      <c r="A28" t="s">
        <v>1</v>
      </c>
      <c r="B28" t="s">
        <v>59</v>
      </c>
      <c r="C28" t="s">
        <v>60</v>
      </c>
      <c r="D28">
        <v>1</v>
      </c>
      <c r="E28" t="s">
        <v>61</v>
      </c>
      <c r="F28">
        <v>2048</v>
      </c>
      <c r="G28" t="s">
        <v>2</v>
      </c>
      <c r="H28" s="2">
        <v>78881.887000079994</v>
      </c>
      <c r="I28" s="2">
        <v>10630.56599952</v>
      </c>
      <c r="J28" s="2">
        <v>31273.208999999999</v>
      </c>
      <c r="K28" s="2">
        <v>1473.5619979200001</v>
      </c>
    </row>
    <row r="29" spans="1:11" x14ac:dyDescent="0.25">
      <c r="A29" t="s">
        <v>1</v>
      </c>
      <c r="B29" t="s">
        <v>59</v>
      </c>
      <c r="C29" t="s">
        <v>60</v>
      </c>
      <c r="D29">
        <v>1</v>
      </c>
      <c r="E29" t="s">
        <v>61</v>
      </c>
      <c r="F29">
        <v>2049</v>
      </c>
      <c r="G29" t="s">
        <v>2</v>
      </c>
      <c r="H29" s="2">
        <v>78528.460999200004</v>
      </c>
      <c r="I29" s="2">
        <v>10628.871000720001</v>
      </c>
      <c r="J29" s="2">
        <v>30891.130990559999</v>
      </c>
      <c r="K29" s="2">
        <v>1454.63699544</v>
      </c>
    </row>
    <row r="30" spans="1:11" x14ac:dyDescent="0.25">
      <c r="A30" t="s">
        <v>1</v>
      </c>
      <c r="B30" t="s">
        <v>59</v>
      </c>
      <c r="C30" t="s">
        <v>60</v>
      </c>
      <c r="D30">
        <v>1</v>
      </c>
      <c r="E30" t="s">
        <v>61</v>
      </c>
      <c r="F30">
        <v>2050</v>
      </c>
      <c r="G30" t="s">
        <v>2</v>
      </c>
      <c r="H30" s="2">
        <v>78654.24100224</v>
      </c>
      <c r="I30" s="2">
        <v>10692.04500072</v>
      </c>
      <c r="J30" s="2">
        <v>30712.78400688</v>
      </c>
      <c r="K30" s="2">
        <v>1444.9349976000001</v>
      </c>
    </row>
    <row r="31" spans="1:11" x14ac:dyDescent="0.25">
      <c r="A31" t="s">
        <v>1</v>
      </c>
      <c r="B31" t="s">
        <v>59</v>
      </c>
      <c r="C31" t="s">
        <v>60</v>
      </c>
      <c r="D31">
        <v>1</v>
      </c>
      <c r="E31" t="s">
        <v>61</v>
      </c>
      <c r="F31">
        <v>2051</v>
      </c>
      <c r="G31" t="s">
        <v>2</v>
      </c>
      <c r="H31" s="2">
        <v>78654.24100224</v>
      </c>
      <c r="I31" s="2">
        <v>10692.04500072</v>
      </c>
      <c r="J31" s="2">
        <v>30712.78400688</v>
      </c>
      <c r="K31" s="2">
        <v>1444.9349976000001</v>
      </c>
    </row>
    <row r="32" spans="1:11" x14ac:dyDescent="0.25">
      <c r="A32" t="s">
        <v>1</v>
      </c>
      <c r="B32" t="s">
        <v>59</v>
      </c>
      <c r="C32" t="s">
        <v>60</v>
      </c>
      <c r="D32">
        <v>1</v>
      </c>
      <c r="E32" t="s">
        <v>62</v>
      </c>
      <c r="F32">
        <v>2022</v>
      </c>
      <c r="G32" t="s">
        <v>2</v>
      </c>
      <c r="H32">
        <v>72042.331998239955</v>
      </c>
      <c r="I32">
        <v>8589.9869995200006</v>
      </c>
      <c r="J32">
        <v>35984.105004720055</v>
      </c>
      <c r="K32">
        <v>1723.282999919988</v>
      </c>
    </row>
    <row r="33" spans="1:11" x14ac:dyDescent="0.25">
      <c r="A33" t="s">
        <v>1</v>
      </c>
      <c r="B33" t="s">
        <v>59</v>
      </c>
      <c r="C33" t="s">
        <v>60</v>
      </c>
      <c r="D33">
        <v>1</v>
      </c>
      <c r="E33" t="s">
        <v>62</v>
      </c>
      <c r="F33">
        <v>2023</v>
      </c>
      <c r="G33" t="s">
        <v>2</v>
      </c>
      <c r="H33">
        <v>72476.863998960063</v>
      </c>
      <c r="I33">
        <v>8714.1079987200028</v>
      </c>
      <c r="J33">
        <v>35973.658004640107</v>
      </c>
      <c r="K33">
        <v>1729.1350027199983</v>
      </c>
    </row>
    <row r="34" spans="1:11" x14ac:dyDescent="0.25">
      <c r="A34" t="s">
        <v>1</v>
      </c>
      <c r="B34" t="s">
        <v>59</v>
      </c>
      <c r="C34" t="s">
        <v>60</v>
      </c>
      <c r="D34">
        <v>1</v>
      </c>
      <c r="E34" t="s">
        <v>62</v>
      </c>
      <c r="F34">
        <v>2024</v>
      </c>
      <c r="G34" t="s">
        <v>2</v>
      </c>
      <c r="H34">
        <v>72845.951003519935</v>
      </c>
      <c r="I34">
        <v>8772.8999961600039</v>
      </c>
      <c r="J34">
        <v>35925.228005039986</v>
      </c>
      <c r="K34">
        <v>1725.3839880000032</v>
      </c>
    </row>
    <row r="35" spans="1:11" x14ac:dyDescent="0.25">
      <c r="A35" t="s">
        <v>1</v>
      </c>
      <c r="B35" t="s">
        <v>59</v>
      </c>
      <c r="C35" t="s">
        <v>60</v>
      </c>
      <c r="D35">
        <v>1</v>
      </c>
      <c r="E35" t="s">
        <v>62</v>
      </c>
      <c r="F35">
        <v>2025</v>
      </c>
      <c r="G35" t="s">
        <v>2</v>
      </c>
      <c r="H35">
        <v>72117.033998879968</v>
      </c>
      <c r="I35">
        <v>8706.5410020000072</v>
      </c>
      <c r="J35">
        <v>35326.384005119973</v>
      </c>
      <c r="K35">
        <v>1695.6819904799966</v>
      </c>
    </row>
    <row r="36" spans="1:11" x14ac:dyDescent="0.25">
      <c r="A36" t="s">
        <v>1</v>
      </c>
      <c r="B36" t="s">
        <v>59</v>
      </c>
      <c r="C36" t="s">
        <v>60</v>
      </c>
      <c r="D36">
        <v>1</v>
      </c>
      <c r="E36" t="s">
        <v>62</v>
      </c>
      <c r="F36">
        <v>2026</v>
      </c>
      <c r="G36" t="s">
        <v>2</v>
      </c>
      <c r="H36">
        <v>71601.378000960016</v>
      </c>
      <c r="I36">
        <v>8657.1059997600059</v>
      </c>
      <c r="J36">
        <v>35002.974990239876</v>
      </c>
      <c r="K36">
        <v>1678.3019978399991</v>
      </c>
    </row>
    <row r="37" spans="1:11" x14ac:dyDescent="0.25">
      <c r="A37" t="s">
        <v>1</v>
      </c>
      <c r="B37" t="s">
        <v>59</v>
      </c>
      <c r="C37" t="s">
        <v>60</v>
      </c>
      <c r="D37">
        <v>1</v>
      </c>
      <c r="E37" t="s">
        <v>62</v>
      </c>
      <c r="F37">
        <v>2027</v>
      </c>
      <c r="G37" t="s">
        <v>2</v>
      </c>
      <c r="H37">
        <v>71068.97900135997</v>
      </c>
      <c r="I37">
        <v>8601.4620019200047</v>
      </c>
      <c r="J37">
        <v>34669.870999919956</v>
      </c>
      <c r="K37">
        <v>1659.6489902399933</v>
      </c>
    </row>
    <row r="38" spans="1:11" x14ac:dyDescent="0.25">
      <c r="A38" t="s">
        <v>1</v>
      </c>
      <c r="B38" t="s">
        <v>59</v>
      </c>
      <c r="C38" t="s">
        <v>60</v>
      </c>
      <c r="D38">
        <v>1</v>
      </c>
      <c r="E38" t="s">
        <v>62</v>
      </c>
      <c r="F38">
        <v>2028</v>
      </c>
      <c r="G38" t="s">
        <v>2</v>
      </c>
      <c r="H38">
        <v>70932.747001439988</v>
      </c>
      <c r="I38">
        <v>8595.5389994399957</v>
      </c>
      <c r="J38">
        <v>34558.123004880021</v>
      </c>
      <c r="K38">
        <v>1650.4980050400047</v>
      </c>
    </row>
    <row r="39" spans="1:11" x14ac:dyDescent="0.25">
      <c r="A39" t="s">
        <v>1</v>
      </c>
      <c r="B39" t="s">
        <v>59</v>
      </c>
      <c r="C39" t="s">
        <v>60</v>
      </c>
      <c r="D39">
        <v>1</v>
      </c>
      <c r="E39" t="s">
        <v>62</v>
      </c>
      <c r="F39">
        <v>2029</v>
      </c>
      <c r="G39" t="s">
        <v>2</v>
      </c>
      <c r="H39">
        <v>69876.226002000025</v>
      </c>
      <c r="I39">
        <v>8475.7970001599988</v>
      </c>
      <c r="J39">
        <v>34005.209997839942</v>
      </c>
      <c r="K39">
        <v>1621.2860078399981</v>
      </c>
    </row>
    <row r="40" spans="1:11" x14ac:dyDescent="0.25">
      <c r="A40" t="s">
        <v>1</v>
      </c>
      <c r="B40" t="s">
        <v>59</v>
      </c>
      <c r="C40" t="s">
        <v>60</v>
      </c>
      <c r="D40">
        <v>1</v>
      </c>
      <c r="E40" t="s">
        <v>62</v>
      </c>
      <c r="F40">
        <v>2030</v>
      </c>
      <c r="G40" t="s">
        <v>2</v>
      </c>
      <c r="H40">
        <v>69261.331998959926</v>
      </c>
      <c r="I40">
        <v>8408.6909995200003</v>
      </c>
      <c r="J40">
        <v>33682.041994799933</v>
      </c>
      <c r="K40">
        <v>1602.9339952800017</v>
      </c>
    </row>
    <row r="41" spans="1:11" x14ac:dyDescent="0.25">
      <c r="A41" t="s">
        <v>1</v>
      </c>
      <c r="B41" t="s">
        <v>59</v>
      </c>
      <c r="C41" t="s">
        <v>60</v>
      </c>
      <c r="D41">
        <v>1</v>
      </c>
      <c r="E41" t="s">
        <v>62</v>
      </c>
      <c r="F41">
        <v>2031</v>
      </c>
      <c r="G41" t="s">
        <v>2</v>
      </c>
      <c r="H41">
        <v>68642.443001519991</v>
      </c>
      <c r="I41">
        <v>8340.9189979200019</v>
      </c>
      <c r="J41">
        <v>33339.305990159977</v>
      </c>
      <c r="K41">
        <v>1583.9490052799931</v>
      </c>
    </row>
    <row r="42" spans="1:11" x14ac:dyDescent="0.25">
      <c r="A42" t="s">
        <v>1</v>
      </c>
      <c r="B42" t="s">
        <v>59</v>
      </c>
      <c r="C42" t="s">
        <v>60</v>
      </c>
      <c r="D42">
        <v>1</v>
      </c>
      <c r="E42" t="s">
        <v>62</v>
      </c>
      <c r="F42">
        <v>2032</v>
      </c>
      <c r="G42" t="s">
        <v>2</v>
      </c>
      <c r="H42">
        <v>68485.136001599996</v>
      </c>
      <c r="I42">
        <v>8327.5280001600022</v>
      </c>
      <c r="J42">
        <v>33217.422009599817</v>
      </c>
      <c r="K42">
        <v>1574.8200021600012</v>
      </c>
    </row>
    <row r="43" spans="1:11" x14ac:dyDescent="0.25">
      <c r="A43" t="s">
        <v>1</v>
      </c>
      <c r="B43" t="s">
        <v>59</v>
      </c>
      <c r="C43" t="s">
        <v>60</v>
      </c>
      <c r="D43">
        <v>1</v>
      </c>
      <c r="E43" t="s">
        <v>62</v>
      </c>
      <c r="F43">
        <v>2033</v>
      </c>
      <c r="G43" t="s">
        <v>2</v>
      </c>
      <c r="H43">
        <v>67392.487998959987</v>
      </c>
      <c r="I43">
        <v>8205.7380014400005</v>
      </c>
      <c r="J43">
        <v>32675.977999919771</v>
      </c>
      <c r="K43">
        <v>1546.5240024000038</v>
      </c>
    </row>
    <row r="44" spans="1:11" x14ac:dyDescent="0.25">
      <c r="A44" t="s">
        <v>1</v>
      </c>
      <c r="B44" t="s">
        <v>59</v>
      </c>
      <c r="C44" t="s">
        <v>60</v>
      </c>
      <c r="D44">
        <v>1</v>
      </c>
      <c r="E44" t="s">
        <v>62</v>
      </c>
      <c r="F44">
        <v>2034</v>
      </c>
      <c r="G44" t="s">
        <v>2</v>
      </c>
      <c r="H44">
        <v>66759.92999831996</v>
      </c>
      <c r="I44">
        <v>8145.8970016800095</v>
      </c>
      <c r="J44">
        <v>32360.837014320092</v>
      </c>
      <c r="K44">
        <v>1528.1739832799967</v>
      </c>
    </row>
    <row r="45" spans="1:11" x14ac:dyDescent="0.25">
      <c r="A45" t="s">
        <v>1</v>
      </c>
      <c r="B45" t="s">
        <v>59</v>
      </c>
      <c r="C45" t="s">
        <v>60</v>
      </c>
      <c r="D45">
        <v>1</v>
      </c>
      <c r="E45" t="s">
        <v>62</v>
      </c>
      <c r="F45">
        <v>2035</v>
      </c>
      <c r="G45" t="s">
        <v>2</v>
      </c>
      <c r="H45">
        <v>66195.817000560011</v>
      </c>
      <c r="I45">
        <v>8092.2550034399965</v>
      </c>
      <c r="J45">
        <v>32058.722002559898</v>
      </c>
      <c r="K45">
        <v>1510.341004800001</v>
      </c>
    </row>
    <row r="46" spans="1:11" x14ac:dyDescent="0.25">
      <c r="A46" t="s">
        <v>1</v>
      </c>
      <c r="B46" t="s">
        <v>59</v>
      </c>
      <c r="C46" t="s">
        <v>60</v>
      </c>
      <c r="D46">
        <v>1</v>
      </c>
      <c r="E46" t="s">
        <v>62</v>
      </c>
      <c r="F46">
        <v>2036</v>
      </c>
      <c r="G46" t="s">
        <v>2</v>
      </c>
      <c r="H46">
        <v>66049.442999040111</v>
      </c>
      <c r="I46">
        <v>8092.0660005599966</v>
      </c>
      <c r="J46">
        <v>31990.584999840139</v>
      </c>
      <c r="K46">
        <v>1502.1830023199996</v>
      </c>
    </row>
    <row r="47" spans="1:11" x14ac:dyDescent="0.25">
      <c r="A47" t="s">
        <v>1</v>
      </c>
      <c r="B47" t="s">
        <v>59</v>
      </c>
      <c r="C47" t="s">
        <v>60</v>
      </c>
      <c r="D47">
        <v>1</v>
      </c>
      <c r="E47" t="s">
        <v>62</v>
      </c>
      <c r="F47">
        <v>2037</v>
      </c>
      <c r="G47" t="s">
        <v>2</v>
      </c>
      <c r="H47">
        <v>64973.080000320035</v>
      </c>
      <c r="I47">
        <v>7984.0200009599948</v>
      </c>
      <c r="J47">
        <v>31527.913007519841</v>
      </c>
      <c r="K47">
        <v>1475.8870000800011</v>
      </c>
    </row>
    <row r="48" spans="1:11" x14ac:dyDescent="0.25">
      <c r="A48" t="s">
        <v>1</v>
      </c>
      <c r="B48" t="s">
        <v>59</v>
      </c>
      <c r="C48" t="s">
        <v>60</v>
      </c>
      <c r="D48">
        <v>1</v>
      </c>
      <c r="E48" t="s">
        <v>62</v>
      </c>
      <c r="F48">
        <v>2038</v>
      </c>
      <c r="G48" t="s">
        <v>2</v>
      </c>
      <c r="H48">
        <v>64337.083001519954</v>
      </c>
      <c r="I48">
        <v>7924.061000880004</v>
      </c>
      <c r="J48">
        <v>31284.56099231997</v>
      </c>
      <c r="K48">
        <v>1459.2669878400009</v>
      </c>
    </row>
    <row r="49" spans="1:11" x14ac:dyDescent="0.25">
      <c r="A49" t="s">
        <v>1</v>
      </c>
      <c r="B49" t="s">
        <v>59</v>
      </c>
      <c r="C49" t="s">
        <v>60</v>
      </c>
      <c r="D49">
        <v>1</v>
      </c>
      <c r="E49" t="s">
        <v>62</v>
      </c>
      <c r="F49">
        <v>2039</v>
      </c>
      <c r="G49" t="s">
        <v>2</v>
      </c>
      <c r="H49">
        <v>63735.47400191996</v>
      </c>
      <c r="I49">
        <v>7861.0090000799919</v>
      </c>
      <c r="J49">
        <v>31046.600988000093</v>
      </c>
      <c r="K49">
        <v>1443.2510028000002</v>
      </c>
    </row>
    <row r="50" spans="1:11" x14ac:dyDescent="0.25">
      <c r="A50" t="s">
        <v>1</v>
      </c>
      <c r="B50" t="s">
        <v>59</v>
      </c>
      <c r="C50" t="s">
        <v>60</v>
      </c>
      <c r="D50">
        <v>1</v>
      </c>
      <c r="E50" t="s">
        <v>62</v>
      </c>
      <c r="F50">
        <v>2040</v>
      </c>
      <c r="G50" t="s">
        <v>2</v>
      </c>
      <c r="H50">
        <v>63488.790000479981</v>
      </c>
      <c r="I50">
        <v>7858.2540004799966</v>
      </c>
      <c r="J50">
        <v>31024.996987679991</v>
      </c>
      <c r="K50">
        <v>1436.4520075199998</v>
      </c>
    </row>
    <row r="51" spans="1:11" x14ac:dyDescent="0.25">
      <c r="A51" t="s">
        <v>1</v>
      </c>
      <c r="B51" t="s">
        <v>59</v>
      </c>
      <c r="C51" t="s">
        <v>60</v>
      </c>
      <c r="D51">
        <v>1</v>
      </c>
      <c r="E51" t="s">
        <v>62</v>
      </c>
      <c r="F51">
        <v>2041</v>
      </c>
      <c r="G51" t="s">
        <v>2</v>
      </c>
      <c r="H51">
        <v>62570.904000239992</v>
      </c>
      <c r="I51">
        <v>7762.586001359995</v>
      </c>
      <c r="J51">
        <v>30608.057994959865</v>
      </c>
      <c r="K51">
        <v>1412.3770077599979</v>
      </c>
    </row>
    <row r="52" spans="1:11" x14ac:dyDescent="0.25">
      <c r="A52" t="s">
        <v>1</v>
      </c>
      <c r="B52" t="s">
        <v>59</v>
      </c>
      <c r="C52" t="s">
        <v>60</v>
      </c>
      <c r="D52">
        <v>1</v>
      </c>
      <c r="E52" t="s">
        <v>62</v>
      </c>
      <c r="F52">
        <v>2042</v>
      </c>
      <c r="G52" t="s">
        <v>2</v>
      </c>
      <c r="H52">
        <v>62140.980001680044</v>
      </c>
      <c r="I52">
        <v>7729.2210012000014</v>
      </c>
      <c r="J52">
        <v>30393.266990399923</v>
      </c>
      <c r="K52">
        <v>1397.4540071999916</v>
      </c>
    </row>
    <row r="53" spans="1:11" x14ac:dyDescent="0.25">
      <c r="A53" t="s">
        <v>1</v>
      </c>
      <c r="B53" t="s">
        <v>59</v>
      </c>
      <c r="C53" t="s">
        <v>60</v>
      </c>
      <c r="D53">
        <v>1</v>
      </c>
      <c r="E53" t="s">
        <v>62</v>
      </c>
      <c r="F53">
        <v>2043</v>
      </c>
      <c r="G53" t="s">
        <v>2</v>
      </c>
      <c r="H53">
        <v>61719.691002479958</v>
      </c>
      <c r="I53">
        <v>7702.1809984800011</v>
      </c>
      <c r="J53">
        <v>30175.873001999975</v>
      </c>
      <c r="K53">
        <v>1382.9870071200066</v>
      </c>
    </row>
    <row r="54" spans="1:11" x14ac:dyDescent="0.25">
      <c r="A54" t="s">
        <v>1</v>
      </c>
      <c r="B54" t="s">
        <v>59</v>
      </c>
      <c r="C54" t="s">
        <v>60</v>
      </c>
      <c r="D54">
        <v>1</v>
      </c>
      <c r="E54" t="s">
        <v>62</v>
      </c>
      <c r="F54">
        <v>2044</v>
      </c>
      <c r="G54" t="s">
        <v>2</v>
      </c>
      <c r="H54">
        <v>61644.494998799957</v>
      </c>
      <c r="I54">
        <v>7726.6280027999992</v>
      </c>
      <c r="J54">
        <v>30165.160004399993</v>
      </c>
      <c r="K54">
        <v>1377.320992799999</v>
      </c>
    </row>
    <row r="55" spans="1:11" x14ac:dyDescent="0.25">
      <c r="A55" t="s">
        <v>1</v>
      </c>
      <c r="B55" t="s">
        <v>59</v>
      </c>
      <c r="C55" t="s">
        <v>60</v>
      </c>
      <c r="D55">
        <v>1</v>
      </c>
      <c r="E55" t="s">
        <v>62</v>
      </c>
      <c r="F55">
        <v>2045</v>
      </c>
      <c r="G55" t="s">
        <v>2</v>
      </c>
      <c r="H55">
        <v>60754.286999280012</v>
      </c>
      <c r="I55">
        <v>7645.7399978400053</v>
      </c>
      <c r="J55">
        <v>29797.334997359842</v>
      </c>
      <c r="K55">
        <v>1357.6340028000027</v>
      </c>
    </row>
    <row r="56" spans="1:11" x14ac:dyDescent="0.25">
      <c r="A56" t="s">
        <v>1</v>
      </c>
      <c r="B56" t="s">
        <v>59</v>
      </c>
      <c r="C56" t="s">
        <v>60</v>
      </c>
      <c r="D56">
        <v>1</v>
      </c>
      <c r="E56" t="s">
        <v>62</v>
      </c>
      <c r="F56">
        <v>2046</v>
      </c>
      <c r="G56" t="s">
        <v>2</v>
      </c>
      <c r="H56">
        <v>60337.576000560017</v>
      </c>
      <c r="I56">
        <v>7608.2730007200016</v>
      </c>
      <c r="J56">
        <v>29623.288002479963</v>
      </c>
      <c r="K56">
        <v>1346.7740145599973</v>
      </c>
    </row>
    <row r="57" spans="1:11" x14ac:dyDescent="0.25">
      <c r="A57" t="s">
        <v>1</v>
      </c>
      <c r="B57" t="s">
        <v>59</v>
      </c>
      <c r="C57" t="s">
        <v>60</v>
      </c>
      <c r="D57">
        <v>1</v>
      </c>
      <c r="E57" t="s">
        <v>62</v>
      </c>
      <c r="F57">
        <v>2047</v>
      </c>
      <c r="G57" t="s">
        <v>2</v>
      </c>
      <c r="H57">
        <v>59923.568000159939</v>
      </c>
      <c r="I57">
        <v>7570.3219992000022</v>
      </c>
      <c r="J57">
        <v>29444.816002080061</v>
      </c>
      <c r="K57">
        <v>1336.0989976799947</v>
      </c>
    </row>
    <row r="58" spans="1:11" x14ac:dyDescent="0.25">
      <c r="A58" t="s">
        <v>1</v>
      </c>
      <c r="B58" t="s">
        <v>59</v>
      </c>
      <c r="C58" t="s">
        <v>60</v>
      </c>
      <c r="D58">
        <v>1</v>
      </c>
      <c r="E58" t="s">
        <v>62</v>
      </c>
      <c r="F58">
        <v>2048</v>
      </c>
      <c r="G58" t="s">
        <v>2</v>
      </c>
      <c r="H58">
        <v>59877.875999760057</v>
      </c>
      <c r="I58">
        <v>7585.9819975199989</v>
      </c>
      <c r="J58">
        <v>29466.991002480037</v>
      </c>
      <c r="K58">
        <v>1334.0079952799954</v>
      </c>
    </row>
    <row r="59" spans="1:11" x14ac:dyDescent="0.25">
      <c r="A59" t="s">
        <v>1</v>
      </c>
      <c r="B59" t="s">
        <v>59</v>
      </c>
      <c r="C59" t="s">
        <v>60</v>
      </c>
      <c r="D59">
        <v>1</v>
      </c>
      <c r="E59" t="s">
        <v>62</v>
      </c>
      <c r="F59">
        <v>2049</v>
      </c>
      <c r="G59" t="s">
        <v>2</v>
      </c>
      <c r="H59">
        <v>59150.823001440025</v>
      </c>
      <c r="I59">
        <v>7510.0399999200008</v>
      </c>
      <c r="J59">
        <v>29105.758002239916</v>
      </c>
      <c r="K59">
        <v>1315.3660046399973</v>
      </c>
    </row>
    <row r="60" spans="1:11" x14ac:dyDescent="0.25">
      <c r="A60" t="s">
        <v>1</v>
      </c>
      <c r="B60" t="s">
        <v>59</v>
      </c>
      <c r="C60" t="s">
        <v>60</v>
      </c>
      <c r="D60">
        <v>1</v>
      </c>
      <c r="E60" t="s">
        <v>62</v>
      </c>
      <c r="F60">
        <v>2050</v>
      </c>
      <c r="G60" t="s">
        <v>2</v>
      </c>
      <c r="H60">
        <v>58860.740998080022</v>
      </c>
      <c r="I60">
        <v>7478.6710000799994</v>
      </c>
      <c r="J60">
        <v>28938.074014320078</v>
      </c>
      <c r="K60">
        <v>1305.2380024799995</v>
      </c>
    </row>
    <row r="61" spans="1:11" x14ac:dyDescent="0.25">
      <c r="A61" t="s">
        <v>1</v>
      </c>
      <c r="B61" t="s">
        <v>59</v>
      </c>
      <c r="C61" t="s">
        <v>60</v>
      </c>
      <c r="D61">
        <v>1</v>
      </c>
      <c r="E61" t="s">
        <v>62</v>
      </c>
      <c r="F61">
        <v>2051</v>
      </c>
      <c r="G61" t="s">
        <v>2</v>
      </c>
      <c r="H61">
        <v>58860.740998080022</v>
      </c>
      <c r="I61">
        <v>7478.6710000799994</v>
      </c>
      <c r="J61">
        <v>28938.074014320078</v>
      </c>
      <c r="K61">
        <v>1305.2380024799995</v>
      </c>
    </row>
    <row r="62" spans="1:11" x14ac:dyDescent="0.25">
      <c r="A62" t="s">
        <v>1</v>
      </c>
      <c r="B62" t="s">
        <v>59</v>
      </c>
      <c r="C62" t="s">
        <v>60</v>
      </c>
      <c r="D62">
        <v>1</v>
      </c>
      <c r="E62" t="s">
        <v>63</v>
      </c>
      <c r="F62">
        <v>2022</v>
      </c>
      <c r="G62" t="s">
        <v>2</v>
      </c>
      <c r="H62">
        <v>72020.836999680047</v>
      </c>
      <c r="I62">
        <v>8587.2560008799992</v>
      </c>
      <c r="J62">
        <v>35984.105004720055</v>
      </c>
      <c r="K62">
        <v>1723.282999919988</v>
      </c>
    </row>
    <row r="63" spans="1:11" x14ac:dyDescent="0.25">
      <c r="A63" t="s">
        <v>1</v>
      </c>
      <c r="B63" t="s">
        <v>59</v>
      </c>
      <c r="C63" t="s">
        <v>60</v>
      </c>
      <c r="D63">
        <v>1</v>
      </c>
      <c r="E63" t="s">
        <v>63</v>
      </c>
      <c r="F63">
        <v>2023</v>
      </c>
      <c r="G63" t="s">
        <v>2</v>
      </c>
      <c r="H63">
        <v>72081.796000319955</v>
      </c>
      <c r="I63">
        <v>8693.0110000799996</v>
      </c>
      <c r="J63">
        <v>35973.658004640107</v>
      </c>
      <c r="K63">
        <v>1729.1350027199983</v>
      </c>
    </row>
    <row r="64" spans="1:11" x14ac:dyDescent="0.25">
      <c r="A64" t="s">
        <v>1</v>
      </c>
      <c r="B64" t="s">
        <v>59</v>
      </c>
      <c r="C64" t="s">
        <v>60</v>
      </c>
      <c r="D64">
        <v>1</v>
      </c>
      <c r="E64" t="s">
        <v>63</v>
      </c>
      <c r="F64">
        <v>2024</v>
      </c>
      <c r="G64" t="s">
        <v>2</v>
      </c>
      <c r="H64">
        <v>72046.870998960017</v>
      </c>
      <c r="I64">
        <v>8731.7969995199965</v>
      </c>
      <c r="J64">
        <v>35925.228005039986</v>
      </c>
      <c r="K64">
        <v>1725.3839880000032</v>
      </c>
    </row>
    <row r="65" spans="1:11" x14ac:dyDescent="0.25">
      <c r="A65" t="s">
        <v>1</v>
      </c>
      <c r="B65" t="s">
        <v>59</v>
      </c>
      <c r="C65" t="s">
        <v>60</v>
      </c>
      <c r="D65">
        <v>1</v>
      </c>
      <c r="E65" t="s">
        <v>63</v>
      </c>
      <c r="F65">
        <v>2025</v>
      </c>
      <c r="G65" t="s">
        <v>2</v>
      </c>
      <c r="H65">
        <v>71050.143998639949</v>
      </c>
      <c r="I65">
        <v>8662.292999999996</v>
      </c>
      <c r="J65">
        <v>35173.779002160067</v>
      </c>
      <c r="K65">
        <v>1687.8849998400019</v>
      </c>
    </row>
    <row r="66" spans="1:11" x14ac:dyDescent="0.25">
      <c r="A66" t="s">
        <v>1</v>
      </c>
      <c r="B66" t="s">
        <v>59</v>
      </c>
      <c r="C66" t="s">
        <v>60</v>
      </c>
      <c r="D66">
        <v>1</v>
      </c>
      <c r="E66" t="s">
        <v>63</v>
      </c>
      <c r="F66">
        <v>2026</v>
      </c>
      <c r="G66" t="s">
        <v>2</v>
      </c>
      <c r="H66">
        <v>70458.165998879966</v>
      </c>
      <c r="I66">
        <v>8634.4319997600014</v>
      </c>
      <c r="J66">
        <v>34715.609994719976</v>
      </c>
      <c r="K66">
        <v>1662.8649854399953</v>
      </c>
    </row>
    <row r="67" spans="1:11" x14ac:dyDescent="0.25">
      <c r="A67" t="s">
        <v>1</v>
      </c>
      <c r="B67" t="s">
        <v>59</v>
      </c>
      <c r="C67" t="s">
        <v>60</v>
      </c>
      <c r="D67">
        <v>1</v>
      </c>
      <c r="E67" t="s">
        <v>63</v>
      </c>
      <c r="F67">
        <v>2027</v>
      </c>
      <c r="G67" t="s">
        <v>2</v>
      </c>
      <c r="H67">
        <v>69889.953998879995</v>
      </c>
      <c r="I67">
        <v>8602.450999679997</v>
      </c>
      <c r="J67">
        <v>34255.710988080034</v>
      </c>
      <c r="K67">
        <v>1636.1430096000013</v>
      </c>
    </row>
    <row r="68" spans="1:11" x14ac:dyDescent="0.25">
      <c r="A68" t="s">
        <v>1</v>
      </c>
      <c r="B68" t="s">
        <v>59</v>
      </c>
      <c r="C68" t="s">
        <v>60</v>
      </c>
      <c r="D68">
        <v>1</v>
      </c>
      <c r="E68" t="s">
        <v>63</v>
      </c>
      <c r="F68">
        <v>2028</v>
      </c>
      <c r="G68" t="s">
        <v>2</v>
      </c>
      <c r="H68">
        <v>69717.459999840008</v>
      </c>
      <c r="I68">
        <v>8619.9349994400054</v>
      </c>
      <c r="J68">
        <v>34015.964004479996</v>
      </c>
      <c r="K68">
        <v>1618.8930172800015</v>
      </c>
    </row>
    <row r="69" spans="1:11" x14ac:dyDescent="0.25">
      <c r="A69" t="s">
        <v>1</v>
      </c>
      <c r="B69" t="s">
        <v>59</v>
      </c>
      <c r="C69" t="s">
        <v>60</v>
      </c>
      <c r="D69">
        <v>1</v>
      </c>
      <c r="E69" t="s">
        <v>63</v>
      </c>
      <c r="F69">
        <v>2029</v>
      </c>
      <c r="G69" t="s">
        <v>2</v>
      </c>
      <c r="H69">
        <v>68684.121001680047</v>
      </c>
      <c r="I69">
        <v>8527.0139995199952</v>
      </c>
      <c r="J69">
        <v>33335.307990479894</v>
      </c>
      <c r="K69">
        <v>1581.6139996800043</v>
      </c>
    </row>
    <row r="70" spans="1:11" x14ac:dyDescent="0.25">
      <c r="A70" t="s">
        <v>1</v>
      </c>
      <c r="B70" t="s">
        <v>59</v>
      </c>
      <c r="C70" t="s">
        <v>60</v>
      </c>
      <c r="D70">
        <v>1</v>
      </c>
      <c r="E70" t="s">
        <v>63</v>
      </c>
      <c r="F70">
        <v>2030</v>
      </c>
      <c r="G70" t="s">
        <v>2</v>
      </c>
      <c r="H70">
        <v>68085.749999279986</v>
      </c>
      <c r="I70">
        <v>8484.2830005599972</v>
      </c>
      <c r="J70">
        <v>32874.622999920066</v>
      </c>
      <c r="K70">
        <v>1555.0449931200017</v>
      </c>
    </row>
    <row r="71" spans="1:11" x14ac:dyDescent="0.25">
      <c r="A71" t="s">
        <v>1</v>
      </c>
      <c r="B71" t="s">
        <v>59</v>
      </c>
      <c r="C71" t="s">
        <v>60</v>
      </c>
      <c r="D71">
        <v>1</v>
      </c>
      <c r="E71" t="s">
        <v>63</v>
      </c>
      <c r="F71">
        <v>2031</v>
      </c>
      <c r="G71" t="s">
        <v>2</v>
      </c>
      <c r="H71">
        <v>67478.101997039965</v>
      </c>
      <c r="I71">
        <v>8438.0009999999984</v>
      </c>
      <c r="J71">
        <v>32388.493994880064</v>
      </c>
      <c r="K71">
        <v>1527.9899831999971</v>
      </c>
    </row>
    <row r="72" spans="1:11" x14ac:dyDescent="0.25">
      <c r="A72" t="s">
        <v>1</v>
      </c>
      <c r="B72" t="s">
        <v>59</v>
      </c>
      <c r="C72" t="s">
        <v>60</v>
      </c>
      <c r="D72">
        <v>1</v>
      </c>
      <c r="E72" t="s">
        <v>63</v>
      </c>
      <c r="F72">
        <v>2032</v>
      </c>
      <c r="G72" t="s">
        <v>2</v>
      </c>
      <c r="H72">
        <v>67267.366001520029</v>
      </c>
      <c r="I72">
        <v>8439.1699996800016</v>
      </c>
      <c r="J72">
        <v>32123.808002160076</v>
      </c>
      <c r="K72">
        <v>1510.4870172000037</v>
      </c>
    </row>
    <row r="73" spans="1:11" x14ac:dyDescent="0.25">
      <c r="A73" t="s">
        <v>1</v>
      </c>
      <c r="B73" t="s">
        <v>59</v>
      </c>
      <c r="C73" t="s">
        <v>60</v>
      </c>
      <c r="D73">
        <v>1</v>
      </c>
      <c r="E73" t="s">
        <v>63</v>
      </c>
      <c r="F73">
        <v>2033</v>
      </c>
      <c r="G73" t="s">
        <v>2</v>
      </c>
      <c r="H73">
        <v>66134.949998640033</v>
      </c>
      <c r="I73">
        <v>8330.6450003999998</v>
      </c>
      <c r="J73">
        <v>31457.154994799977</v>
      </c>
      <c r="K73">
        <v>1474.7029927199997</v>
      </c>
    </row>
    <row r="74" spans="1:11" x14ac:dyDescent="0.25">
      <c r="A74" t="s">
        <v>1</v>
      </c>
      <c r="B74" t="s">
        <v>59</v>
      </c>
      <c r="C74" t="s">
        <v>60</v>
      </c>
      <c r="D74">
        <v>1</v>
      </c>
      <c r="E74" t="s">
        <v>63</v>
      </c>
      <c r="F74">
        <v>2034</v>
      </c>
      <c r="G74" t="s">
        <v>2</v>
      </c>
      <c r="H74">
        <v>65393.935999439949</v>
      </c>
      <c r="I74">
        <v>8274.9359995200011</v>
      </c>
      <c r="J74">
        <v>31022.732997599993</v>
      </c>
      <c r="K74">
        <v>1448.8319976000016</v>
      </c>
    </row>
    <row r="75" spans="1:11" x14ac:dyDescent="0.25">
      <c r="A75" t="s">
        <v>1</v>
      </c>
      <c r="B75" t="s">
        <v>59</v>
      </c>
      <c r="C75" t="s">
        <v>60</v>
      </c>
      <c r="D75">
        <v>1</v>
      </c>
      <c r="E75" t="s">
        <v>63</v>
      </c>
      <c r="F75">
        <v>2035</v>
      </c>
      <c r="G75" t="s">
        <v>2</v>
      </c>
      <c r="H75">
        <v>64688.692999439991</v>
      </c>
      <c r="I75">
        <v>8219.8559987999924</v>
      </c>
      <c r="J75">
        <v>30613.17499776007</v>
      </c>
      <c r="K75">
        <v>1423.7199979199979</v>
      </c>
    </row>
    <row r="76" spans="1:11" x14ac:dyDescent="0.25">
      <c r="A76" t="s">
        <v>1</v>
      </c>
      <c r="B76" t="s">
        <v>59</v>
      </c>
      <c r="C76" t="s">
        <v>60</v>
      </c>
      <c r="D76">
        <v>1</v>
      </c>
      <c r="E76" t="s">
        <v>63</v>
      </c>
      <c r="F76">
        <v>2036</v>
      </c>
      <c r="G76" t="s">
        <v>2</v>
      </c>
      <c r="H76">
        <v>64314.734999280045</v>
      </c>
      <c r="I76">
        <v>8209.8830018399949</v>
      </c>
      <c r="J76">
        <v>30456.493009680034</v>
      </c>
      <c r="K76">
        <v>1408.071992880004</v>
      </c>
    </row>
    <row r="77" spans="1:11" x14ac:dyDescent="0.25">
      <c r="A77" t="s">
        <v>1</v>
      </c>
      <c r="B77" t="s">
        <v>59</v>
      </c>
      <c r="C77" t="s">
        <v>60</v>
      </c>
      <c r="D77">
        <v>1</v>
      </c>
      <c r="E77" t="s">
        <v>63</v>
      </c>
      <c r="F77">
        <v>2037</v>
      </c>
      <c r="G77" t="s">
        <v>2</v>
      </c>
      <c r="H77">
        <v>63032.81999880002</v>
      </c>
      <c r="I77">
        <v>8089.253998320004</v>
      </c>
      <c r="J77">
        <v>29937.76100016003</v>
      </c>
      <c r="K77">
        <v>1375.8610120800026</v>
      </c>
    </row>
    <row r="78" spans="1:11" x14ac:dyDescent="0.25">
      <c r="A78" t="s">
        <v>1</v>
      </c>
      <c r="B78" t="s">
        <v>59</v>
      </c>
      <c r="C78" t="s">
        <v>60</v>
      </c>
      <c r="D78">
        <v>1</v>
      </c>
      <c r="E78" t="s">
        <v>63</v>
      </c>
      <c r="F78">
        <v>2038</v>
      </c>
      <c r="G78" t="s">
        <v>2</v>
      </c>
      <c r="H78">
        <v>62115.764000640054</v>
      </c>
      <c r="I78">
        <v>8014.0329996000055</v>
      </c>
      <c r="J78">
        <v>29642.339014320045</v>
      </c>
      <c r="K78">
        <v>1353.0529999200005</v>
      </c>
    </row>
    <row r="79" spans="1:11" x14ac:dyDescent="0.25">
      <c r="A79" t="s">
        <v>1</v>
      </c>
      <c r="B79" t="s">
        <v>59</v>
      </c>
      <c r="C79" t="s">
        <v>60</v>
      </c>
      <c r="D79">
        <v>1</v>
      </c>
      <c r="E79" t="s">
        <v>63</v>
      </c>
      <c r="F79">
        <v>2039</v>
      </c>
      <c r="G79" t="s">
        <v>2</v>
      </c>
      <c r="H79">
        <v>61211.950998960056</v>
      </c>
      <c r="I79">
        <v>7937.4279998400043</v>
      </c>
      <c r="J79">
        <v>29356.701989759946</v>
      </c>
      <c r="K79">
        <v>1331.2450024800019</v>
      </c>
    </row>
    <row r="80" spans="1:11" x14ac:dyDescent="0.25">
      <c r="A80" t="s">
        <v>1</v>
      </c>
      <c r="B80" t="s">
        <v>59</v>
      </c>
      <c r="C80" t="s">
        <v>60</v>
      </c>
      <c r="D80">
        <v>1</v>
      </c>
      <c r="E80" t="s">
        <v>63</v>
      </c>
      <c r="F80">
        <v>2040</v>
      </c>
      <c r="G80" t="s">
        <v>2</v>
      </c>
      <c r="H80">
        <v>60663.044000399976</v>
      </c>
      <c r="I80">
        <v>7911.75299928</v>
      </c>
      <c r="J80">
        <v>29293.503995039988</v>
      </c>
      <c r="K80">
        <v>1318.4039952000051</v>
      </c>
    </row>
    <row r="81" spans="1:11" x14ac:dyDescent="0.25">
      <c r="A81" t="s">
        <v>1</v>
      </c>
      <c r="B81" t="s">
        <v>59</v>
      </c>
      <c r="C81" t="s">
        <v>60</v>
      </c>
      <c r="D81">
        <v>1</v>
      </c>
      <c r="E81" t="s">
        <v>63</v>
      </c>
      <c r="F81">
        <v>2041</v>
      </c>
      <c r="G81" t="s">
        <v>2</v>
      </c>
      <c r="H81">
        <v>59434.077002640042</v>
      </c>
      <c r="I81">
        <v>7793.1619979999959</v>
      </c>
      <c r="J81">
        <v>28856.78899536005</v>
      </c>
      <c r="K81">
        <v>1290.0600122399997</v>
      </c>
    </row>
    <row r="82" spans="1:11" x14ac:dyDescent="0.25">
      <c r="A82" t="s">
        <v>1</v>
      </c>
      <c r="B82" t="s">
        <v>59</v>
      </c>
      <c r="C82" t="s">
        <v>60</v>
      </c>
      <c r="D82">
        <v>1</v>
      </c>
      <c r="E82" t="s">
        <v>63</v>
      </c>
      <c r="F82">
        <v>2042</v>
      </c>
      <c r="G82" t="s">
        <v>2</v>
      </c>
      <c r="H82">
        <v>58691.028001679981</v>
      </c>
      <c r="I82">
        <v>7735.0269986399999</v>
      </c>
      <c r="J82">
        <v>28614.104004720117</v>
      </c>
      <c r="K82">
        <v>1270.5600023999982</v>
      </c>
    </row>
    <row r="83" spans="1:11" x14ac:dyDescent="0.25">
      <c r="A83" t="s">
        <v>1</v>
      </c>
      <c r="B83" t="s">
        <v>59</v>
      </c>
      <c r="C83" t="s">
        <v>60</v>
      </c>
      <c r="D83">
        <v>1</v>
      </c>
      <c r="E83" t="s">
        <v>63</v>
      </c>
      <c r="F83">
        <v>2043</v>
      </c>
      <c r="G83" t="s">
        <v>2</v>
      </c>
      <c r="H83">
        <v>58012.307000400004</v>
      </c>
      <c r="I83">
        <v>7684.8539985599991</v>
      </c>
      <c r="J83">
        <v>28365.178995359998</v>
      </c>
      <c r="K83">
        <v>1251.6929923200064</v>
      </c>
    </row>
    <row r="84" spans="1:11" x14ac:dyDescent="0.25">
      <c r="A84" t="s">
        <v>1</v>
      </c>
      <c r="B84" t="s">
        <v>59</v>
      </c>
      <c r="C84" t="s">
        <v>60</v>
      </c>
      <c r="D84">
        <v>1</v>
      </c>
      <c r="E84" t="s">
        <v>63</v>
      </c>
      <c r="F84">
        <v>2044</v>
      </c>
      <c r="G84" t="s">
        <v>2</v>
      </c>
      <c r="H84">
        <v>57663.795001920058</v>
      </c>
      <c r="I84">
        <v>7682.864000640001</v>
      </c>
      <c r="J84">
        <v>28324.177011839962</v>
      </c>
      <c r="K84">
        <v>1240.930994879993</v>
      </c>
    </row>
    <row r="85" spans="1:11" x14ac:dyDescent="0.25">
      <c r="A85" t="s">
        <v>1</v>
      </c>
      <c r="B85" t="s">
        <v>59</v>
      </c>
      <c r="C85" t="s">
        <v>60</v>
      </c>
      <c r="D85">
        <v>1</v>
      </c>
      <c r="E85" t="s">
        <v>63</v>
      </c>
      <c r="F85">
        <v>2045</v>
      </c>
      <c r="G85" t="s">
        <v>2</v>
      </c>
      <c r="H85">
        <v>56588.937002639948</v>
      </c>
      <c r="I85">
        <v>7584.6760022399985</v>
      </c>
      <c r="J85">
        <v>27976.462997759834</v>
      </c>
      <c r="K85">
        <v>1221.1530103200027</v>
      </c>
    </row>
    <row r="86" spans="1:11" x14ac:dyDescent="0.25">
      <c r="A86" t="s">
        <v>1</v>
      </c>
      <c r="B86" t="s">
        <v>59</v>
      </c>
      <c r="C86" t="s">
        <v>60</v>
      </c>
      <c r="D86">
        <v>1</v>
      </c>
      <c r="E86" t="s">
        <v>63</v>
      </c>
      <c r="F86">
        <v>2046</v>
      </c>
      <c r="G86" t="s">
        <v>2</v>
      </c>
      <c r="H86">
        <v>55892.290000320027</v>
      </c>
      <c r="I86">
        <v>7533.3669998400019</v>
      </c>
      <c r="J86">
        <v>27810.986004479913</v>
      </c>
      <c r="K86">
        <v>1209.3230023200001</v>
      </c>
    </row>
    <row r="87" spans="1:11" x14ac:dyDescent="0.25">
      <c r="A87" t="s">
        <v>1</v>
      </c>
      <c r="B87" t="s">
        <v>59</v>
      </c>
      <c r="C87" t="s">
        <v>60</v>
      </c>
      <c r="D87">
        <v>1</v>
      </c>
      <c r="E87" t="s">
        <v>63</v>
      </c>
      <c r="F87">
        <v>2047</v>
      </c>
      <c r="G87" t="s">
        <v>2</v>
      </c>
      <c r="H87">
        <v>55206.005997600012</v>
      </c>
      <c r="I87">
        <v>7483.2909991200022</v>
      </c>
      <c r="J87">
        <v>27635.455999920268</v>
      </c>
      <c r="K87">
        <v>1197.9499948800044</v>
      </c>
    </row>
    <row r="88" spans="1:11" x14ac:dyDescent="0.25">
      <c r="A88" t="s">
        <v>1</v>
      </c>
      <c r="B88" t="s">
        <v>59</v>
      </c>
      <c r="C88" t="s">
        <v>60</v>
      </c>
      <c r="D88">
        <v>1</v>
      </c>
      <c r="E88" t="s">
        <v>63</v>
      </c>
      <c r="F88">
        <v>2048</v>
      </c>
      <c r="G88" t="s">
        <v>2</v>
      </c>
      <c r="H88">
        <v>54870.901001039994</v>
      </c>
      <c r="I88">
        <v>7483.8079996800034</v>
      </c>
      <c r="J88">
        <v>27660.74200944003</v>
      </c>
      <c r="K88">
        <v>1194.4220126399939</v>
      </c>
    </row>
    <row r="89" spans="1:11" x14ac:dyDescent="0.25">
      <c r="A89" t="s">
        <v>1</v>
      </c>
      <c r="B89" t="s">
        <v>59</v>
      </c>
      <c r="C89" t="s">
        <v>60</v>
      </c>
      <c r="D89">
        <v>1</v>
      </c>
      <c r="E89" t="s">
        <v>63</v>
      </c>
      <c r="F89">
        <v>2049</v>
      </c>
      <c r="G89" t="s">
        <v>2</v>
      </c>
      <c r="H89">
        <v>53884.321998239997</v>
      </c>
      <c r="I89">
        <v>7395.3229982399953</v>
      </c>
      <c r="J89">
        <v>27320.358005040001</v>
      </c>
      <c r="K89">
        <v>1176.0360023999979</v>
      </c>
    </row>
    <row r="90" spans="1:11" x14ac:dyDescent="0.25">
      <c r="A90" t="s">
        <v>1</v>
      </c>
      <c r="B90" t="s">
        <v>59</v>
      </c>
      <c r="C90" t="s">
        <v>60</v>
      </c>
      <c r="D90">
        <v>1</v>
      </c>
      <c r="E90" t="s">
        <v>63</v>
      </c>
      <c r="F90">
        <v>2050</v>
      </c>
      <c r="G90" t="s">
        <v>2</v>
      </c>
      <c r="H90">
        <v>53235.718000800029</v>
      </c>
      <c r="I90">
        <v>7351.7299980000053</v>
      </c>
      <c r="J90">
        <v>27163.300002719934</v>
      </c>
      <c r="K90">
        <v>1165.5709951199995</v>
      </c>
    </row>
    <row r="91" spans="1:11" x14ac:dyDescent="0.25">
      <c r="A91" t="s">
        <v>1</v>
      </c>
      <c r="B91" t="s">
        <v>59</v>
      </c>
      <c r="C91" t="s">
        <v>60</v>
      </c>
      <c r="D91">
        <v>1</v>
      </c>
      <c r="E91" t="s">
        <v>63</v>
      </c>
      <c r="F91">
        <v>2051</v>
      </c>
      <c r="G91" t="s">
        <v>2</v>
      </c>
      <c r="H91">
        <v>53235.718000800029</v>
      </c>
      <c r="I91">
        <v>7351.7299980000053</v>
      </c>
      <c r="J91">
        <v>27163.300002719934</v>
      </c>
      <c r="K91">
        <v>1165.5709951199995</v>
      </c>
    </row>
    <row r="92" spans="1:11" x14ac:dyDescent="0.25">
      <c r="A92" t="s">
        <v>1</v>
      </c>
      <c r="B92" t="s">
        <v>59</v>
      </c>
      <c r="C92" t="s">
        <v>60</v>
      </c>
      <c r="D92">
        <v>1</v>
      </c>
      <c r="E92" t="s">
        <v>64</v>
      </c>
      <c r="F92">
        <v>2022</v>
      </c>
      <c r="G92" t="s">
        <v>2</v>
      </c>
      <c r="H92">
        <v>72042.331998239955</v>
      </c>
      <c r="I92">
        <v>8589.9869995200006</v>
      </c>
      <c r="J92">
        <v>35984.105004720055</v>
      </c>
      <c r="K92">
        <v>1723.282999919988</v>
      </c>
    </row>
    <row r="93" spans="1:11" x14ac:dyDescent="0.25">
      <c r="A93" t="s">
        <v>1</v>
      </c>
      <c r="B93" t="s">
        <v>59</v>
      </c>
      <c r="C93" t="s">
        <v>60</v>
      </c>
      <c r="D93">
        <v>1</v>
      </c>
      <c r="E93" t="s">
        <v>64</v>
      </c>
      <c r="F93">
        <v>2023</v>
      </c>
      <c r="G93" t="s">
        <v>2</v>
      </c>
      <c r="H93">
        <v>72388.321998239975</v>
      </c>
      <c r="I93">
        <v>8703.1279977600025</v>
      </c>
      <c r="J93">
        <v>35973.658004640107</v>
      </c>
      <c r="K93">
        <v>1729.1350027199983</v>
      </c>
    </row>
    <row r="94" spans="1:11" x14ac:dyDescent="0.25">
      <c r="A94" t="s">
        <v>1</v>
      </c>
      <c r="B94" t="s">
        <v>59</v>
      </c>
      <c r="C94" t="s">
        <v>60</v>
      </c>
      <c r="D94">
        <v>1</v>
      </c>
      <c r="E94" t="s">
        <v>64</v>
      </c>
      <c r="F94">
        <v>2024</v>
      </c>
      <c r="G94" t="s">
        <v>2</v>
      </c>
      <c r="H94">
        <v>72444.371001360021</v>
      </c>
      <c r="I94">
        <v>8722.8909979199962</v>
      </c>
      <c r="J94">
        <v>35925.228005039986</v>
      </c>
      <c r="K94">
        <v>1725.3839880000032</v>
      </c>
    </row>
    <row r="95" spans="1:11" x14ac:dyDescent="0.25">
      <c r="A95" t="s">
        <v>1</v>
      </c>
      <c r="B95" t="s">
        <v>59</v>
      </c>
      <c r="C95" t="s">
        <v>60</v>
      </c>
      <c r="D95">
        <v>1</v>
      </c>
      <c r="E95" t="s">
        <v>64</v>
      </c>
      <c r="F95">
        <v>2025</v>
      </c>
      <c r="G95" t="s">
        <v>2</v>
      </c>
      <c r="H95">
        <v>71352.024999359972</v>
      </c>
      <c r="I95">
        <v>8610.6569990400021</v>
      </c>
      <c r="J95">
        <v>35326.384005119973</v>
      </c>
      <c r="K95">
        <v>1695.6819904799966</v>
      </c>
    </row>
    <row r="96" spans="1:11" x14ac:dyDescent="0.25">
      <c r="A96" t="s">
        <v>1</v>
      </c>
      <c r="B96" t="s">
        <v>59</v>
      </c>
      <c r="C96" t="s">
        <v>60</v>
      </c>
      <c r="D96">
        <v>1</v>
      </c>
      <c r="E96" t="s">
        <v>64</v>
      </c>
      <c r="F96">
        <v>2026</v>
      </c>
      <c r="G96" t="s">
        <v>2</v>
      </c>
      <c r="H96">
        <v>70451.822999040043</v>
      </c>
      <c r="I96">
        <v>8513.9360037600054</v>
      </c>
      <c r="J96">
        <v>35002.974990239876</v>
      </c>
      <c r="K96">
        <v>1678.3019978399991</v>
      </c>
    </row>
    <row r="97" spans="1:11" x14ac:dyDescent="0.25">
      <c r="A97" t="s">
        <v>1</v>
      </c>
      <c r="B97" t="s">
        <v>59</v>
      </c>
      <c r="C97" t="s">
        <v>60</v>
      </c>
      <c r="D97">
        <v>1</v>
      </c>
      <c r="E97" t="s">
        <v>64</v>
      </c>
      <c r="F97">
        <v>2027</v>
      </c>
      <c r="G97" t="s">
        <v>2</v>
      </c>
      <c r="H97">
        <v>69255.457001279981</v>
      </c>
      <c r="I97">
        <v>8376.6869985599969</v>
      </c>
      <c r="J97">
        <v>34669.870999919956</v>
      </c>
      <c r="K97">
        <v>1659.6489902399933</v>
      </c>
    </row>
    <row r="98" spans="1:11" x14ac:dyDescent="0.25">
      <c r="A98" t="s">
        <v>1</v>
      </c>
      <c r="B98" t="s">
        <v>59</v>
      </c>
      <c r="C98" t="s">
        <v>60</v>
      </c>
      <c r="D98">
        <v>1</v>
      </c>
      <c r="E98" t="s">
        <v>64</v>
      </c>
      <c r="F98">
        <v>2028</v>
      </c>
      <c r="G98" t="s">
        <v>2</v>
      </c>
      <c r="H98">
        <v>68316.730000079973</v>
      </c>
      <c r="I98">
        <v>8273.7729986399918</v>
      </c>
      <c r="J98">
        <v>34558.123004880021</v>
      </c>
      <c r="K98">
        <v>1650.4980050400047</v>
      </c>
    </row>
    <row r="99" spans="1:11" x14ac:dyDescent="0.25">
      <c r="A99" t="s">
        <v>1</v>
      </c>
      <c r="B99" t="s">
        <v>59</v>
      </c>
      <c r="C99" t="s">
        <v>60</v>
      </c>
      <c r="D99">
        <v>1</v>
      </c>
      <c r="E99" t="s">
        <v>64</v>
      </c>
      <c r="F99">
        <v>2029</v>
      </c>
      <c r="G99" t="s">
        <v>2</v>
      </c>
      <c r="H99">
        <v>66452.514000240044</v>
      </c>
      <c r="I99">
        <v>8048.0300018399957</v>
      </c>
      <c r="J99">
        <v>34005.209997839942</v>
      </c>
      <c r="K99">
        <v>1621.2860078399981</v>
      </c>
    </row>
    <row r="100" spans="1:11" x14ac:dyDescent="0.25">
      <c r="A100" t="s">
        <v>1</v>
      </c>
      <c r="B100" t="s">
        <v>59</v>
      </c>
      <c r="C100" t="s">
        <v>60</v>
      </c>
      <c r="D100">
        <v>1</v>
      </c>
      <c r="E100" t="s">
        <v>64</v>
      </c>
      <c r="F100">
        <v>2030</v>
      </c>
      <c r="G100" t="s">
        <v>2</v>
      </c>
      <c r="H100">
        <v>65097.934998959994</v>
      </c>
      <c r="I100">
        <v>7886.7379996800028</v>
      </c>
      <c r="J100">
        <v>33682.041994799933</v>
      </c>
      <c r="K100">
        <v>1602.9339952800017</v>
      </c>
    </row>
    <row r="101" spans="1:11" x14ac:dyDescent="0.25">
      <c r="A101" t="s">
        <v>1</v>
      </c>
      <c r="B101" t="s">
        <v>59</v>
      </c>
      <c r="C101" t="s">
        <v>60</v>
      </c>
      <c r="D101">
        <v>1</v>
      </c>
      <c r="E101" t="s">
        <v>64</v>
      </c>
      <c r="F101">
        <v>2031</v>
      </c>
      <c r="G101" t="s">
        <v>2</v>
      </c>
      <c r="H101">
        <v>63786.795002160026</v>
      </c>
      <c r="I101">
        <v>7729.932999600006</v>
      </c>
      <c r="J101">
        <v>33339.305990159977</v>
      </c>
      <c r="K101">
        <v>1583.9490052799931</v>
      </c>
    </row>
    <row r="102" spans="1:11" x14ac:dyDescent="0.25">
      <c r="A102" t="s">
        <v>1</v>
      </c>
      <c r="B102" t="s">
        <v>59</v>
      </c>
      <c r="C102" t="s">
        <v>60</v>
      </c>
      <c r="D102">
        <v>1</v>
      </c>
      <c r="E102" t="s">
        <v>64</v>
      </c>
      <c r="F102">
        <v>2032</v>
      </c>
      <c r="G102" t="s">
        <v>2</v>
      </c>
      <c r="H102">
        <v>62976.169000319962</v>
      </c>
      <c r="I102">
        <v>7631.3639992800036</v>
      </c>
      <c r="J102">
        <v>33217.422009599817</v>
      </c>
      <c r="K102">
        <v>1574.8200021600012</v>
      </c>
    </row>
    <row r="103" spans="1:11" x14ac:dyDescent="0.25">
      <c r="A103" t="s">
        <v>1</v>
      </c>
      <c r="B103" t="s">
        <v>59</v>
      </c>
      <c r="C103" t="s">
        <v>60</v>
      </c>
      <c r="D103">
        <v>1</v>
      </c>
      <c r="E103" t="s">
        <v>64</v>
      </c>
      <c r="F103">
        <v>2033</v>
      </c>
      <c r="G103" t="s">
        <v>2</v>
      </c>
      <c r="H103">
        <v>61263.01599887995</v>
      </c>
      <c r="I103">
        <v>7416.5799996000023</v>
      </c>
      <c r="J103">
        <v>32675.977999919771</v>
      </c>
      <c r="K103">
        <v>1546.5240024000038</v>
      </c>
    </row>
    <row r="104" spans="1:11" x14ac:dyDescent="0.25">
      <c r="A104" t="s">
        <v>1</v>
      </c>
      <c r="B104" t="s">
        <v>59</v>
      </c>
      <c r="C104" t="s">
        <v>60</v>
      </c>
      <c r="D104">
        <v>1</v>
      </c>
      <c r="E104" t="s">
        <v>64</v>
      </c>
      <c r="F104">
        <v>2034</v>
      </c>
      <c r="G104" t="s">
        <v>2</v>
      </c>
      <c r="H104">
        <v>60051.625001039974</v>
      </c>
      <c r="I104">
        <v>7274.5630008000016</v>
      </c>
      <c r="J104">
        <v>32360.837014320092</v>
      </c>
      <c r="K104">
        <v>1528.1739832799967</v>
      </c>
    </row>
    <row r="105" spans="1:11" x14ac:dyDescent="0.25">
      <c r="A105" t="s">
        <v>1</v>
      </c>
      <c r="B105" t="s">
        <v>59</v>
      </c>
      <c r="C105" t="s">
        <v>60</v>
      </c>
      <c r="D105">
        <v>1</v>
      </c>
      <c r="E105" t="s">
        <v>64</v>
      </c>
      <c r="F105">
        <v>2035</v>
      </c>
      <c r="G105" t="s">
        <v>2</v>
      </c>
      <c r="H105">
        <v>58918.831000799997</v>
      </c>
      <c r="I105">
        <v>7140.3359978400022</v>
      </c>
      <c r="J105">
        <v>32058.722002559898</v>
      </c>
      <c r="K105">
        <v>1510.341004800001</v>
      </c>
    </row>
    <row r="106" spans="1:11" x14ac:dyDescent="0.25">
      <c r="A106" t="s">
        <v>1</v>
      </c>
      <c r="B106" t="s">
        <v>59</v>
      </c>
      <c r="C106" t="s">
        <v>60</v>
      </c>
      <c r="D106">
        <v>1</v>
      </c>
      <c r="E106" t="s">
        <v>64</v>
      </c>
      <c r="F106">
        <v>2036</v>
      </c>
      <c r="G106" t="s">
        <v>2</v>
      </c>
      <c r="H106">
        <v>58244.843999999975</v>
      </c>
      <c r="I106">
        <v>7063.581000719998</v>
      </c>
      <c r="J106">
        <v>31990.584999840139</v>
      </c>
      <c r="K106">
        <v>1502.1830023199996</v>
      </c>
    </row>
    <row r="107" spans="1:11" x14ac:dyDescent="0.25">
      <c r="A107" t="s">
        <v>1</v>
      </c>
      <c r="B107" t="s">
        <v>59</v>
      </c>
      <c r="C107" t="s">
        <v>60</v>
      </c>
      <c r="D107">
        <v>1</v>
      </c>
      <c r="E107" t="s">
        <v>64</v>
      </c>
      <c r="F107">
        <v>2037</v>
      </c>
      <c r="G107" t="s">
        <v>2</v>
      </c>
      <c r="H107">
        <v>56659.676000160041</v>
      </c>
      <c r="I107">
        <v>6878.5039996799997</v>
      </c>
      <c r="J107">
        <v>31527.913007519841</v>
      </c>
      <c r="K107">
        <v>1475.8870000800011</v>
      </c>
    </row>
    <row r="108" spans="1:11" x14ac:dyDescent="0.25">
      <c r="A108" t="s">
        <v>1</v>
      </c>
      <c r="B108" t="s">
        <v>59</v>
      </c>
      <c r="C108" t="s">
        <v>60</v>
      </c>
      <c r="D108">
        <v>1</v>
      </c>
      <c r="E108" t="s">
        <v>64</v>
      </c>
      <c r="F108">
        <v>2038</v>
      </c>
      <c r="G108" t="s">
        <v>2</v>
      </c>
      <c r="H108">
        <v>55541.873001360043</v>
      </c>
      <c r="I108">
        <v>6729.7140009599998</v>
      </c>
      <c r="J108">
        <v>31284.56099231997</v>
      </c>
      <c r="K108">
        <v>1459.2669878400009</v>
      </c>
    </row>
    <row r="109" spans="1:11" x14ac:dyDescent="0.25">
      <c r="A109" t="s">
        <v>1</v>
      </c>
      <c r="B109" t="s">
        <v>59</v>
      </c>
      <c r="C109" t="s">
        <v>60</v>
      </c>
      <c r="D109">
        <v>1</v>
      </c>
      <c r="E109" t="s">
        <v>64</v>
      </c>
      <c r="F109">
        <v>2039</v>
      </c>
      <c r="G109" t="s">
        <v>2</v>
      </c>
      <c r="H109">
        <v>54464.023998479999</v>
      </c>
      <c r="I109">
        <v>6560.0419994400017</v>
      </c>
      <c r="J109">
        <v>31046.600988000093</v>
      </c>
      <c r="K109">
        <v>1443.2510028000002</v>
      </c>
    </row>
    <row r="110" spans="1:11" x14ac:dyDescent="0.25">
      <c r="A110" t="s">
        <v>1</v>
      </c>
      <c r="B110" t="s">
        <v>59</v>
      </c>
      <c r="C110" t="s">
        <v>60</v>
      </c>
      <c r="D110">
        <v>1</v>
      </c>
      <c r="E110" t="s">
        <v>64</v>
      </c>
      <c r="F110">
        <v>2040</v>
      </c>
      <c r="G110" t="s">
        <v>2</v>
      </c>
      <c r="H110">
        <v>53525.193998639967</v>
      </c>
      <c r="I110">
        <v>6467.5619987999999</v>
      </c>
      <c r="J110">
        <v>31024.996987679991</v>
      </c>
      <c r="K110">
        <v>1436.4520075199998</v>
      </c>
    </row>
    <row r="111" spans="1:11" x14ac:dyDescent="0.25">
      <c r="A111" t="s">
        <v>1</v>
      </c>
      <c r="B111" t="s">
        <v>59</v>
      </c>
      <c r="C111" t="s">
        <v>60</v>
      </c>
      <c r="D111">
        <v>1</v>
      </c>
      <c r="E111" t="s">
        <v>64</v>
      </c>
      <c r="F111">
        <v>2041</v>
      </c>
      <c r="G111" t="s">
        <v>2</v>
      </c>
      <c r="H111">
        <v>52231.085000159976</v>
      </c>
      <c r="I111">
        <v>6293.3259986399999</v>
      </c>
      <c r="J111">
        <v>30608.057994959865</v>
      </c>
      <c r="K111">
        <v>1412.3770077599979</v>
      </c>
    </row>
    <row r="112" spans="1:11" x14ac:dyDescent="0.25">
      <c r="A112" t="s">
        <v>1</v>
      </c>
      <c r="B112" t="s">
        <v>59</v>
      </c>
      <c r="C112" t="s">
        <v>60</v>
      </c>
      <c r="D112">
        <v>1</v>
      </c>
      <c r="E112" t="s">
        <v>64</v>
      </c>
      <c r="F112">
        <v>2042</v>
      </c>
      <c r="G112" t="s">
        <v>2</v>
      </c>
      <c r="H112">
        <v>51306.068997839961</v>
      </c>
      <c r="I112">
        <v>6182.5080007199995</v>
      </c>
      <c r="J112">
        <v>30393.266990399923</v>
      </c>
      <c r="K112">
        <v>1397.4540071999916</v>
      </c>
    </row>
    <row r="113" spans="1:11" x14ac:dyDescent="0.25">
      <c r="A113" t="s">
        <v>1</v>
      </c>
      <c r="B113" t="s">
        <v>59</v>
      </c>
      <c r="C113" t="s">
        <v>60</v>
      </c>
      <c r="D113">
        <v>1</v>
      </c>
      <c r="E113" t="s">
        <v>64</v>
      </c>
      <c r="F113">
        <v>2043</v>
      </c>
      <c r="G113" t="s">
        <v>2</v>
      </c>
      <c r="H113">
        <v>50248.905999120012</v>
      </c>
      <c r="I113">
        <v>6077.8720010399984</v>
      </c>
      <c r="J113">
        <v>30175.873001999975</v>
      </c>
      <c r="K113">
        <v>1382.9870071200066</v>
      </c>
    </row>
    <row r="114" spans="1:11" x14ac:dyDescent="0.25">
      <c r="A114" t="s">
        <v>1</v>
      </c>
      <c r="B114" t="s">
        <v>59</v>
      </c>
      <c r="C114" t="s">
        <v>60</v>
      </c>
      <c r="D114">
        <v>1</v>
      </c>
      <c r="E114" t="s">
        <v>64</v>
      </c>
      <c r="F114">
        <v>2044</v>
      </c>
      <c r="G114" t="s">
        <v>2</v>
      </c>
      <c r="H114">
        <v>49413.249998879975</v>
      </c>
      <c r="I114">
        <v>6029.6870001599955</v>
      </c>
      <c r="J114">
        <v>30165.160004399993</v>
      </c>
      <c r="K114">
        <v>1377.320992799999</v>
      </c>
    </row>
    <row r="115" spans="1:11" x14ac:dyDescent="0.25">
      <c r="A115" t="s">
        <v>1</v>
      </c>
      <c r="B115" t="s">
        <v>59</v>
      </c>
      <c r="C115" t="s">
        <v>60</v>
      </c>
      <c r="D115">
        <v>1</v>
      </c>
      <c r="E115" t="s">
        <v>64</v>
      </c>
      <c r="F115">
        <v>2045</v>
      </c>
      <c r="G115" t="s">
        <v>2</v>
      </c>
      <c r="H115">
        <v>47878.062000239988</v>
      </c>
      <c r="I115">
        <v>5873.5990017600034</v>
      </c>
      <c r="J115">
        <v>29797.334997359842</v>
      </c>
      <c r="K115">
        <v>1357.6340028000027</v>
      </c>
    </row>
    <row r="116" spans="1:11" x14ac:dyDescent="0.25">
      <c r="A116" t="s">
        <v>1</v>
      </c>
      <c r="B116" t="s">
        <v>59</v>
      </c>
      <c r="C116" t="s">
        <v>60</v>
      </c>
      <c r="D116">
        <v>1</v>
      </c>
      <c r="E116" t="s">
        <v>64</v>
      </c>
      <c r="F116">
        <v>2046</v>
      </c>
      <c r="G116" t="s">
        <v>2</v>
      </c>
      <c r="H116">
        <v>46994.685997440043</v>
      </c>
      <c r="I116">
        <v>5742.3640017599992</v>
      </c>
      <c r="J116">
        <v>29623.288002479963</v>
      </c>
      <c r="K116">
        <v>1346.7740145599973</v>
      </c>
    </row>
    <row r="117" spans="1:11" x14ac:dyDescent="0.25">
      <c r="A117" t="s">
        <v>1</v>
      </c>
      <c r="B117" t="s">
        <v>59</v>
      </c>
      <c r="C117" t="s">
        <v>60</v>
      </c>
      <c r="D117">
        <v>1</v>
      </c>
      <c r="E117" t="s">
        <v>64</v>
      </c>
      <c r="F117">
        <v>2047</v>
      </c>
      <c r="G117" t="s">
        <v>2</v>
      </c>
      <c r="H117">
        <v>46132.898998319972</v>
      </c>
      <c r="I117">
        <v>5611.6369999199987</v>
      </c>
      <c r="J117">
        <v>29444.816002080061</v>
      </c>
      <c r="K117">
        <v>1336.0989976799947</v>
      </c>
    </row>
    <row r="118" spans="1:11" x14ac:dyDescent="0.25">
      <c r="A118" t="s">
        <v>1</v>
      </c>
      <c r="B118" t="s">
        <v>59</v>
      </c>
      <c r="C118" t="s">
        <v>60</v>
      </c>
      <c r="D118">
        <v>1</v>
      </c>
      <c r="E118" t="s">
        <v>64</v>
      </c>
      <c r="F118">
        <v>2048</v>
      </c>
      <c r="G118" t="s">
        <v>2</v>
      </c>
      <c r="H118">
        <v>45517.995000960014</v>
      </c>
      <c r="I118">
        <v>5543.6200012800018</v>
      </c>
      <c r="J118">
        <v>29466.991002480037</v>
      </c>
      <c r="K118">
        <v>1334.0079952799954</v>
      </c>
    </row>
    <row r="119" spans="1:11" x14ac:dyDescent="0.25">
      <c r="A119" t="s">
        <v>1</v>
      </c>
      <c r="B119" t="s">
        <v>59</v>
      </c>
      <c r="C119" t="s">
        <v>60</v>
      </c>
      <c r="D119">
        <v>1</v>
      </c>
      <c r="E119" t="s">
        <v>64</v>
      </c>
      <c r="F119">
        <v>2049</v>
      </c>
      <c r="G119" t="s">
        <v>2</v>
      </c>
      <c r="H119">
        <v>44512.428999359989</v>
      </c>
      <c r="I119">
        <v>5416.2870014400005</v>
      </c>
      <c r="J119">
        <v>29105.758002239916</v>
      </c>
      <c r="K119">
        <v>1315.3660046399973</v>
      </c>
    </row>
    <row r="120" spans="1:11" x14ac:dyDescent="0.25">
      <c r="A120" t="s">
        <v>1</v>
      </c>
      <c r="B120" t="s">
        <v>59</v>
      </c>
      <c r="C120" t="s">
        <v>60</v>
      </c>
      <c r="D120">
        <v>1</v>
      </c>
      <c r="E120" t="s">
        <v>64</v>
      </c>
      <c r="F120">
        <v>2050</v>
      </c>
      <c r="G120" t="s">
        <v>2</v>
      </c>
      <c r="H120">
        <v>44019.864000959962</v>
      </c>
      <c r="I120">
        <v>5292.5680017599989</v>
      </c>
      <c r="J120">
        <v>28938.074014320078</v>
      </c>
      <c r="K120">
        <v>1305.2380024799995</v>
      </c>
    </row>
    <row r="121" spans="1:11" x14ac:dyDescent="0.25">
      <c r="A121" t="s">
        <v>1</v>
      </c>
      <c r="B121" t="s">
        <v>59</v>
      </c>
      <c r="C121" t="s">
        <v>60</v>
      </c>
      <c r="D121">
        <v>1</v>
      </c>
      <c r="E121" t="s">
        <v>64</v>
      </c>
      <c r="F121">
        <v>2051</v>
      </c>
      <c r="G121" t="s">
        <v>2</v>
      </c>
      <c r="H121">
        <v>44019.864000959962</v>
      </c>
      <c r="I121">
        <v>5292.5680017599989</v>
      </c>
      <c r="J121">
        <v>28938.074014320078</v>
      </c>
      <c r="K121">
        <v>1305.2380024799995</v>
      </c>
    </row>
    <row r="122" spans="1:11" x14ac:dyDescent="0.25">
      <c r="A122" t="s">
        <v>1</v>
      </c>
      <c r="B122" t="s">
        <v>59</v>
      </c>
      <c r="C122" t="s">
        <v>60</v>
      </c>
      <c r="D122">
        <v>1</v>
      </c>
      <c r="E122" t="s">
        <v>65</v>
      </c>
      <c r="F122">
        <v>2022</v>
      </c>
      <c r="G122" t="s">
        <v>2</v>
      </c>
      <c r="H122">
        <v>72042.331998239955</v>
      </c>
      <c r="I122">
        <v>8589.9869995200006</v>
      </c>
      <c r="J122">
        <v>35984.105004720055</v>
      </c>
      <c r="K122">
        <v>1723.282999919988</v>
      </c>
    </row>
    <row r="123" spans="1:11" x14ac:dyDescent="0.25">
      <c r="A123" t="s">
        <v>1</v>
      </c>
      <c r="B123" t="s">
        <v>59</v>
      </c>
      <c r="C123" t="s">
        <v>60</v>
      </c>
      <c r="D123">
        <v>1</v>
      </c>
      <c r="E123" t="s">
        <v>65</v>
      </c>
      <c r="F123">
        <v>2023</v>
      </c>
      <c r="G123" t="s">
        <v>2</v>
      </c>
      <c r="H123">
        <v>72476.863998960063</v>
      </c>
      <c r="I123">
        <v>8714.1079987200028</v>
      </c>
      <c r="J123">
        <v>35973.658004640107</v>
      </c>
      <c r="K123">
        <v>1729.1350027199983</v>
      </c>
    </row>
    <row r="124" spans="1:11" x14ac:dyDescent="0.25">
      <c r="A124" t="s">
        <v>1</v>
      </c>
      <c r="B124" t="s">
        <v>59</v>
      </c>
      <c r="C124" t="s">
        <v>60</v>
      </c>
      <c r="D124">
        <v>1</v>
      </c>
      <c r="E124" t="s">
        <v>65</v>
      </c>
      <c r="F124">
        <v>2024</v>
      </c>
      <c r="G124" t="s">
        <v>2</v>
      </c>
      <c r="H124">
        <v>72845.951003519935</v>
      </c>
      <c r="I124">
        <v>8772.8999961600039</v>
      </c>
      <c r="J124">
        <v>35925.228005039986</v>
      </c>
      <c r="K124">
        <v>1725.3839880000032</v>
      </c>
    </row>
    <row r="125" spans="1:11" x14ac:dyDescent="0.25">
      <c r="A125" t="s">
        <v>1</v>
      </c>
      <c r="B125" t="s">
        <v>59</v>
      </c>
      <c r="C125" t="s">
        <v>60</v>
      </c>
      <c r="D125">
        <v>1</v>
      </c>
      <c r="E125" t="s">
        <v>65</v>
      </c>
      <c r="F125">
        <v>2025</v>
      </c>
      <c r="G125" t="s">
        <v>2</v>
      </c>
      <c r="H125">
        <v>71753.49599928</v>
      </c>
      <c r="I125">
        <v>8656.481999760008</v>
      </c>
      <c r="J125">
        <v>35326.384005119973</v>
      </c>
      <c r="K125">
        <v>1695.6819904799966</v>
      </c>
    </row>
    <row r="126" spans="1:11" x14ac:dyDescent="0.25">
      <c r="A126" t="s">
        <v>1</v>
      </c>
      <c r="B126" t="s">
        <v>59</v>
      </c>
      <c r="C126" t="s">
        <v>60</v>
      </c>
      <c r="D126">
        <v>1</v>
      </c>
      <c r="E126" t="s">
        <v>65</v>
      </c>
      <c r="F126">
        <v>2026</v>
      </c>
      <c r="G126" t="s">
        <v>2</v>
      </c>
      <c r="H126">
        <v>70499.478997679995</v>
      </c>
      <c r="I126">
        <v>8508.4529997600075</v>
      </c>
      <c r="J126">
        <v>35002.974990239876</v>
      </c>
      <c r="K126">
        <v>1678.3019978399991</v>
      </c>
    </row>
    <row r="127" spans="1:11" x14ac:dyDescent="0.25">
      <c r="A127" t="s">
        <v>1</v>
      </c>
      <c r="B127" t="s">
        <v>59</v>
      </c>
      <c r="C127" t="s">
        <v>60</v>
      </c>
      <c r="D127">
        <v>1</v>
      </c>
      <c r="E127" t="s">
        <v>65</v>
      </c>
      <c r="F127">
        <v>2027</v>
      </c>
      <c r="G127" t="s">
        <v>2</v>
      </c>
      <c r="H127">
        <v>69241.673998559985</v>
      </c>
      <c r="I127">
        <v>8357.8279987199967</v>
      </c>
      <c r="J127">
        <v>34669.870999919956</v>
      </c>
      <c r="K127">
        <v>1659.6489902399933</v>
      </c>
    </row>
    <row r="128" spans="1:11" x14ac:dyDescent="0.25">
      <c r="A128" t="s">
        <v>1</v>
      </c>
      <c r="B128" t="s">
        <v>59</v>
      </c>
      <c r="C128" t="s">
        <v>60</v>
      </c>
      <c r="D128">
        <v>1</v>
      </c>
      <c r="E128" t="s">
        <v>65</v>
      </c>
      <c r="F128">
        <v>2028</v>
      </c>
      <c r="G128" t="s">
        <v>2</v>
      </c>
      <c r="H128">
        <v>68411.444999279993</v>
      </c>
      <c r="I128">
        <v>8257.2579979199982</v>
      </c>
      <c r="J128">
        <v>34558.123004880021</v>
      </c>
      <c r="K128">
        <v>1650.4980050400047</v>
      </c>
    </row>
    <row r="129" spans="1:11" x14ac:dyDescent="0.25">
      <c r="A129" t="s">
        <v>1</v>
      </c>
      <c r="B129" t="s">
        <v>59</v>
      </c>
      <c r="C129" t="s">
        <v>60</v>
      </c>
      <c r="D129">
        <v>1</v>
      </c>
      <c r="E129" t="s">
        <v>65</v>
      </c>
      <c r="F129">
        <v>2029</v>
      </c>
      <c r="G129" t="s">
        <v>2</v>
      </c>
      <c r="H129">
        <v>66732.95699903999</v>
      </c>
      <c r="I129">
        <v>8049.8140005600035</v>
      </c>
      <c r="J129">
        <v>34005.209997839942</v>
      </c>
      <c r="K129">
        <v>1621.2860078399981</v>
      </c>
    </row>
    <row r="130" spans="1:11" x14ac:dyDescent="0.25">
      <c r="A130" t="s">
        <v>1</v>
      </c>
      <c r="B130" t="s">
        <v>59</v>
      </c>
      <c r="C130" t="s">
        <v>60</v>
      </c>
      <c r="D130">
        <v>1</v>
      </c>
      <c r="E130" t="s">
        <v>65</v>
      </c>
      <c r="F130">
        <v>2030</v>
      </c>
      <c r="G130" t="s">
        <v>2</v>
      </c>
      <c r="H130">
        <v>65533.572998159994</v>
      </c>
      <c r="I130">
        <v>7896.4700015999988</v>
      </c>
      <c r="J130">
        <v>33682.041994799933</v>
      </c>
      <c r="K130">
        <v>1602.9339952800017</v>
      </c>
    </row>
    <row r="131" spans="1:11" x14ac:dyDescent="0.25">
      <c r="A131" t="s">
        <v>1</v>
      </c>
      <c r="B131" t="s">
        <v>59</v>
      </c>
      <c r="C131" t="s">
        <v>60</v>
      </c>
      <c r="D131">
        <v>1</v>
      </c>
      <c r="E131" t="s">
        <v>65</v>
      </c>
      <c r="F131">
        <v>2031</v>
      </c>
      <c r="G131" t="s">
        <v>2</v>
      </c>
      <c r="H131">
        <v>64379.702000400001</v>
      </c>
      <c r="I131">
        <v>7746.9269973599976</v>
      </c>
      <c r="J131">
        <v>33339.305990159977</v>
      </c>
      <c r="K131">
        <v>1583.9490052799931</v>
      </c>
    </row>
    <row r="132" spans="1:11" x14ac:dyDescent="0.25">
      <c r="A132" t="s">
        <v>1</v>
      </c>
      <c r="B132" t="s">
        <v>59</v>
      </c>
      <c r="C132" t="s">
        <v>60</v>
      </c>
      <c r="D132">
        <v>1</v>
      </c>
      <c r="E132" t="s">
        <v>65</v>
      </c>
      <c r="F132">
        <v>2032</v>
      </c>
      <c r="G132" t="s">
        <v>2</v>
      </c>
      <c r="H132">
        <v>63710.638999439965</v>
      </c>
      <c r="I132">
        <v>7650.2919993600017</v>
      </c>
      <c r="J132">
        <v>33217.422009599817</v>
      </c>
      <c r="K132">
        <v>1574.8200021600012</v>
      </c>
    </row>
    <row r="133" spans="1:11" x14ac:dyDescent="0.25">
      <c r="A133" t="s">
        <v>1</v>
      </c>
      <c r="B133" t="s">
        <v>59</v>
      </c>
      <c r="C133" t="s">
        <v>60</v>
      </c>
      <c r="D133">
        <v>1</v>
      </c>
      <c r="E133" t="s">
        <v>65</v>
      </c>
      <c r="F133">
        <v>2033</v>
      </c>
      <c r="G133" t="s">
        <v>2</v>
      </c>
      <c r="H133">
        <v>62248.571001600008</v>
      </c>
      <c r="I133">
        <v>7458.2410015199948</v>
      </c>
      <c r="J133">
        <v>32675.977999919771</v>
      </c>
      <c r="K133">
        <v>1546.5240024000038</v>
      </c>
    </row>
    <row r="134" spans="1:11" x14ac:dyDescent="0.25">
      <c r="A134" t="s">
        <v>1</v>
      </c>
      <c r="B134" t="s">
        <v>59</v>
      </c>
      <c r="C134" t="s">
        <v>60</v>
      </c>
      <c r="D134">
        <v>1</v>
      </c>
      <c r="E134" t="s">
        <v>65</v>
      </c>
      <c r="F134">
        <v>2034</v>
      </c>
      <c r="G134" t="s">
        <v>2</v>
      </c>
      <c r="H134">
        <v>61255.674998399962</v>
      </c>
      <c r="I134">
        <v>7323.3900002400042</v>
      </c>
      <c r="J134">
        <v>32360.837014320092</v>
      </c>
      <c r="K134">
        <v>1528.1739832799967</v>
      </c>
    </row>
    <row r="135" spans="1:11" x14ac:dyDescent="0.25">
      <c r="A135" t="s">
        <v>1</v>
      </c>
      <c r="B135" t="s">
        <v>59</v>
      </c>
      <c r="C135" t="s">
        <v>60</v>
      </c>
      <c r="D135">
        <v>1</v>
      </c>
      <c r="E135" t="s">
        <v>65</v>
      </c>
      <c r="F135">
        <v>2035</v>
      </c>
      <c r="G135" t="s">
        <v>2</v>
      </c>
      <c r="H135">
        <v>60338.866001039962</v>
      </c>
      <c r="I135">
        <v>7194.6610010400009</v>
      </c>
      <c r="J135">
        <v>32058.722002559898</v>
      </c>
      <c r="K135">
        <v>1510.341004800001</v>
      </c>
    </row>
    <row r="136" spans="1:11" x14ac:dyDescent="0.25">
      <c r="A136" t="s">
        <v>1</v>
      </c>
      <c r="B136" t="s">
        <v>59</v>
      </c>
      <c r="C136" t="s">
        <v>60</v>
      </c>
      <c r="D136">
        <v>1</v>
      </c>
      <c r="E136" t="s">
        <v>65</v>
      </c>
      <c r="F136">
        <v>2036</v>
      </c>
      <c r="G136" t="s">
        <v>2</v>
      </c>
      <c r="H136">
        <v>59852.22999839994</v>
      </c>
      <c r="I136">
        <v>7116.5920000800052</v>
      </c>
      <c r="J136">
        <v>31990.584999840139</v>
      </c>
      <c r="K136">
        <v>1502.1830023199996</v>
      </c>
    </row>
    <row r="137" spans="1:11" x14ac:dyDescent="0.25">
      <c r="A137" t="s">
        <v>1</v>
      </c>
      <c r="B137" t="s">
        <v>59</v>
      </c>
      <c r="C137" t="s">
        <v>60</v>
      </c>
      <c r="D137">
        <v>1</v>
      </c>
      <c r="E137" t="s">
        <v>65</v>
      </c>
      <c r="F137">
        <v>2037</v>
      </c>
      <c r="G137" t="s">
        <v>2</v>
      </c>
      <c r="H137">
        <v>58591.113998399989</v>
      </c>
      <c r="I137">
        <v>6948.5129995200004</v>
      </c>
      <c r="J137">
        <v>31527.913007519841</v>
      </c>
      <c r="K137">
        <v>1475.8870000800011</v>
      </c>
    </row>
    <row r="138" spans="1:11" x14ac:dyDescent="0.25">
      <c r="A138" t="s">
        <v>1</v>
      </c>
      <c r="B138" t="s">
        <v>59</v>
      </c>
      <c r="C138" t="s">
        <v>60</v>
      </c>
      <c r="D138">
        <v>1</v>
      </c>
      <c r="E138" t="s">
        <v>65</v>
      </c>
      <c r="F138">
        <v>2038</v>
      </c>
      <c r="G138" t="s">
        <v>2</v>
      </c>
      <c r="H138">
        <v>57765.665000640001</v>
      </c>
      <c r="I138">
        <v>6826.4869991999994</v>
      </c>
      <c r="J138">
        <v>31284.56099231997</v>
      </c>
      <c r="K138">
        <v>1459.2669878400009</v>
      </c>
    </row>
    <row r="139" spans="1:11" x14ac:dyDescent="0.25">
      <c r="A139" t="s">
        <v>1</v>
      </c>
      <c r="B139" t="s">
        <v>59</v>
      </c>
      <c r="C139" t="s">
        <v>60</v>
      </c>
      <c r="D139">
        <v>1</v>
      </c>
      <c r="E139" t="s">
        <v>65</v>
      </c>
      <c r="F139">
        <v>2039</v>
      </c>
      <c r="G139" t="s">
        <v>2</v>
      </c>
      <c r="H139">
        <v>56975.07499968003</v>
      </c>
      <c r="I139">
        <v>6702.9019984799961</v>
      </c>
      <c r="J139">
        <v>31046.600988000093</v>
      </c>
      <c r="K139">
        <v>1443.2510028000002</v>
      </c>
    </row>
    <row r="140" spans="1:11" x14ac:dyDescent="0.25">
      <c r="A140" t="s">
        <v>1</v>
      </c>
      <c r="B140" t="s">
        <v>59</v>
      </c>
      <c r="C140" t="s">
        <v>60</v>
      </c>
      <c r="D140">
        <v>1</v>
      </c>
      <c r="E140" t="s">
        <v>65</v>
      </c>
      <c r="F140">
        <v>2040</v>
      </c>
      <c r="G140" t="s">
        <v>2</v>
      </c>
      <c r="H140">
        <v>56521.626000720011</v>
      </c>
      <c r="I140">
        <v>6629.8070008799941</v>
      </c>
      <c r="J140">
        <v>31024.996987679991</v>
      </c>
      <c r="K140">
        <v>1436.4520075199998</v>
      </c>
    </row>
    <row r="141" spans="1:11" x14ac:dyDescent="0.25">
      <c r="A141" t="s">
        <v>1</v>
      </c>
      <c r="B141" t="s">
        <v>59</v>
      </c>
      <c r="C141" t="s">
        <v>60</v>
      </c>
      <c r="D141">
        <v>1</v>
      </c>
      <c r="E141" t="s">
        <v>65</v>
      </c>
      <c r="F141">
        <v>2041</v>
      </c>
      <c r="G141" t="s">
        <v>2</v>
      </c>
      <c r="H141">
        <v>55451.435000159974</v>
      </c>
      <c r="I141">
        <v>6477.8839989600001</v>
      </c>
      <c r="J141">
        <v>30608.057994959865</v>
      </c>
      <c r="K141">
        <v>1412.3770077599979</v>
      </c>
    </row>
    <row r="142" spans="1:11" x14ac:dyDescent="0.25">
      <c r="A142" t="s">
        <v>1</v>
      </c>
      <c r="B142" t="s">
        <v>59</v>
      </c>
      <c r="C142" t="s">
        <v>60</v>
      </c>
      <c r="D142">
        <v>1</v>
      </c>
      <c r="E142" t="s">
        <v>65</v>
      </c>
      <c r="F142">
        <v>2042</v>
      </c>
      <c r="G142" t="s">
        <v>2</v>
      </c>
      <c r="H142">
        <v>54775.538000639972</v>
      </c>
      <c r="I142">
        <v>6376.282997759994</v>
      </c>
      <c r="J142">
        <v>30393.266990399923</v>
      </c>
      <c r="K142">
        <v>1397.4540071999916</v>
      </c>
    </row>
    <row r="143" spans="1:11" x14ac:dyDescent="0.25">
      <c r="A143" t="s">
        <v>1</v>
      </c>
      <c r="B143" t="s">
        <v>59</v>
      </c>
      <c r="C143" t="s">
        <v>60</v>
      </c>
      <c r="D143">
        <v>1</v>
      </c>
      <c r="E143" t="s">
        <v>65</v>
      </c>
      <c r="F143">
        <v>2043</v>
      </c>
      <c r="G143" t="s">
        <v>2</v>
      </c>
      <c r="H143">
        <v>54085.994000640028</v>
      </c>
      <c r="I143">
        <v>6278.5019988000013</v>
      </c>
      <c r="J143">
        <v>30175.873001999975</v>
      </c>
      <c r="K143">
        <v>1382.9870071200066</v>
      </c>
    </row>
    <row r="144" spans="1:11" x14ac:dyDescent="0.25">
      <c r="A144" t="s">
        <v>1</v>
      </c>
      <c r="B144" t="s">
        <v>59</v>
      </c>
      <c r="C144" t="s">
        <v>60</v>
      </c>
      <c r="D144">
        <v>1</v>
      </c>
      <c r="E144" t="s">
        <v>65</v>
      </c>
      <c r="F144">
        <v>2044</v>
      </c>
      <c r="G144" t="s">
        <v>2</v>
      </c>
      <c r="H144">
        <v>53732.60999976001</v>
      </c>
      <c r="I144">
        <v>6224.2869993599988</v>
      </c>
      <c r="J144">
        <v>30165.160004399993</v>
      </c>
      <c r="K144">
        <v>1377.320992799999</v>
      </c>
    </row>
    <row r="145" spans="1:11" x14ac:dyDescent="0.25">
      <c r="A145" t="s">
        <v>1</v>
      </c>
      <c r="B145" t="s">
        <v>59</v>
      </c>
      <c r="C145" t="s">
        <v>60</v>
      </c>
      <c r="D145">
        <v>1</v>
      </c>
      <c r="E145" t="s">
        <v>65</v>
      </c>
      <c r="F145">
        <v>2045</v>
      </c>
      <c r="G145" t="s">
        <v>2</v>
      </c>
      <c r="H145">
        <v>52683.815000160001</v>
      </c>
      <c r="I145">
        <v>6086.7480007200002</v>
      </c>
      <c r="J145">
        <v>29797.334997359842</v>
      </c>
      <c r="K145">
        <v>1357.6340028000027</v>
      </c>
    </row>
    <row r="146" spans="1:11" x14ac:dyDescent="0.25">
      <c r="A146" t="s">
        <v>1</v>
      </c>
      <c r="B146" t="s">
        <v>59</v>
      </c>
      <c r="C146" t="s">
        <v>60</v>
      </c>
      <c r="D146">
        <v>1</v>
      </c>
      <c r="E146" t="s">
        <v>65</v>
      </c>
      <c r="F146">
        <v>2046</v>
      </c>
      <c r="G146" t="s">
        <v>2</v>
      </c>
      <c r="H146">
        <v>52067.378999520028</v>
      </c>
      <c r="I146">
        <v>5986.83099984</v>
      </c>
      <c r="J146">
        <v>29623.288002479963</v>
      </c>
      <c r="K146">
        <v>1346.7740145599973</v>
      </c>
    </row>
    <row r="147" spans="1:11" x14ac:dyDescent="0.25">
      <c r="A147" t="s">
        <v>1</v>
      </c>
      <c r="B147" t="s">
        <v>59</v>
      </c>
      <c r="C147" t="s">
        <v>60</v>
      </c>
      <c r="D147">
        <v>1</v>
      </c>
      <c r="E147" t="s">
        <v>65</v>
      </c>
      <c r="F147">
        <v>2047</v>
      </c>
      <c r="G147" t="s">
        <v>2</v>
      </c>
      <c r="H147">
        <v>51464.418001199978</v>
      </c>
      <c r="I147">
        <v>5887.7050003200002</v>
      </c>
      <c r="J147">
        <v>29444.816002080061</v>
      </c>
      <c r="K147">
        <v>1336.0989976799947</v>
      </c>
    </row>
    <row r="148" spans="1:11" x14ac:dyDescent="0.25">
      <c r="A148" t="s">
        <v>1</v>
      </c>
      <c r="B148" t="s">
        <v>59</v>
      </c>
      <c r="C148" t="s">
        <v>60</v>
      </c>
      <c r="D148">
        <v>1</v>
      </c>
      <c r="E148" t="s">
        <v>65</v>
      </c>
      <c r="F148">
        <v>2048</v>
      </c>
      <c r="G148" t="s">
        <v>2</v>
      </c>
      <c r="H148">
        <v>51196.244998799943</v>
      </c>
      <c r="I148">
        <v>5831.5619983200004</v>
      </c>
      <c r="J148">
        <v>29466.991002480037</v>
      </c>
      <c r="K148">
        <v>1334.0079952799954</v>
      </c>
    </row>
    <row r="149" spans="1:11" x14ac:dyDescent="0.25">
      <c r="A149" t="s">
        <v>1</v>
      </c>
      <c r="B149" t="s">
        <v>59</v>
      </c>
      <c r="C149" t="s">
        <v>60</v>
      </c>
      <c r="D149">
        <v>1</v>
      </c>
      <c r="E149" t="s">
        <v>65</v>
      </c>
      <c r="F149">
        <v>2049</v>
      </c>
      <c r="G149" t="s">
        <v>2</v>
      </c>
      <c r="H149">
        <v>50359.408001519965</v>
      </c>
      <c r="I149">
        <v>5706.0440008799978</v>
      </c>
      <c r="J149">
        <v>29105.758002239916</v>
      </c>
      <c r="K149">
        <v>1315.3660046399973</v>
      </c>
    </row>
    <row r="150" spans="1:11" x14ac:dyDescent="0.25">
      <c r="A150" t="s">
        <v>1</v>
      </c>
      <c r="B150" t="s">
        <v>59</v>
      </c>
      <c r="C150" t="s">
        <v>60</v>
      </c>
      <c r="D150">
        <v>1</v>
      </c>
      <c r="E150" t="s">
        <v>65</v>
      </c>
      <c r="F150">
        <v>2050</v>
      </c>
      <c r="G150" t="s">
        <v>2</v>
      </c>
      <c r="H150">
        <v>49947.78300336004</v>
      </c>
      <c r="I150">
        <v>5621.5899991200067</v>
      </c>
      <c r="J150">
        <v>28938.074014320078</v>
      </c>
      <c r="K150">
        <v>1305.2380024799995</v>
      </c>
    </row>
    <row r="151" spans="1:11" x14ac:dyDescent="0.25">
      <c r="A151" t="s">
        <v>1</v>
      </c>
      <c r="B151" t="s">
        <v>59</v>
      </c>
      <c r="C151" t="s">
        <v>60</v>
      </c>
      <c r="D151">
        <v>1</v>
      </c>
      <c r="E151" t="s">
        <v>65</v>
      </c>
      <c r="F151">
        <v>2051</v>
      </c>
      <c r="G151" t="s">
        <v>2</v>
      </c>
      <c r="H151">
        <v>49947.78300336004</v>
      </c>
      <c r="I151">
        <v>5621.5899991200067</v>
      </c>
      <c r="J151">
        <v>28938.074014320078</v>
      </c>
      <c r="K151">
        <v>1305.2380024799995</v>
      </c>
    </row>
    <row r="152" spans="1:11" x14ac:dyDescent="0.25">
      <c r="A152" t="s">
        <v>1</v>
      </c>
      <c r="B152" t="s">
        <v>59</v>
      </c>
      <c r="C152" t="s">
        <v>60</v>
      </c>
      <c r="D152">
        <v>1</v>
      </c>
      <c r="E152" t="s">
        <v>66</v>
      </c>
      <c r="F152">
        <v>2022</v>
      </c>
      <c r="G152" t="s">
        <v>2</v>
      </c>
      <c r="H152" s="2">
        <v>72207.812998559995</v>
      </c>
      <c r="I152" s="2">
        <v>8611.1450003999998</v>
      </c>
      <c r="J152" s="2">
        <v>35984.105004719997</v>
      </c>
      <c r="K152" s="2">
        <v>1723.2829999200001</v>
      </c>
    </row>
    <row r="153" spans="1:11" x14ac:dyDescent="0.25">
      <c r="A153" t="s">
        <v>1</v>
      </c>
      <c r="B153" t="s">
        <v>59</v>
      </c>
      <c r="C153" t="s">
        <v>60</v>
      </c>
      <c r="D153">
        <v>1</v>
      </c>
      <c r="E153" t="s">
        <v>66</v>
      </c>
      <c r="F153">
        <v>2023</v>
      </c>
      <c r="G153" t="s">
        <v>2</v>
      </c>
      <c r="H153" s="2">
        <v>72705.115001040002</v>
      </c>
      <c r="I153" s="2">
        <v>8766.3530006399997</v>
      </c>
      <c r="J153" s="2">
        <v>35202.920002320003</v>
      </c>
      <c r="K153" s="2">
        <v>1692.046002</v>
      </c>
    </row>
    <row r="154" spans="1:11" x14ac:dyDescent="0.25">
      <c r="A154" t="s">
        <v>1</v>
      </c>
      <c r="B154" t="s">
        <v>59</v>
      </c>
      <c r="C154" t="s">
        <v>60</v>
      </c>
      <c r="D154">
        <v>1</v>
      </c>
      <c r="E154" t="s">
        <v>66</v>
      </c>
      <c r="F154">
        <v>2024</v>
      </c>
      <c r="G154" t="s">
        <v>2</v>
      </c>
      <c r="H154" s="2">
        <v>73233.764998800005</v>
      </c>
      <c r="I154" s="2">
        <v>8868.04900008</v>
      </c>
      <c r="J154" s="2">
        <v>34386.858009360003</v>
      </c>
      <c r="K154" s="2">
        <v>1651.47700704</v>
      </c>
    </row>
    <row r="155" spans="1:11" x14ac:dyDescent="0.25">
      <c r="A155" t="s">
        <v>1</v>
      </c>
      <c r="B155" t="s">
        <v>59</v>
      </c>
      <c r="C155" t="s">
        <v>60</v>
      </c>
      <c r="D155">
        <v>1</v>
      </c>
      <c r="E155" t="s">
        <v>66</v>
      </c>
      <c r="F155">
        <v>2025</v>
      </c>
      <c r="G155" t="s">
        <v>2</v>
      </c>
      <c r="H155" s="2">
        <v>71993.280999359995</v>
      </c>
      <c r="I155" s="2">
        <v>8746.97200032</v>
      </c>
      <c r="J155" s="2">
        <v>33058.00300248</v>
      </c>
      <c r="K155" s="2">
        <v>1586.7439996799999</v>
      </c>
    </row>
    <row r="156" spans="1:11" x14ac:dyDescent="0.25">
      <c r="A156" t="s">
        <v>1</v>
      </c>
      <c r="B156" t="s">
        <v>59</v>
      </c>
      <c r="C156" t="s">
        <v>60</v>
      </c>
      <c r="D156">
        <v>1</v>
      </c>
      <c r="E156" t="s">
        <v>66</v>
      </c>
      <c r="F156">
        <v>2026</v>
      </c>
      <c r="G156" t="s">
        <v>2</v>
      </c>
      <c r="H156" s="2">
        <v>70282.223001120001</v>
      </c>
      <c r="I156" s="2">
        <v>8547.2349986400004</v>
      </c>
      <c r="J156" s="2">
        <v>32006.592000000001</v>
      </c>
      <c r="K156" s="2">
        <v>1534.6069999199999</v>
      </c>
    </row>
    <row r="157" spans="1:11" x14ac:dyDescent="0.25">
      <c r="A157" t="s">
        <v>1</v>
      </c>
      <c r="B157" t="s">
        <v>59</v>
      </c>
      <c r="C157" t="s">
        <v>60</v>
      </c>
      <c r="D157">
        <v>1</v>
      </c>
      <c r="E157" t="s">
        <v>66</v>
      </c>
      <c r="F157">
        <v>2027</v>
      </c>
      <c r="G157" t="s">
        <v>2</v>
      </c>
      <c r="H157" s="2">
        <v>68595.892000559994</v>
      </c>
      <c r="I157" s="2">
        <v>8348.7570011999996</v>
      </c>
      <c r="J157" s="2">
        <v>30960.425002079999</v>
      </c>
      <c r="K157" s="2">
        <v>1482.0179997600001</v>
      </c>
    </row>
    <row r="158" spans="1:11" x14ac:dyDescent="0.25">
      <c r="A158" t="s">
        <v>1</v>
      </c>
      <c r="B158" t="s">
        <v>59</v>
      </c>
      <c r="C158" t="s">
        <v>60</v>
      </c>
      <c r="D158">
        <v>1</v>
      </c>
      <c r="E158" t="s">
        <v>66</v>
      </c>
      <c r="F158">
        <v>2028</v>
      </c>
      <c r="G158" t="s">
        <v>2</v>
      </c>
      <c r="H158" s="2">
        <v>67346.901999359994</v>
      </c>
      <c r="I158" s="2">
        <v>8201.8570010399999</v>
      </c>
      <c r="J158" s="2">
        <v>30121.49800032</v>
      </c>
      <c r="K158" s="2">
        <v>1438.52500224</v>
      </c>
    </row>
    <row r="159" spans="1:11" x14ac:dyDescent="0.25">
      <c r="A159" t="s">
        <v>1</v>
      </c>
      <c r="B159" t="s">
        <v>59</v>
      </c>
      <c r="C159" t="s">
        <v>60</v>
      </c>
      <c r="D159">
        <v>1</v>
      </c>
      <c r="E159" t="s">
        <v>66</v>
      </c>
      <c r="F159">
        <v>2029</v>
      </c>
      <c r="G159" t="s">
        <v>2</v>
      </c>
      <c r="H159" s="2">
        <v>65290.301000400003</v>
      </c>
      <c r="I159" s="2">
        <v>7955.4240009599998</v>
      </c>
      <c r="J159" s="2">
        <v>28912.251992879999</v>
      </c>
      <c r="K159" s="2">
        <v>1378.4730072</v>
      </c>
    </row>
    <row r="160" spans="1:11" x14ac:dyDescent="0.25">
      <c r="A160" t="s">
        <v>1</v>
      </c>
      <c r="B160" t="s">
        <v>59</v>
      </c>
      <c r="C160" t="s">
        <v>60</v>
      </c>
      <c r="D160">
        <v>1</v>
      </c>
      <c r="E160" t="s">
        <v>66</v>
      </c>
      <c r="F160">
        <v>2030</v>
      </c>
      <c r="G160" t="s">
        <v>2</v>
      </c>
      <c r="H160" s="2">
        <v>63693.088000080003</v>
      </c>
      <c r="I160" s="2">
        <v>7760.6000003999998</v>
      </c>
      <c r="J160" s="2">
        <v>27917.125007039998</v>
      </c>
      <c r="K160" s="2">
        <v>1328.5820051999999</v>
      </c>
    </row>
    <row r="161" spans="1:11" x14ac:dyDescent="0.25">
      <c r="A161" t="s">
        <v>1</v>
      </c>
      <c r="B161" t="s">
        <v>59</v>
      </c>
      <c r="C161" t="s">
        <v>60</v>
      </c>
      <c r="D161">
        <v>1</v>
      </c>
      <c r="E161" t="s">
        <v>66</v>
      </c>
      <c r="F161">
        <v>2031</v>
      </c>
      <c r="G161" t="s">
        <v>2</v>
      </c>
      <c r="H161" s="2">
        <v>62115.644000159999</v>
      </c>
      <c r="I161" s="2">
        <v>7566.8760012000002</v>
      </c>
      <c r="J161" s="2">
        <v>26920.02800952</v>
      </c>
      <c r="K161" s="2">
        <v>1278.93400008</v>
      </c>
    </row>
    <row r="162" spans="1:11" x14ac:dyDescent="0.25">
      <c r="A162" t="s">
        <v>1</v>
      </c>
      <c r="B162" t="s">
        <v>59</v>
      </c>
      <c r="C162" t="s">
        <v>60</v>
      </c>
      <c r="D162">
        <v>1</v>
      </c>
      <c r="E162" t="s">
        <v>66</v>
      </c>
      <c r="F162">
        <v>2032</v>
      </c>
      <c r="G162" t="s">
        <v>2</v>
      </c>
      <c r="H162" s="2">
        <v>60958.583998319998</v>
      </c>
      <c r="I162" s="2">
        <v>7419.3100008000001</v>
      </c>
      <c r="J162" s="2">
        <v>26111.187002400002</v>
      </c>
      <c r="K162" s="2">
        <v>1237.8959973599999</v>
      </c>
    </row>
    <row r="163" spans="1:11" x14ac:dyDescent="0.25">
      <c r="A163" t="s">
        <v>1</v>
      </c>
      <c r="B163" t="s">
        <v>59</v>
      </c>
      <c r="C163" t="s">
        <v>60</v>
      </c>
      <c r="D163">
        <v>1</v>
      </c>
      <c r="E163" t="s">
        <v>66</v>
      </c>
      <c r="F163">
        <v>2033</v>
      </c>
      <c r="G163" t="s">
        <v>2</v>
      </c>
      <c r="H163" s="2">
        <v>59045.356000560001</v>
      </c>
      <c r="I163" s="2">
        <v>7182.7090010399997</v>
      </c>
      <c r="J163" s="2">
        <v>24986.776005119998</v>
      </c>
      <c r="K163" s="2">
        <v>1182.6100022400001</v>
      </c>
    </row>
    <row r="164" spans="1:11" x14ac:dyDescent="0.25">
      <c r="A164" t="s">
        <v>1</v>
      </c>
      <c r="B164" t="s">
        <v>59</v>
      </c>
      <c r="C164" t="s">
        <v>60</v>
      </c>
      <c r="D164">
        <v>1</v>
      </c>
      <c r="E164" t="s">
        <v>66</v>
      </c>
      <c r="F164">
        <v>2034</v>
      </c>
      <c r="G164" t="s">
        <v>2</v>
      </c>
      <c r="H164" s="2">
        <v>57516.626999040003</v>
      </c>
      <c r="I164" s="2">
        <v>6993.0569997599996</v>
      </c>
      <c r="J164" s="2">
        <v>24053.803997520001</v>
      </c>
      <c r="K164" s="2">
        <v>1135.9319872799999</v>
      </c>
    </row>
    <row r="165" spans="1:11" x14ac:dyDescent="0.25">
      <c r="A165" t="s">
        <v>1</v>
      </c>
      <c r="B165" t="s">
        <v>59</v>
      </c>
      <c r="C165" t="s">
        <v>60</v>
      </c>
      <c r="D165">
        <v>1</v>
      </c>
      <c r="E165" t="s">
        <v>66</v>
      </c>
      <c r="F165">
        <v>2035</v>
      </c>
      <c r="G165" t="s">
        <v>2</v>
      </c>
      <c r="H165" s="2">
        <v>56012.815000080001</v>
      </c>
      <c r="I165" s="2">
        <v>6804.6419975999997</v>
      </c>
      <c r="J165" s="2">
        <v>23143.671007199999</v>
      </c>
      <c r="K165" s="2">
        <v>1090.31600712</v>
      </c>
    </row>
    <row r="166" spans="1:11" x14ac:dyDescent="0.25">
      <c r="A166" t="s">
        <v>1</v>
      </c>
      <c r="B166" t="s">
        <v>59</v>
      </c>
      <c r="C166" t="s">
        <v>60</v>
      </c>
      <c r="D166">
        <v>1</v>
      </c>
      <c r="E166" t="s">
        <v>66</v>
      </c>
      <c r="F166">
        <v>2036</v>
      </c>
      <c r="G166" t="s">
        <v>2</v>
      </c>
      <c r="H166" s="2">
        <v>54858.38700024</v>
      </c>
      <c r="I166" s="2">
        <v>6658.5910000800004</v>
      </c>
      <c r="J166" s="2">
        <v>22410.350002560001</v>
      </c>
      <c r="K166" s="2">
        <v>1052.2599948</v>
      </c>
    </row>
    <row r="167" spans="1:11" x14ac:dyDescent="0.25">
      <c r="A167" t="s">
        <v>1</v>
      </c>
      <c r="B167" t="s">
        <v>59</v>
      </c>
      <c r="C167" t="s">
        <v>60</v>
      </c>
      <c r="D167">
        <v>1</v>
      </c>
      <c r="E167" t="s">
        <v>66</v>
      </c>
      <c r="F167">
        <v>2037</v>
      </c>
      <c r="G167" t="s">
        <v>2</v>
      </c>
      <c r="H167" s="2">
        <v>53021.226999600003</v>
      </c>
      <c r="I167" s="2">
        <v>6431.7820017599997</v>
      </c>
      <c r="J167" s="2">
        <v>21412.183998</v>
      </c>
      <c r="K167" s="2">
        <v>1002.36298776</v>
      </c>
    </row>
    <row r="168" spans="1:11" x14ac:dyDescent="0.25">
      <c r="A168" t="s">
        <v>1</v>
      </c>
      <c r="B168" t="s">
        <v>59</v>
      </c>
      <c r="C168" t="s">
        <v>60</v>
      </c>
      <c r="D168">
        <v>1</v>
      </c>
      <c r="E168" t="s">
        <v>66</v>
      </c>
      <c r="F168">
        <v>2038</v>
      </c>
      <c r="G168" t="s">
        <v>2</v>
      </c>
      <c r="H168" s="2">
        <v>51534.608000879998</v>
      </c>
      <c r="I168" s="2">
        <v>6247.1899987200004</v>
      </c>
      <c r="J168" s="2">
        <v>20577.956988000002</v>
      </c>
      <c r="K168" s="3">
        <v>959.84100720000004</v>
      </c>
    </row>
    <row r="169" spans="1:11" x14ac:dyDescent="0.25">
      <c r="A169" t="s">
        <v>1</v>
      </c>
      <c r="B169" t="s">
        <v>59</v>
      </c>
      <c r="C169" t="s">
        <v>60</v>
      </c>
      <c r="D169">
        <v>1</v>
      </c>
      <c r="E169" t="s">
        <v>66</v>
      </c>
      <c r="F169">
        <v>2039</v>
      </c>
      <c r="G169" t="s">
        <v>2</v>
      </c>
      <c r="H169" s="2">
        <v>50053.207998960002</v>
      </c>
      <c r="I169" s="2">
        <v>6064.0449998399999</v>
      </c>
      <c r="J169" s="2">
        <v>19757.57400936</v>
      </c>
      <c r="K169" s="3">
        <v>918.34900728000002</v>
      </c>
    </row>
    <row r="170" spans="1:11" x14ac:dyDescent="0.25">
      <c r="A170" t="s">
        <v>1</v>
      </c>
      <c r="B170" t="s">
        <v>59</v>
      </c>
      <c r="C170" t="s">
        <v>60</v>
      </c>
      <c r="D170">
        <v>1</v>
      </c>
      <c r="E170" t="s">
        <v>66</v>
      </c>
      <c r="F170">
        <v>2040</v>
      </c>
      <c r="G170" t="s">
        <v>2</v>
      </c>
      <c r="H170" s="2">
        <v>48881.060000400001</v>
      </c>
      <c r="I170" s="2">
        <v>5917.1969997599999</v>
      </c>
      <c r="J170" s="2">
        <v>19080.34099968</v>
      </c>
      <c r="K170" s="3">
        <v>883.35098784000002</v>
      </c>
    </row>
    <row r="171" spans="1:11" x14ac:dyDescent="0.25">
      <c r="A171" t="s">
        <v>1</v>
      </c>
      <c r="B171" t="s">
        <v>59</v>
      </c>
      <c r="C171" t="s">
        <v>60</v>
      </c>
      <c r="D171">
        <v>1</v>
      </c>
      <c r="E171" t="s">
        <v>66</v>
      </c>
      <c r="F171">
        <v>2041</v>
      </c>
      <c r="G171" t="s">
        <v>2</v>
      </c>
      <c r="H171" s="2">
        <v>47106.832998960002</v>
      </c>
      <c r="I171" s="2">
        <v>5699.9219976000004</v>
      </c>
      <c r="J171" s="2">
        <v>18169.662007200001</v>
      </c>
      <c r="K171" s="3">
        <v>838.34501183999998</v>
      </c>
    </row>
    <row r="172" spans="1:11" x14ac:dyDescent="0.25">
      <c r="A172" t="s">
        <v>1</v>
      </c>
      <c r="B172" t="s">
        <v>59</v>
      </c>
      <c r="C172" t="s">
        <v>60</v>
      </c>
      <c r="D172">
        <v>1</v>
      </c>
      <c r="E172" t="s">
        <v>66</v>
      </c>
      <c r="F172">
        <v>2042</v>
      </c>
      <c r="G172" t="s">
        <v>2</v>
      </c>
      <c r="H172" s="2">
        <v>45641.582000399998</v>
      </c>
      <c r="I172" s="2">
        <v>5520.67499976</v>
      </c>
      <c r="J172" s="2">
        <v>17392.29200256</v>
      </c>
      <c r="K172" s="3">
        <v>799.61299991999999</v>
      </c>
    </row>
    <row r="173" spans="1:11" x14ac:dyDescent="0.25">
      <c r="A173" t="s">
        <v>1</v>
      </c>
      <c r="B173" t="s">
        <v>59</v>
      </c>
      <c r="C173" t="s">
        <v>60</v>
      </c>
      <c r="D173">
        <v>1</v>
      </c>
      <c r="E173" t="s">
        <v>66</v>
      </c>
      <c r="F173">
        <v>2043</v>
      </c>
      <c r="G173" t="s">
        <v>2</v>
      </c>
      <c r="H173" s="2">
        <v>44174.900999999998</v>
      </c>
      <c r="I173" s="2">
        <v>5342.6060013599999</v>
      </c>
      <c r="J173" s="2">
        <v>16622.763992880002</v>
      </c>
      <c r="K173" s="3">
        <v>761.73199727999997</v>
      </c>
    </row>
    <row r="174" spans="1:11" x14ac:dyDescent="0.25">
      <c r="A174" t="s">
        <v>1</v>
      </c>
      <c r="B174" t="s">
        <v>59</v>
      </c>
      <c r="C174" t="s">
        <v>60</v>
      </c>
      <c r="D174">
        <v>1</v>
      </c>
      <c r="E174" t="s">
        <v>66</v>
      </c>
      <c r="F174">
        <v>2044</v>
      </c>
      <c r="G174" t="s">
        <v>2</v>
      </c>
      <c r="H174" s="2">
        <v>42989.126000880002</v>
      </c>
      <c r="I174" s="2">
        <v>5197.6519984799997</v>
      </c>
      <c r="J174" s="2">
        <v>15971.76999768</v>
      </c>
      <c r="K174" s="3">
        <v>729.16900487999999</v>
      </c>
    </row>
    <row r="175" spans="1:11" x14ac:dyDescent="0.25">
      <c r="A175" t="s">
        <v>1</v>
      </c>
      <c r="B175" t="s">
        <v>59</v>
      </c>
      <c r="C175" t="s">
        <v>60</v>
      </c>
      <c r="D175">
        <v>1</v>
      </c>
      <c r="E175" t="s">
        <v>66</v>
      </c>
      <c r="F175">
        <v>2045</v>
      </c>
      <c r="G175" t="s">
        <v>2</v>
      </c>
      <c r="H175" s="2">
        <v>41265.665998800003</v>
      </c>
      <c r="I175" s="2">
        <v>4989.6289984799996</v>
      </c>
      <c r="J175" s="2">
        <v>15140.111992800001</v>
      </c>
      <c r="K175" s="3">
        <v>689.69998536000003</v>
      </c>
    </row>
    <row r="176" spans="1:11" x14ac:dyDescent="0.25">
      <c r="A176" t="s">
        <v>1</v>
      </c>
      <c r="B176" t="s">
        <v>59</v>
      </c>
      <c r="C176" t="s">
        <v>60</v>
      </c>
      <c r="D176">
        <v>1</v>
      </c>
      <c r="E176" t="s">
        <v>66</v>
      </c>
      <c r="F176">
        <v>2046</v>
      </c>
      <c r="G176" t="s">
        <v>2</v>
      </c>
      <c r="H176" s="2">
        <v>39818.041001760001</v>
      </c>
      <c r="I176" s="2">
        <v>4815.0450009599999</v>
      </c>
      <c r="J176" s="2">
        <v>14418.38599776</v>
      </c>
      <c r="K176" s="3">
        <v>655.42699535999998</v>
      </c>
    </row>
    <row r="177" spans="1:11" x14ac:dyDescent="0.25">
      <c r="A177" t="s">
        <v>1</v>
      </c>
      <c r="B177" t="s">
        <v>59</v>
      </c>
      <c r="C177" t="s">
        <v>60</v>
      </c>
      <c r="D177">
        <v>1</v>
      </c>
      <c r="E177" t="s">
        <v>66</v>
      </c>
      <c r="F177">
        <v>2047</v>
      </c>
      <c r="G177" t="s">
        <v>2</v>
      </c>
      <c r="H177" s="2">
        <v>38374.408998480001</v>
      </c>
      <c r="I177" s="2">
        <v>4641.2759992800002</v>
      </c>
      <c r="J177" s="2">
        <v>13702.079007599999</v>
      </c>
      <c r="K177" s="3">
        <v>621.70199016000004</v>
      </c>
    </row>
    <row r="178" spans="1:11" x14ac:dyDescent="0.25">
      <c r="A178" t="s">
        <v>1</v>
      </c>
      <c r="B178" t="s">
        <v>59</v>
      </c>
      <c r="C178" t="s">
        <v>60</v>
      </c>
      <c r="D178">
        <v>1</v>
      </c>
      <c r="E178" t="s">
        <v>66</v>
      </c>
      <c r="F178">
        <v>2048</v>
      </c>
      <c r="G178" t="s">
        <v>2</v>
      </c>
      <c r="H178" s="2">
        <v>37171.836000000003</v>
      </c>
      <c r="I178" s="2">
        <v>4496.6259993599997</v>
      </c>
      <c r="J178" s="2">
        <v>13082.207997359999</v>
      </c>
      <c r="K178" s="3">
        <v>592.13900760000001</v>
      </c>
    </row>
    <row r="179" spans="1:11" x14ac:dyDescent="0.25">
      <c r="A179" t="s">
        <v>1</v>
      </c>
      <c r="B179" t="s">
        <v>59</v>
      </c>
      <c r="C179" t="s">
        <v>60</v>
      </c>
      <c r="D179">
        <v>1</v>
      </c>
      <c r="E179" t="s">
        <v>66</v>
      </c>
      <c r="F179">
        <v>2049</v>
      </c>
      <c r="G179" t="s">
        <v>2</v>
      </c>
      <c r="H179" s="2">
        <v>35502.108</v>
      </c>
      <c r="I179" s="2">
        <v>4297.3419979199998</v>
      </c>
      <c r="J179" s="2">
        <v>12298.110995520001</v>
      </c>
      <c r="K179" s="3">
        <v>555.74999735999995</v>
      </c>
    </row>
    <row r="180" spans="1:11" x14ac:dyDescent="0.25">
      <c r="A180" t="s">
        <v>1</v>
      </c>
      <c r="B180" t="s">
        <v>59</v>
      </c>
      <c r="C180" t="s">
        <v>60</v>
      </c>
      <c r="D180">
        <v>1</v>
      </c>
      <c r="E180" t="s">
        <v>66</v>
      </c>
      <c r="F180">
        <v>2050</v>
      </c>
      <c r="G180" t="s">
        <v>2</v>
      </c>
      <c r="H180" s="2">
        <v>34069.412998079999</v>
      </c>
      <c r="I180" s="2">
        <v>4127.3410008000001</v>
      </c>
      <c r="J180" s="2">
        <v>11608.552014479999</v>
      </c>
      <c r="K180" s="3">
        <v>523.59999503999995</v>
      </c>
    </row>
    <row r="181" spans="1:11" x14ac:dyDescent="0.25">
      <c r="A181" t="s">
        <v>1</v>
      </c>
      <c r="B181" t="s">
        <v>59</v>
      </c>
      <c r="C181" t="s">
        <v>60</v>
      </c>
      <c r="D181">
        <v>1</v>
      </c>
      <c r="E181" t="s">
        <v>66</v>
      </c>
      <c r="F181">
        <v>2051</v>
      </c>
      <c r="G181" t="s">
        <v>2</v>
      </c>
      <c r="H181" s="2">
        <v>34069.412998079999</v>
      </c>
      <c r="I181" s="2">
        <v>4127.3410008000001</v>
      </c>
      <c r="J181" s="2">
        <v>11608.552014479999</v>
      </c>
      <c r="K181" s="3">
        <v>523.59999503999995</v>
      </c>
    </row>
    <row r="182" spans="1:11" x14ac:dyDescent="0.25">
      <c r="A182" t="s">
        <v>1</v>
      </c>
      <c r="B182" t="s">
        <v>59</v>
      </c>
      <c r="C182" t="s">
        <v>60</v>
      </c>
      <c r="D182">
        <v>1</v>
      </c>
      <c r="E182" t="s">
        <v>67</v>
      </c>
      <c r="F182">
        <v>2022</v>
      </c>
      <c r="G182" t="s">
        <v>2</v>
      </c>
      <c r="H182">
        <v>72207.812998559937</v>
      </c>
      <c r="I182">
        <v>8611.1450003999962</v>
      </c>
      <c r="J182">
        <v>35984.105004720055</v>
      </c>
      <c r="K182">
        <v>1723.282999919988</v>
      </c>
    </row>
    <row r="183" spans="1:11" x14ac:dyDescent="0.25">
      <c r="A183" t="s">
        <v>1</v>
      </c>
      <c r="B183" t="s">
        <v>59</v>
      </c>
      <c r="C183" t="s">
        <v>60</v>
      </c>
      <c r="D183">
        <v>1</v>
      </c>
      <c r="E183" t="s">
        <v>67</v>
      </c>
      <c r="F183">
        <v>2023</v>
      </c>
      <c r="G183" t="s">
        <v>2</v>
      </c>
      <c r="H183">
        <v>71556.021998639961</v>
      </c>
      <c r="I183">
        <v>8619.5289993599927</v>
      </c>
      <c r="J183">
        <v>34817.459996880039</v>
      </c>
      <c r="K183">
        <v>1673.4570170400002</v>
      </c>
    </row>
    <row r="184" spans="1:11" x14ac:dyDescent="0.25">
      <c r="A184" t="s">
        <v>1</v>
      </c>
      <c r="B184" t="s">
        <v>59</v>
      </c>
      <c r="C184" t="s">
        <v>60</v>
      </c>
      <c r="D184">
        <v>1</v>
      </c>
      <c r="E184" t="s">
        <v>67</v>
      </c>
      <c r="F184">
        <v>2024</v>
      </c>
      <c r="G184" t="s">
        <v>2</v>
      </c>
      <c r="H184">
        <v>69811.845998400022</v>
      </c>
      <c r="I184">
        <v>8417.1109996799969</v>
      </c>
      <c r="J184">
        <v>33617.657992320019</v>
      </c>
      <c r="K184">
        <v>1614.5840001600063</v>
      </c>
    </row>
    <row r="185" spans="1:11" x14ac:dyDescent="0.25">
      <c r="A185" t="s">
        <v>1</v>
      </c>
      <c r="B185" t="s">
        <v>59</v>
      </c>
      <c r="C185" t="s">
        <v>60</v>
      </c>
      <c r="D185">
        <v>1</v>
      </c>
      <c r="E185" t="s">
        <v>67</v>
      </c>
      <c r="F185">
        <v>2025</v>
      </c>
      <c r="G185" t="s">
        <v>2</v>
      </c>
      <c r="H185">
        <v>66820.417998480014</v>
      </c>
      <c r="I185">
        <v>8066.3379998399978</v>
      </c>
      <c r="J185">
        <v>31923.825016800161</v>
      </c>
      <c r="K185">
        <v>1532.3070002400043</v>
      </c>
    </row>
    <row r="186" spans="1:11" x14ac:dyDescent="0.25">
      <c r="A186" t="s">
        <v>1</v>
      </c>
      <c r="B186" t="s">
        <v>59</v>
      </c>
      <c r="C186" t="s">
        <v>60</v>
      </c>
      <c r="D186">
        <v>1</v>
      </c>
      <c r="E186" t="s">
        <v>67</v>
      </c>
      <c r="F186">
        <v>2026</v>
      </c>
      <c r="G186" t="s">
        <v>2</v>
      </c>
      <c r="H186">
        <v>63851.117001839979</v>
      </c>
      <c r="I186">
        <v>7709.0470024800006</v>
      </c>
      <c r="J186">
        <v>30508.449997680051</v>
      </c>
      <c r="K186">
        <v>1462.8509978399989</v>
      </c>
    </row>
    <row r="187" spans="1:11" x14ac:dyDescent="0.25">
      <c r="A187" t="s">
        <v>1</v>
      </c>
      <c r="B187" t="s">
        <v>59</v>
      </c>
      <c r="C187" t="s">
        <v>60</v>
      </c>
      <c r="D187">
        <v>1</v>
      </c>
      <c r="E187" t="s">
        <v>67</v>
      </c>
      <c r="F187">
        <v>2027</v>
      </c>
      <c r="G187" t="s">
        <v>2</v>
      </c>
      <c r="H187">
        <v>60914.95799760001</v>
      </c>
      <c r="I187">
        <v>7354.0760006399978</v>
      </c>
      <c r="J187">
        <v>29105.76199752001</v>
      </c>
      <c r="K187">
        <v>1393.2150021599959</v>
      </c>
    </row>
    <row r="188" spans="1:11" x14ac:dyDescent="0.25">
      <c r="A188" t="s">
        <v>1</v>
      </c>
      <c r="B188" t="s">
        <v>59</v>
      </c>
      <c r="C188" t="s">
        <v>60</v>
      </c>
      <c r="D188">
        <v>1</v>
      </c>
      <c r="E188" t="s">
        <v>67</v>
      </c>
      <c r="F188">
        <v>2028</v>
      </c>
      <c r="G188" t="s">
        <v>2</v>
      </c>
      <c r="H188">
        <v>58371.684000239969</v>
      </c>
      <c r="I188">
        <v>7044.9630021600051</v>
      </c>
      <c r="J188">
        <v>27903.110002320005</v>
      </c>
      <c r="K188">
        <v>1332.5530099200002</v>
      </c>
    </row>
    <row r="189" spans="1:11" x14ac:dyDescent="0.25">
      <c r="A189" t="s">
        <v>1</v>
      </c>
      <c r="B189" t="s">
        <v>59</v>
      </c>
      <c r="C189" t="s">
        <v>60</v>
      </c>
      <c r="D189">
        <v>1</v>
      </c>
      <c r="E189" t="s">
        <v>67</v>
      </c>
      <c r="F189">
        <v>2029</v>
      </c>
      <c r="G189" t="s">
        <v>2</v>
      </c>
      <c r="H189">
        <v>55134.374001119962</v>
      </c>
      <c r="I189">
        <v>6651.0310017600004</v>
      </c>
      <c r="J189">
        <v>26365.790002799986</v>
      </c>
      <c r="K189">
        <v>1256.9489973600027</v>
      </c>
    </row>
    <row r="190" spans="1:11" x14ac:dyDescent="0.25">
      <c r="A190" t="s">
        <v>1</v>
      </c>
      <c r="B190" t="s">
        <v>59</v>
      </c>
      <c r="C190" t="s">
        <v>60</v>
      </c>
      <c r="D190">
        <v>1</v>
      </c>
      <c r="E190" t="s">
        <v>67</v>
      </c>
      <c r="F190">
        <v>2030</v>
      </c>
      <c r="G190" t="s">
        <v>2</v>
      </c>
      <c r="H190">
        <v>52307.984999279986</v>
      </c>
      <c r="I190">
        <v>6302.9990004000001</v>
      </c>
      <c r="J190">
        <v>25034.619994799974</v>
      </c>
      <c r="K190">
        <v>1191.314995199999</v>
      </c>
    </row>
    <row r="191" spans="1:11" x14ac:dyDescent="0.25">
      <c r="A191" t="s">
        <v>1</v>
      </c>
      <c r="B191" t="s">
        <v>59</v>
      </c>
      <c r="C191" t="s">
        <v>60</v>
      </c>
      <c r="D191">
        <v>1</v>
      </c>
      <c r="E191" t="s">
        <v>67</v>
      </c>
      <c r="F191">
        <v>2031</v>
      </c>
      <c r="G191" t="s">
        <v>2</v>
      </c>
      <c r="H191">
        <v>49507.847998800047</v>
      </c>
      <c r="I191">
        <v>5957.1770003999954</v>
      </c>
      <c r="J191">
        <v>23710.26399552001</v>
      </c>
      <c r="K191">
        <v>1126.350995040003</v>
      </c>
    </row>
    <row r="192" spans="1:11" x14ac:dyDescent="0.25">
      <c r="A192" t="s">
        <v>1</v>
      </c>
      <c r="B192" t="s">
        <v>59</v>
      </c>
      <c r="C192" t="s">
        <v>60</v>
      </c>
      <c r="D192">
        <v>1</v>
      </c>
      <c r="E192" t="s">
        <v>67</v>
      </c>
      <c r="F192">
        <v>2032</v>
      </c>
      <c r="G192" t="s">
        <v>2</v>
      </c>
      <c r="H192">
        <v>47045.324998800024</v>
      </c>
      <c r="I192">
        <v>5648.2619983199975</v>
      </c>
      <c r="J192">
        <v>22557.993999600043</v>
      </c>
      <c r="K192">
        <v>1069.4160050399985</v>
      </c>
    </row>
    <row r="193" spans="1:11" x14ac:dyDescent="0.25">
      <c r="A193" t="s">
        <v>1</v>
      </c>
      <c r="B193" t="s">
        <v>59</v>
      </c>
      <c r="C193" t="s">
        <v>60</v>
      </c>
      <c r="D193">
        <v>1</v>
      </c>
      <c r="E193" t="s">
        <v>67</v>
      </c>
      <c r="F193">
        <v>2033</v>
      </c>
      <c r="G193" t="s">
        <v>2</v>
      </c>
      <c r="H193">
        <v>44001.686001120004</v>
      </c>
      <c r="I193">
        <v>5272.1999983200058</v>
      </c>
      <c r="J193">
        <v>21142.249995360038</v>
      </c>
      <c r="K193">
        <v>1000.5760072800041</v>
      </c>
    </row>
    <row r="194" spans="1:11" x14ac:dyDescent="0.25">
      <c r="A194" t="s">
        <v>1</v>
      </c>
      <c r="B194" t="s">
        <v>59</v>
      </c>
      <c r="C194" t="s">
        <v>60</v>
      </c>
      <c r="D194">
        <v>1</v>
      </c>
      <c r="E194" t="s">
        <v>67</v>
      </c>
      <c r="F194">
        <v>2034</v>
      </c>
      <c r="G194" t="s">
        <v>2</v>
      </c>
      <c r="H194">
        <v>41266.590001439996</v>
      </c>
      <c r="I194">
        <v>4933.6340003999985</v>
      </c>
      <c r="J194">
        <v>19900.284985200124</v>
      </c>
      <c r="K194">
        <v>939.70299312000168</v>
      </c>
    </row>
    <row r="195" spans="1:11" x14ac:dyDescent="0.25">
      <c r="A195" t="s">
        <v>1</v>
      </c>
      <c r="B195" t="s">
        <v>59</v>
      </c>
      <c r="C195" t="s">
        <v>60</v>
      </c>
      <c r="D195">
        <v>1</v>
      </c>
      <c r="E195" t="s">
        <v>67</v>
      </c>
      <c r="F195">
        <v>2035</v>
      </c>
      <c r="G195" t="s">
        <v>2</v>
      </c>
      <c r="H195">
        <v>38557.084000559989</v>
      </c>
      <c r="I195">
        <v>4597.3759984800008</v>
      </c>
      <c r="J195">
        <v>18686.159006879992</v>
      </c>
      <c r="K195">
        <v>880.25999040000227</v>
      </c>
    </row>
    <row r="196" spans="1:11" x14ac:dyDescent="0.25">
      <c r="A196" t="s">
        <v>1</v>
      </c>
      <c r="B196" t="s">
        <v>59</v>
      </c>
      <c r="C196" t="s">
        <v>60</v>
      </c>
      <c r="D196">
        <v>1</v>
      </c>
      <c r="E196" t="s">
        <v>67</v>
      </c>
      <c r="F196">
        <v>2036</v>
      </c>
      <c r="G196" t="s">
        <v>2</v>
      </c>
      <c r="H196">
        <v>36089.493999119972</v>
      </c>
      <c r="I196">
        <v>4290.3370000799996</v>
      </c>
      <c r="J196">
        <v>17620.171009440019</v>
      </c>
      <c r="K196">
        <v>827.32499784000379</v>
      </c>
    </row>
    <row r="197" spans="1:11" x14ac:dyDescent="0.25">
      <c r="A197" t="s">
        <v>1</v>
      </c>
      <c r="B197" t="s">
        <v>59</v>
      </c>
      <c r="C197" t="s">
        <v>60</v>
      </c>
      <c r="D197">
        <v>1</v>
      </c>
      <c r="E197" t="s">
        <v>67</v>
      </c>
      <c r="F197">
        <v>2037</v>
      </c>
      <c r="G197" t="s">
        <v>2</v>
      </c>
      <c r="H197">
        <v>33172.888001039973</v>
      </c>
      <c r="I197">
        <v>3931.9559988000024</v>
      </c>
      <c r="J197">
        <v>16354.255995120007</v>
      </c>
      <c r="K197">
        <v>765.52598280000052</v>
      </c>
    </row>
    <row r="198" spans="1:11" x14ac:dyDescent="0.25">
      <c r="A198" t="s">
        <v>1</v>
      </c>
      <c r="B198" t="s">
        <v>59</v>
      </c>
      <c r="C198" t="s">
        <v>60</v>
      </c>
      <c r="D198">
        <v>1</v>
      </c>
      <c r="E198" t="s">
        <v>67</v>
      </c>
      <c r="F198">
        <v>2038</v>
      </c>
      <c r="G198" t="s">
        <v>2</v>
      </c>
      <c r="H198">
        <v>30497.590999680007</v>
      </c>
      <c r="I198">
        <v>3602.669001599998</v>
      </c>
      <c r="J198">
        <v>15224.608007040048</v>
      </c>
      <c r="K198">
        <v>710.11500456000147</v>
      </c>
    </row>
    <row r="199" spans="1:11" x14ac:dyDescent="0.25">
      <c r="A199" t="s">
        <v>1</v>
      </c>
      <c r="B199" t="s">
        <v>59</v>
      </c>
      <c r="C199" t="s">
        <v>60</v>
      </c>
      <c r="D199">
        <v>1</v>
      </c>
      <c r="E199" t="s">
        <v>67</v>
      </c>
      <c r="F199">
        <v>2039</v>
      </c>
      <c r="G199" t="s">
        <v>2</v>
      </c>
      <c r="H199">
        <v>27832.575999120014</v>
      </c>
      <c r="I199">
        <v>3275.7970000799992</v>
      </c>
      <c r="J199">
        <v>14113.104009359946</v>
      </c>
      <c r="K199">
        <v>655.9470098399978</v>
      </c>
    </row>
    <row r="200" spans="1:11" x14ac:dyDescent="0.25">
      <c r="A200" t="s">
        <v>1</v>
      </c>
      <c r="B200" t="s">
        <v>59</v>
      </c>
      <c r="C200" t="s">
        <v>60</v>
      </c>
      <c r="D200">
        <v>1</v>
      </c>
      <c r="E200" t="s">
        <v>67</v>
      </c>
      <c r="F200">
        <v>2040</v>
      </c>
      <c r="G200" t="s">
        <v>2</v>
      </c>
      <c r="H200">
        <v>25339.951998479999</v>
      </c>
      <c r="I200">
        <v>2969.2500021600003</v>
      </c>
      <c r="J200">
        <v>13108.025999999976</v>
      </c>
      <c r="K200">
        <v>606.74200271999644</v>
      </c>
    </row>
    <row r="201" spans="1:11" x14ac:dyDescent="0.25">
      <c r="A201" t="s">
        <v>1</v>
      </c>
      <c r="B201" t="s">
        <v>59</v>
      </c>
      <c r="C201" t="s">
        <v>60</v>
      </c>
      <c r="D201">
        <v>1</v>
      </c>
      <c r="E201" t="s">
        <v>67</v>
      </c>
      <c r="F201">
        <v>2041</v>
      </c>
      <c r="G201" t="s">
        <v>2</v>
      </c>
      <c r="H201">
        <v>22534.515999360006</v>
      </c>
      <c r="I201">
        <v>2628.16200192</v>
      </c>
      <c r="J201">
        <v>11950.434992399985</v>
      </c>
      <c r="K201">
        <v>551.30899536000004</v>
      </c>
    </row>
    <row r="202" spans="1:11" x14ac:dyDescent="0.25">
      <c r="A202" t="s">
        <v>1</v>
      </c>
      <c r="B202" t="s">
        <v>59</v>
      </c>
      <c r="C202" t="s">
        <v>60</v>
      </c>
      <c r="D202">
        <v>1</v>
      </c>
      <c r="E202" t="s">
        <v>67</v>
      </c>
      <c r="F202">
        <v>2042</v>
      </c>
      <c r="G202" t="s">
        <v>2</v>
      </c>
      <c r="H202">
        <v>19901.223001679999</v>
      </c>
      <c r="I202">
        <v>2308.2989992800012</v>
      </c>
      <c r="J202">
        <v>10891.787014319983</v>
      </c>
      <c r="K202">
        <v>500.72098799999884</v>
      </c>
    </row>
    <row r="203" spans="1:11" x14ac:dyDescent="0.25">
      <c r="A203" t="s">
        <v>1</v>
      </c>
      <c r="B203" t="s">
        <v>59</v>
      </c>
      <c r="C203" t="s">
        <v>60</v>
      </c>
      <c r="D203">
        <v>1</v>
      </c>
      <c r="E203" t="s">
        <v>67</v>
      </c>
      <c r="F203">
        <v>2043</v>
      </c>
      <c r="G203" t="s">
        <v>2</v>
      </c>
      <c r="H203">
        <v>17275.943999999996</v>
      </c>
      <c r="I203">
        <v>1990.6399999199989</v>
      </c>
      <c r="J203">
        <v>9846.195004560057</v>
      </c>
      <c r="K203">
        <v>451.1940000000011</v>
      </c>
    </row>
    <row r="204" spans="1:11" x14ac:dyDescent="0.25">
      <c r="A204" t="s">
        <v>1</v>
      </c>
      <c r="B204" t="s">
        <v>59</v>
      </c>
      <c r="C204" t="s">
        <v>60</v>
      </c>
      <c r="D204">
        <v>1</v>
      </c>
      <c r="E204" t="s">
        <v>67</v>
      </c>
      <c r="F204">
        <v>2044</v>
      </c>
      <c r="G204" t="s">
        <v>2</v>
      </c>
      <c r="H204">
        <v>14759.652999359994</v>
      </c>
      <c r="I204">
        <v>1685.9960032800007</v>
      </c>
      <c r="J204">
        <v>8875.1199900000174</v>
      </c>
      <c r="K204">
        <v>405.10599000000047</v>
      </c>
    </row>
    <row r="205" spans="1:11" x14ac:dyDescent="0.25">
      <c r="A205" t="s">
        <v>1</v>
      </c>
      <c r="B205" t="s">
        <v>59</v>
      </c>
      <c r="C205" t="s">
        <v>60</v>
      </c>
      <c r="D205">
        <v>1</v>
      </c>
      <c r="E205" t="s">
        <v>67</v>
      </c>
      <c r="F205">
        <v>2045</v>
      </c>
      <c r="G205" t="s">
        <v>2</v>
      </c>
      <c r="H205">
        <v>12058.193999999992</v>
      </c>
      <c r="I205">
        <v>1361.8259992799999</v>
      </c>
      <c r="J205">
        <v>7811.5320069599939</v>
      </c>
      <c r="K205">
        <v>355.8099832800001</v>
      </c>
    </row>
    <row r="206" spans="1:11" x14ac:dyDescent="0.25">
      <c r="A206" t="s">
        <v>1</v>
      </c>
      <c r="B206" t="s">
        <v>59</v>
      </c>
      <c r="C206" t="s">
        <v>60</v>
      </c>
      <c r="D206">
        <v>1</v>
      </c>
      <c r="E206" t="s">
        <v>67</v>
      </c>
      <c r="F206">
        <v>2046</v>
      </c>
      <c r="G206" t="s">
        <v>2</v>
      </c>
      <c r="H206">
        <v>9712.9180005599992</v>
      </c>
      <c r="I206">
        <v>1084.4820000000004</v>
      </c>
      <c r="J206">
        <v>6815.9510071199929</v>
      </c>
      <c r="K206">
        <v>309.76799711999905</v>
      </c>
    </row>
    <row r="207" spans="1:11" x14ac:dyDescent="0.25">
      <c r="A207" t="s">
        <v>1</v>
      </c>
      <c r="B207" t="s">
        <v>59</v>
      </c>
      <c r="C207" t="s">
        <v>60</v>
      </c>
      <c r="D207">
        <v>1</v>
      </c>
      <c r="E207" t="s">
        <v>67</v>
      </c>
      <c r="F207">
        <v>2047</v>
      </c>
      <c r="G207" t="s">
        <v>2</v>
      </c>
      <c r="H207">
        <v>8387.135999760003</v>
      </c>
      <c r="I207">
        <v>946.12000007999984</v>
      </c>
      <c r="J207">
        <v>5830.6980045600112</v>
      </c>
      <c r="K207">
        <v>264.48899231999985</v>
      </c>
    </row>
    <row r="208" spans="1:11" x14ac:dyDescent="0.25">
      <c r="A208" t="s">
        <v>1</v>
      </c>
      <c r="B208" t="s">
        <v>59</v>
      </c>
      <c r="C208" t="s">
        <v>60</v>
      </c>
      <c r="D208">
        <v>1</v>
      </c>
      <c r="E208" t="s">
        <v>67</v>
      </c>
      <c r="F208">
        <v>2048</v>
      </c>
      <c r="G208" t="s">
        <v>2</v>
      </c>
      <c r="H208">
        <v>7909.4359992000018</v>
      </c>
      <c r="I208">
        <v>909.95599848000052</v>
      </c>
      <c r="J208">
        <v>4889.7580044000069</v>
      </c>
      <c r="K208">
        <v>221.26500744000117</v>
      </c>
    </row>
    <row r="209" spans="1:11" x14ac:dyDescent="0.25">
      <c r="A209" t="s">
        <v>1</v>
      </c>
      <c r="B209" t="s">
        <v>59</v>
      </c>
      <c r="C209" t="s">
        <v>60</v>
      </c>
      <c r="D209">
        <v>1</v>
      </c>
      <c r="E209" t="s">
        <v>67</v>
      </c>
      <c r="F209">
        <v>2049</v>
      </c>
      <c r="G209" t="s">
        <v>2</v>
      </c>
      <c r="H209">
        <v>7325.1940000800023</v>
      </c>
      <c r="I209">
        <v>875.29199951999976</v>
      </c>
      <c r="J209">
        <v>3894.3160046399839</v>
      </c>
      <c r="K209">
        <v>175.93999776000004</v>
      </c>
    </row>
    <row r="210" spans="1:11" x14ac:dyDescent="0.25">
      <c r="A210" t="s">
        <v>1</v>
      </c>
      <c r="B210" t="s">
        <v>59</v>
      </c>
      <c r="C210" t="s">
        <v>60</v>
      </c>
      <c r="D210">
        <v>1</v>
      </c>
      <c r="E210" t="s">
        <v>67</v>
      </c>
      <c r="F210">
        <v>2050</v>
      </c>
      <c r="G210" t="s">
        <v>2</v>
      </c>
      <c r="H210">
        <v>6786.4380004800041</v>
      </c>
      <c r="I210">
        <v>846.74599799999953</v>
      </c>
      <c r="J210">
        <v>2943.8349926399951</v>
      </c>
      <c r="K210">
        <v>132.81099743999988</v>
      </c>
    </row>
    <row r="211" spans="1:11" x14ac:dyDescent="0.25">
      <c r="A211" t="s">
        <v>1</v>
      </c>
      <c r="B211" t="s">
        <v>59</v>
      </c>
      <c r="C211" t="s">
        <v>60</v>
      </c>
      <c r="D211">
        <v>1</v>
      </c>
      <c r="E211" t="s">
        <v>67</v>
      </c>
      <c r="F211">
        <v>2051</v>
      </c>
      <c r="G211" t="s">
        <v>2</v>
      </c>
      <c r="H211">
        <v>6786.4380004800041</v>
      </c>
      <c r="I211">
        <v>846.74599799999953</v>
      </c>
      <c r="J211">
        <v>2943.8349926399951</v>
      </c>
      <c r="K211">
        <v>132.81099743999988</v>
      </c>
    </row>
    <row r="212" spans="1:11" x14ac:dyDescent="0.25">
      <c r="A212" t="s">
        <v>1</v>
      </c>
      <c r="B212" t="s">
        <v>59</v>
      </c>
      <c r="C212" t="s">
        <v>60</v>
      </c>
      <c r="D212">
        <v>1</v>
      </c>
      <c r="E212" t="s">
        <v>95</v>
      </c>
      <c r="F212">
        <v>2022</v>
      </c>
      <c r="G212" t="s">
        <v>2</v>
      </c>
      <c r="H212">
        <v>72042.331998239955</v>
      </c>
      <c r="I212">
        <v>8589.9869995200006</v>
      </c>
      <c r="J212">
        <v>35984.105004720055</v>
      </c>
      <c r="K212">
        <v>1723.282999919988</v>
      </c>
    </row>
    <row r="213" spans="1:11" x14ac:dyDescent="0.25">
      <c r="A213" t="s">
        <v>1</v>
      </c>
      <c r="B213" t="s">
        <v>59</v>
      </c>
      <c r="C213" t="s">
        <v>60</v>
      </c>
      <c r="D213">
        <v>1</v>
      </c>
      <c r="E213" t="s">
        <v>95</v>
      </c>
      <c r="F213">
        <v>2023</v>
      </c>
      <c r="G213" t="s">
        <v>2</v>
      </c>
      <c r="H213">
        <v>72476.863998960063</v>
      </c>
      <c r="I213">
        <v>8714.1079987200028</v>
      </c>
      <c r="J213">
        <v>35973.658004640107</v>
      </c>
      <c r="K213">
        <v>1729.1350027199983</v>
      </c>
    </row>
    <row r="214" spans="1:11" x14ac:dyDescent="0.25">
      <c r="A214" t="s">
        <v>1</v>
      </c>
      <c r="B214" t="s">
        <v>59</v>
      </c>
      <c r="C214" t="s">
        <v>60</v>
      </c>
      <c r="D214">
        <v>1</v>
      </c>
      <c r="E214" t="s">
        <v>95</v>
      </c>
      <c r="F214">
        <v>2024</v>
      </c>
      <c r="G214" t="s">
        <v>2</v>
      </c>
      <c r="H214">
        <v>72845.951003519935</v>
      </c>
      <c r="I214">
        <v>8772.8999961600039</v>
      </c>
      <c r="J214">
        <v>35925.228005039986</v>
      </c>
      <c r="K214">
        <v>1725.3839880000032</v>
      </c>
    </row>
    <row r="215" spans="1:11" x14ac:dyDescent="0.25">
      <c r="A215" t="s">
        <v>1</v>
      </c>
      <c r="B215" t="s">
        <v>59</v>
      </c>
      <c r="C215" t="s">
        <v>60</v>
      </c>
      <c r="D215">
        <v>1</v>
      </c>
      <c r="E215" t="s">
        <v>95</v>
      </c>
      <c r="F215">
        <v>2025</v>
      </c>
      <c r="G215" t="s">
        <v>2</v>
      </c>
      <c r="H215">
        <v>72267.821999040025</v>
      </c>
      <c r="I215">
        <v>8725.465001280003</v>
      </c>
      <c r="J215">
        <v>35326.384005119973</v>
      </c>
      <c r="K215">
        <v>1695.6819904799966</v>
      </c>
    </row>
    <row r="216" spans="1:11" x14ac:dyDescent="0.25">
      <c r="A216" t="s">
        <v>1</v>
      </c>
      <c r="B216" t="s">
        <v>59</v>
      </c>
      <c r="C216" t="s">
        <v>60</v>
      </c>
      <c r="D216">
        <v>1</v>
      </c>
      <c r="E216" t="s">
        <v>95</v>
      </c>
      <c r="F216">
        <v>2026</v>
      </c>
      <c r="G216" t="s">
        <v>2</v>
      </c>
      <c r="H216">
        <v>72091.490000639998</v>
      </c>
      <c r="I216">
        <v>8718.509001360002</v>
      </c>
      <c r="J216">
        <v>35002.974990239876</v>
      </c>
      <c r="K216">
        <v>1678.3019978399991</v>
      </c>
    </row>
    <row r="217" spans="1:11" x14ac:dyDescent="0.25">
      <c r="A217" t="s">
        <v>1</v>
      </c>
      <c r="B217" t="s">
        <v>59</v>
      </c>
      <c r="C217" t="s">
        <v>60</v>
      </c>
      <c r="D217">
        <v>1</v>
      </c>
      <c r="E217" t="s">
        <v>95</v>
      </c>
      <c r="F217">
        <v>2027</v>
      </c>
      <c r="G217" t="s">
        <v>2</v>
      </c>
      <c r="H217">
        <v>71822.523000960005</v>
      </c>
      <c r="I217">
        <v>8695.5639988800049</v>
      </c>
      <c r="J217">
        <v>34669.870999919956</v>
      </c>
      <c r="K217">
        <v>1659.6489902399933</v>
      </c>
    </row>
    <row r="218" spans="1:11" x14ac:dyDescent="0.25">
      <c r="A218" t="s">
        <v>1</v>
      </c>
      <c r="B218" t="s">
        <v>59</v>
      </c>
      <c r="C218" t="s">
        <v>60</v>
      </c>
      <c r="D218">
        <v>1</v>
      </c>
      <c r="E218" t="s">
        <v>95</v>
      </c>
      <c r="F218">
        <v>2028</v>
      </c>
      <c r="G218" t="s">
        <v>2</v>
      </c>
      <c r="H218">
        <v>71869.333998719958</v>
      </c>
      <c r="I218">
        <v>8711.7069988800013</v>
      </c>
      <c r="J218">
        <v>34558.123004880021</v>
      </c>
      <c r="K218">
        <v>1650.4980050400047</v>
      </c>
    </row>
    <row r="219" spans="1:11" x14ac:dyDescent="0.25">
      <c r="A219" t="s">
        <v>1</v>
      </c>
      <c r="B219" t="s">
        <v>59</v>
      </c>
      <c r="C219" t="s">
        <v>60</v>
      </c>
      <c r="D219">
        <v>1</v>
      </c>
      <c r="E219" t="s">
        <v>95</v>
      </c>
      <c r="F219">
        <v>2029</v>
      </c>
      <c r="G219" t="s">
        <v>2</v>
      </c>
      <c r="H219">
        <v>70909.864999680038</v>
      </c>
      <c r="I219">
        <v>8605.5580003199957</v>
      </c>
      <c r="J219">
        <v>34005.209997839942</v>
      </c>
      <c r="K219">
        <v>1621.2860078399981</v>
      </c>
    </row>
    <row r="220" spans="1:11" x14ac:dyDescent="0.25">
      <c r="A220" t="s">
        <v>1</v>
      </c>
      <c r="B220" t="s">
        <v>59</v>
      </c>
      <c r="C220" t="s">
        <v>60</v>
      </c>
      <c r="D220">
        <v>1</v>
      </c>
      <c r="E220" t="s">
        <v>95</v>
      </c>
      <c r="F220">
        <v>2030</v>
      </c>
      <c r="G220" t="s">
        <v>2</v>
      </c>
      <c r="H220">
        <v>70317.45600239998</v>
      </c>
      <c r="I220">
        <v>8541.4279992000029</v>
      </c>
      <c r="J220">
        <v>33682.041994799933</v>
      </c>
      <c r="K220">
        <v>1602.9339952800017</v>
      </c>
    </row>
    <row r="221" spans="1:11" x14ac:dyDescent="0.25">
      <c r="A221" t="s">
        <v>1</v>
      </c>
      <c r="B221" t="s">
        <v>59</v>
      </c>
      <c r="C221" t="s">
        <v>60</v>
      </c>
      <c r="D221">
        <v>1</v>
      </c>
      <c r="E221" t="s">
        <v>95</v>
      </c>
      <c r="F221">
        <v>2031</v>
      </c>
      <c r="G221" t="s">
        <v>2</v>
      </c>
      <c r="H221">
        <v>69678.319001039985</v>
      </c>
      <c r="I221">
        <v>8471.3199991199999</v>
      </c>
      <c r="J221">
        <v>33339.305990159977</v>
      </c>
      <c r="K221">
        <v>1583.9490052799931</v>
      </c>
    </row>
    <row r="222" spans="1:11" x14ac:dyDescent="0.25">
      <c r="A222" t="s">
        <v>1</v>
      </c>
      <c r="B222" t="s">
        <v>59</v>
      </c>
      <c r="C222" t="s">
        <v>60</v>
      </c>
      <c r="D222">
        <v>1</v>
      </c>
      <c r="E222" t="s">
        <v>95</v>
      </c>
      <c r="F222">
        <v>2032</v>
      </c>
      <c r="G222" t="s">
        <v>2</v>
      </c>
      <c r="H222">
        <v>69500.666999519963</v>
      </c>
      <c r="I222">
        <v>8455.5819993600071</v>
      </c>
      <c r="J222">
        <v>33217.422009599817</v>
      </c>
      <c r="K222">
        <v>1574.8200021600012</v>
      </c>
    </row>
    <row r="223" spans="1:11" x14ac:dyDescent="0.25">
      <c r="A223" t="s">
        <v>1</v>
      </c>
      <c r="B223" t="s">
        <v>59</v>
      </c>
      <c r="C223" t="s">
        <v>60</v>
      </c>
      <c r="D223">
        <v>1</v>
      </c>
      <c r="E223" t="s">
        <v>95</v>
      </c>
      <c r="F223">
        <v>2033</v>
      </c>
      <c r="G223" t="s">
        <v>2</v>
      </c>
      <c r="H223">
        <v>68386.894000560002</v>
      </c>
      <c r="I223">
        <v>8332.7290003200051</v>
      </c>
      <c r="J223">
        <v>32675.977999919771</v>
      </c>
      <c r="K223">
        <v>1546.5240024000038</v>
      </c>
    </row>
    <row r="224" spans="1:11" x14ac:dyDescent="0.25">
      <c r="A224" t="s">
        <v>1</v>
      </c>
      <c r="B224" t="s">
        <v>59</v>
      </c>
      <c r="C224" t="s">
        <v>60</v>
      </c>
      <c r="D224">
        <v>1</v>
      </c>
      <c r="E224" t="s">
        <v>95</v>
      </c>
      <c r="F224">
        <v>2034</v>
      </c>
      <c r="G224" t="s">
        <v>2</v>
      </c>
      <c r="H224">
        <v>67733.981999999975</v>
      </c>
      <c r="I224">
        <v>8270.698001519997</v>
      </c>
      <c r="J224">
        <v>32360.837014320092</v>
      </c>
      <c r="K224">
        <v>1528.1739832799967</v>
      </c>
    </row>
    <row r="225" spans="1:11" x14ac:dyDescent="0.25">
      <c r="A225" t="s">
        <v>1</v>
      </c>
      <c r="B225" t="s">
        <v>59</v>
      </c>
      <c r="C225" t="s">
        <v>60</v>
      </c>
      <c r="D225">
        <v>1</v>
      </c>
      <c r="E225" t="s">
        <v>95</v>
      </c>
      <c r="F225">
        <v>2035</v>
      </c>
      <c r="G225" t="s">
        <v>2</v>
      </c>
      <c r="H225">
        <v>67152.410001600045</v>
      </c>
      <c r="I225">
        <v>8215.0230004799942</v>
      </c>
      <c r="J225">
        <v>32058.722002559898</v>
      </c>
      <c r="K225">
        <v>1510.341004800001</v>
      </c>
    </row>
    <row r="226" spans="1:11" x14ac:dyDescent="0.25">
      <c r="A226" t="s">
        <v>1</v>
      </c>
      <c r="B226" t="s">
        <v>59</v>
      </c>
      <c r="C226" t="s">
        <v>60</v>
      </c>
      <c r="D226">
        <v>1</v>
      </c>
      <c r="E226" t="s">
        <v>95</v>
      </c>
      <c r="F226">
        <v>2036</v>
      </c>
      <c r="G226" t="s">
        <v>2</v>
      </c>
      <c r="H226">
        <v>66987.752997360061</v>
      </c>
      <c r="I226">
        <v>8212.8120009599934</v>
      </c>
      <c r="J226">
        <v>31990.584999840139</v>
      </c>
      <c r="K226">
        <v>1502.1830023199996</v>
      </c>
    </row>
    <row r="227" spans="1:11" x14ac:dyDescent="0.25">
      <c r="A227" t="s">
        <v>1</v>
      </c>
      <c r="B227" t="s">
        <v>59</v>
      </c>
      <c r="C227" t="s">
        <v>60</v>
      </c>
      <c r="D227">
        <v>1</v>
      </c>
      <c r="E227" t="s">
        <v>95</v>
      </c>
      <c r="F227">
        <v>2037</v>
      </c>
      <c r="G227" t="s">
        <v>2</v>
      </c>
      <c r="H227">
        <v>65891.556999840017</v>
      </c>
      <c r="I227">
        <v>8102.715999840002</v>
      </c>
      <c r="J227">
        <v>31527.913007519841</v>
      </c>
      <c r="K227">
        <v>1475.8870000800011</v>
      </c>
    </row>
    <row r="228" spans="1:11" x14ac:dyDescent="0.25">
      <c r="A228" t="s">
        <v>1</v>
      </c>
      <c r="B228" t="s">
        <v>59</v>
      </c>
      <c r="C228" t="s">
        <v>60</v>
      </c>
      <c r="D228">
        <v>1</v>
      </c>
      <c r="E228" t="s">
        <v>95</v>
      </c>
      <c r="F228">
        <v>2038</v>
      </c>
      <c r="G228" t="s">
        <v>2</v>
      </c>
      <c r="H228">
        <v>65236.493001119932</v>
      </c>
      <c r="I228">
        <v>8041.9460016000066</v>
      </c>
      <c r="J228">
        <v>31284.56099231997</v>
      </c>
      <c r="K228">
        <v>1459.2669878400009</v>
      </c>
    </row>
    <row r="229" spans="1:11" x14ac:dyDescent="0.25">
      <c r="A229" t="s">
        <v>1</v>
      </c>
      <c r="B229" t="s">
        <v>59</v>
      </c>
      <c r="C229" t="s">
        <v>60</v>
      </c>
      <c r="D229">
        <v>1</v>
      </c>
      <c r="E229" t="s">
        <v>95</v>
      </c>
      <c r="F229">
        <v>2039</v>
      </c>
      <c r="G229" t="s">
        <v>2</v>
      </c>
      <c r="H229">
        <v>64617.411002159963</v>
      </c>
      <c r="I229">
        <v>7979.2529980799955</v>
      </c>
      <c r="J229">
        <v>31046.600988000093</v>
      </c>
      <c r="K229">
        <v>1443.2510028000002</v>
      </c>
    </row>
    <row r="230" spans="1:11" x14ac:dyDescent="0.25">
      <c r="A230" t="s">
        <v>1</v>
      </c>
      <c r="B230" t="s">
        <v>59</v>
      </c>
      <c r="C230" t="s">
        <v>60</v>
      </c>
      <c r="D230">
        <v>1</v>
      </c>
      <c r="E230" t="s">
        <v>95</v>
      </c>
      <c r="F230">
        <v>2040</v>
      </c>
      <c r="G230" t="s">
        <v>2</v>
      </c>
      <c r="H230">
        <v>64371.175999679996</v>
      </c>
      <c r="I230">
        <v>7975.6889992799943</v>
      </c>
      <c r="J230">
        <v>31024.996987679991</v>
      </c>
      <c r="K230">
        <v>1436.4520075199998</v>
      </c>
    </row>
    <row r="231" spans="1:11" x14ac:dyDescent="0.25">
      <c r="A231" t="s">
        <v>1</v>
      </c>
      <c r="B231" t="s">
        <v>59</v>
      </c>
      <c r="C231" t="s">
        <v>60</v>
      </c>
      <c r="D231">
        <v>1</v>
      </c>
      <c r="E231" t="s">
        <v>95</v>
      </c>
      <c r="F231">
        <v>2041</v>
      </c>
      <c r="G231" t="s">
        <v>2</v>
      </c>
      <c r="H231">
        <v>63429.116000879971</v>
      </c>
      <c r="I231">
        <v>7878.1459996799986</v>
      </c>
      <c r="J231">
        <v>30608.057994959865</v>
      </c>
      <c r="K231">
        <v>1412.3770077599979</v>
      </c>
    </row>
    <row r="232" spans="1:11" x14ac:dyDescent="0.25">
      <c r="A232" t="s">
        <v>1</v>
      </c>
      <c r="B232" t="s">
        <v>59</v>
      </c>
      <c r="C232" t="s">
        <v>60</v>
      </c>
      <c r="D232">
        <v>1</v>
      </c>
      <c r="E232" t="s">
        <v>95</v>
      </c>
      <c r="F232">
        <v>2042</v>
      </c>
      <c r="G232" t="s">
        <v>2</v>
      </c>
      <c r="H232">
        <v>62985.551002079999</v>
      </c>
      <c r="I232">
        <v>7843.0800011999982</v>
      </c>
      <c r="J232">
        <v>30393.266990399923</v>
      </c>
      <c r="K232">
        <v>1397.4540071999916</v>
      </c>
    </row>
    <row r="233" spans="1:11" x14ac:dyDescent="0.25">
      <c r="A233" t="s">
        <v>1</v>
      </c>
      <c r="B233" t="s">
        <v>59</v>
      </c>
      <c r="C233" t="s">
        <v>60</v>
      </c>
      <c r="D233">
        <v>1</v>
      </c>
      <c r="E233" t="s">
        <v>95</v>
      </c>
      <c r="F233">
        <v>2043</v>
      </c>
      <c r="G233" t="s">
        <v>2</v>
      </c>
      <c r="H233">
        <v>62560.321001279997</v>
      </c>
      <c r="I233">
        <v>7814.4619989600042</v>
      </c>
      <c r="J233">
        <v>30175.873001999975</v>
      </c>
      <c r="K233">
        <v>1382.9870071200066</v>
      </c>
    </row>
    <row r="234" spans="1:11" x14ac:dyDescent="0.25">
      <c r="A234" t="s">
        <v>1</v>
      </c>
      <c r="B234" t="s">
        <v>59</v>
      </c>
      <c r="C234" t="s">
        <v>60</v>
      </c>
      <c r="D234">
        <v>1</v>
      </c>
      <c r="E234" t="s">
        <v>95</v>
      </c>
      <c r="F234">
        <v>2044</v>
      </c>
      <c r="G234" t="s">
        <v>2</v>
      </c>
      <c r="H234">
        <v>62488.57499663996</v>
      </c>
      <c r="I234">
        <v>7837.2980016000001</v>
      </c>
      <c r="J234">
        <v>30165.160004399993</v>
      </c>
      <c r="K234">
        <v>1377.320992799999</v>
      </c>
    </row>
    <row r="235" spans="1:11" x14ac:dyDescent="0.25">
      <c r="A235" t="s">
        <v>1</v>
      </c>
      <c r="B235" t="s">
        <v>59</v>
      </c>
      <c r="C235" t="s">
        <v>60</v>
      </c>
      <c r="D235">
        <v>1</v>
      </c>
      <c r="E235" t="s">
        <v>95</v>
      </c>
      <c r="F235">
        <v>2045</v>
      </c>
      <c r="G235" t="s">
        <v>2</v>
      </c>
      <c r="H235">
        <v>61593.289999199958</v>
      </c>
      <c r="I235">
        <v>7754.8069979999973</v>
      </c>
      <c r="J235">
        <v>29797.334997359842</v>
      </c>
      <c r="K235">
        <v>1357.6340028000027</v>
      </c>
    </row>
    <row r="236" spans="1:11" x14ac:dyDescent="0.25">
      <c r="A236" t="s">
        <v>1</v>
      </c>
      <c r="B236" t="s">
        <v>59</v>
      </c>
      <c r="C236" t="s">
        <v>60</v>
      </c>
      <c r="D236">
        <v>1</v>
      </c>
      <c r="E236" t="s">
        <v>95</v>
      </c>
      <c r="F236">
        <v>2046</v>
      </c>
      <c r="G236" t="s">
        <v>2</v>
      </c>
      <c r="H236">
        <v>61163.176001280008</v>
      </c>
      <c r="I236">
        <v>7716.7959988800012</v>
      </c>
      <c r="J236">
        <v>29623.288002479963</v>
      </c>
      <c r="K236">
        <v>1346.7740145599973</v>
      </c>
    </row>
    <row r="237" spans="1:11" x14ac:dyDescent="0.25">
      <c r="A237" t="s">
        <v>1</v>
      </c>
      <c r="B237" t="s">
        <v>59</v>
      </c>
      <c r="C237" t="s">
        <v>60</v>
      </c>
      <c r="D237">
        <v>1</v>
      </c>
      <c r="E237" t="s">
        <v>95</v>
      </c>
      <c r="F237">
        <v>2047</v>
      </c>
      <c r="G237" t="s">
        <v>2</v>
      </c>
      <c r="H237">
        <v>60735.693999359974</v>
      </c>
      <c r="I237">
        <v>7678.2940000800036</v>
      </c>
      <c r="J237">
        <v>29444.816002080061</v>
      </c>
      <c r="K237">
        <v>1336.0989976799947</v>
      </c>
    </row>
    <row r="238" spans="1:11" x14ac:dyDescent="0.25">
      <c r="A238" t="s">
        <v>1</v>
      </c>
      <c r="B238" t="s">
        <v>59</v>
      </c>
      <c r="C238" t="s">
        <v>60</v>
      </c>
      <c r="D238">
        <v>1</v>
      </c>
      <c r="E238" t="s">
        <v>95</v>
      </c>
      <c r="F238">
        <v>2048</v>
      </c>
      <c r="G238" t="s">
        <v>2</v>
      </c>
      <c r="H238">
        <v>60684.368000159993</v>
      </c>
      <c r="I238">
        <v>7693.4159976000001</v>
      </c>
      <c r="J238">
        <v>29466.991002480037</v>
      </c>
      <c r="K238">
        <v>1334.0079952799954</v>
      </c>
    </row>
    <row r="239" spans="1:11" x14ac:dyDescent="0.25">
      <c r="A239" t="s">
        <v>1</v>
      </c>
      <c r="B239" t="s">
        <v>59</v>
      </c>
      <c r="C239" t="s">
        <v>60</v>
      </c>
      <c r="D239">
        <v>1</v>
      </c>
      <c r="E239" t="s">
        <v>95</v>
      </c>
      <c r="F239">
        <v>2049</v>
      </c>
      <c r="G239" t="s">
        <v>2</v>
      </c>
      <c r="H239">
        <v>59895.001002480036</v>
      </c>
      <c r="I239">
        <v>7612.7140020000015</v>
      </c>
      <c r="J239">
        <v>29105.758002239916</v>
      </c>
      <c r="K239">
        <v>1315.3660046399973</v>
      </c>
    </row>
    <row r="240" spans="1:11" x14ac:dyDescent="0.25">
      <c r="A240" t="s">
        <v>1</v>
      </c>
      <c r="B240" t="s">
        <v>59</v>
      </c>
      <c r="C240" t="s">
        <v>60</v>
      </c>
      <c r="D240">
        <v>1</v>
      </c>
      <c r="E240" t="s">
        <v>95</v>
      </c>
      <c r="F240">
        <v>2050</v>
      </c>
      <c r="G240" t="s">
        <v>2</v>
      </c>
      <c r="H240">
        <v>59446.832999280006</v>
      </c>
      <c r="I240">
        <v>7567.5819971999963</v>
      </c>
      <c r="J240">
        <v>28938.074014320078</v>
      </c>
      <c r="K240">
        <v>1305.2380024799995</v>
      </c>
    </row>
    <row r="241" spans="1:11" x14ac:dyDescent="0.25">
      <c r="A241" t="s">
        <v>1</v>
      </c>
      <c r="B241" t="s">
        <v>59</v>
      </c>
      <c r="C241" t="s">
        <v>60</v>
      </c>
      <c r="D241">
        <v>1</v>
      </c>
      <c r="E241" t="s">
        <v>95</v>
      </c>
      <c r="F241">
        <v>2051</v>
      </c>
      <c r="G241" t="s">
        <v>2</v>
      </c>
      <c r="H241">
        <v>59446.832999280006</v>
      </c>
      <c r="I241">
        <v>7567.5819971999963</v>
      </c>
      <c r="J241">
        <v>28938.074014320078</v>
      </c>
      <c r="K241">
        <v>1305.2380024799995</v>
      </c>
    </row>
    <row r="242" spans="1:11" x14ac:dyDescent="0.25">
      <c r="A242" t="s">
        <v>1</v>
      </c>
      <c r="B242" t="s">
        <v>59</v>
      </c>
      <c r="C242" t="s">
        <v>60</v>
      </c>
      <c r="D242">
        <v>1</v>
      </c>
      <c r="E242" t="s">
        <v>96</v>
      </c>
      <c r="F242">
        <v>2022</v>
      </c>
      <c r="G242" t="s">
        <v>2</v>
      </c>
      <c r="H242">
        <v>72042.331998239955</v>
      </c>
      <c r="I242">
        <v>8589.9869995200006</v>
      </c>
      <c r="J242">
        <v>35984.105004720055</v>
      </c>
      <c r="K242">
        <v>1723.282999919988</v>
      </c>
    </row>
    <row r="243" spans="1:11" x14ac:dyDescent="0.25">
      <c r="A243" t="s">
        <v>1</v>
      </c>
      <c r="B243" t="s">
        <v>59</v>
      </c>
      <c r="C243" t="s">
        <v>60</v>
      </c>
      <c r="D243">
        <v>1</v>
      </c>
      <c r="E243" t="s">
        <v>96</v>
      </c>
      <c r="F243">
        <v>2023</v>
      </c>
      <c r="G243" t="s">
        <v>2</v>
      </c>
      <c r="H243">
        <v>72476.863998960063</v>
      </c>
      <c r="I243">
        <v>8714.1079987200028</v>
      </c>
      <c r="J243">
        <v>35973.658004640107</v>
      </c>
      <c r="K243">
        <v>1729.1350027199983</v>
      </c>
    </row>
    <row r="244" spans="1:11" x14ac:dyDescent="0.25">
      <c r="A244" t="s">
        <v>1</v>
      </c>
      <c r="B244" t="s">
        <v>59</v>
      </c>
      <c r="C244" t="s">
        <v>60</v>
      </c>
      <c r="D244">
        <v>1</v>
      </c>
      <c r="E244" t="s">
        <v>96</v>
      </c>
      <c r="F244">
        <v>2024</v>
      </c>
      <c r="G244" t="s">
        <v>2</v>
      </c>
      <c r="H244">
        <v>72845.951003519935</v>
      </c>
      <c r="I244">
        <v>8772.8999961600039</v>
      </c>
      <c r="J244">
        <v>35925.228005039986</v>
      </c>
      <c r="K244">
        <v>1725.3839880000032</v>
      </c>
    </row>
    <row r="245" spans="1:11" x14ac:dyDescent="0.25">
      <c r="A245" t="s">
        <v>1</v>
      </c>
      <c r="B245" t="s">
        <v>59</v>
      </c>
      <c r="C245" t="s">
        <v>60</v>
      </c>
      <c r="D245">
        <v>1</v>
      </c>
      <c r="E245" t="s">
        <v>96</v>
      </c>
      <c r="F245">
        <v>2025</v>
      </c>
      <c r="G245" t="s">
        <v>2</v>
      </c>
      <c r="H245">
        <v>72267.821999040025</v>
      </c>
      <c r="I245">
        <v>8725.465001280003</v>
      </c>
      <c r="J245">
        <v>35326.384005119973</v>
      </c>
      <c r="K245">
        <v>1695.6819904799966</v>
      </c>
    </row>
    <row r="246" spans="1:11" x14ac:dyDescent="0.25">
      <c r="A246" t="s">
        <v>1</v>
      </c>
      <c r="B246" t="s">
        <v>59</v>
      </c>
      <c r="C246" t="s">
        <v>60</v>
      </c>
      <c r="D246">
        <v>1</v>
      </c>
      <c r="E246" t="s">
        <v>96</v>
      </c>
      <c r="F246">
        <v>2026</v>
      </c>
      <c r="G246" t="s">
        <v>2</v>
      </c>
      <c r="H246">
        <v>72091.490000639998</v>
      </c>
      <c r="I246">
        <v>8718.509001360002</v>
      </c>
      <c r="J246">
        <v>35002.974990239876</v>
      </c>
      <c r="K246">
        <v>1678.3019978399991</v>
      </c>
    </row>
    <row r="247" spans="1:11" x14ac:dyDescent="0.25">
      <c r="A247" t="s">
        <v>1</v>
      </c>
      <c r="B247" t="s">
        <v>59</v>
      </c>
      <c r="C247" t="s">
        <v>60</v>
      </c>
      <c r="D247">
        <v>1</v>
      </c>
      <c r="E247" t="s">
        <v>96</v>
      </c>
      <c r="F247">
        <v>2027</v>
      </c>
      <c r="G247" t="s">
        <v>2</v>
      </c>
      <c r="H247">
        <v>71822.523000960005</v>
      </c>
      <c r="I247">
        <v>8695.5639988800049</v>
      </c>
      <c r="J247">
        <v>34669.870999919956</v>
      </c>
      <c r="K247">
        <v>1659.6489902399933</v>
      </c>
    </row>
    <row r="248" spans="1:11" x14ac:dyDescent="0.25">
      <c r="A248" t="s">
        <v>1</v>
      </c>
      <c r="B248" t="s">
        <v>59</v>
      </c>
      <c r="C248" t="s">
        <v>60</v>
      </c>
      <c r="D248">
        <v>1</v>
      </c>
      <c r="E248" t="s">
        <v>96</v>
      </c>
      <c r="F248">
        <v>2028</v>
      </c>
      <c r="G248" t="s">
        <v>2</v>
      </c>
      <c r="H248">
        <v>71869.333998719958</v>
      </c>
      <c r="I248">
        <v>8711.7069988800013</v>
      </c>
      <c r="J248">
        <v>34558.123004880021</v>
      </c>
      <c r="K248">
        <v>1650.4980050400047</v>
      </c>
    </row>
    <row r="249" spans="1:11" x14ac:dyDescent="0.25">
      <c r="A249" t="s">
        <v>1</v>
      </c>
      <c r="B249" t="s">
        <v>59</v>
      </c>
      <c r="C249" t="s">
        <v>60</v>
      </c>
      <c r="D249">
        <v>1</v>
      </c>
      <c r="E249" t="s">
        <v>96</v>
      </c>
      <c r="F249">
        <v>2029</v>
      </c>
      <c r="G249" t="s">
        <v>2</v>
      </c>
      <c r="H249">
        <v>70909.864999680038</v>
      </c>
      <c r="I249">
        <v>8605.5580003199957</v>
      </c>
      <c r="J249">
        <v>34005.209997839942</v>
      </c>
      <c r="K249">
        <v>1621.2860078399981</v>
      </c>
    </row>
    <row r="250" spans="1:11" x14ac:dyDescent="0.25">
      <c r="A250" t="s">
        <v>1</v>
      </c>
      <c r="B250" t="s">
        <v>59</v>
      </c>
      <c r="C250" t="s">
        <v>60</v>
      </c>
      <c r="D250">
        <v>1</v>
      </c>
      <c r="E250" t="s">
        <v>96</v>
      </c>
      <c r="F250">
        <v>2030</v>
      </c>
      <c r="G250" t="s">
        <v>2</v>
      </c>
      <c r="H250">
        <v>70317.45600239998</v>
      </c>
      <c r="I250">
        <v>8541.4279992000029</v>
      </c>
      <c r="J250">
        <v>33682.041994799933</v>
      </c>
      <c r="K250">
        <v>1602.9339952800017</v>
      </c>
    </row>
    <row r="251" spans="1:11" x14ac:dyDescent="0.25">
      <c r="A251" t="s">
        <v>1</v>
      </c>
      <c r="B251" t="s">
        <v>59</v>
      </c>
      <c r="C251" t="s">
        <v>60</v>
      </c>
      <c r="D251">
        <v>1</v>
      </c>
      <c r="E251" t="s">
        <v>96</v>
      </c>
      <c r="F251">
        <v>2031</v>
      </c>
      <c r="G251" t="s">
        <v>2</v>
      </c>
      <c r="H251">
        <v>69678.319001039985</v>
      </c>
      <c r="I251">
        <v>8471.3199991199999</v>
      </c>
      <c r="J251">
        <v>33339.305990159977</v>
      </c>
      <c r="K251">
        <v>1583.9490052799931</v>
      </c>
    </row>
    <row r="252" spans="1:11" x14ac:dyDescent="0.25">
      <c r="A252" t="s">
        <v>1</v>
      </c>
      <c r="B252" t="s">
        <v>59</v>
      </c>
      <c r="C252" t="s">
        <v>60</v>
      </c>
      <c r="D252">
        <v>1</v>
      </c>
      <c r="E252" t="s">
        <v>96</v>
      </c>
      <c r="F252">
        <v>2032</v>
      </c>
      <c r="G252" t="s">
        <v>2</v>
      </c>
      <c r="H252">
        <v>69500.666999519963</v>
      </c>
      <c r="I252">
        <v>8455.5819993600071</v>
      </c>
      <c r="J252">
        <v>33217.422009599817</v>
      </c>
      <c r="K252">
        <v>1574.8200021600012</v>
      </c>
    </row>
    <row r="253" spans="1:11" x14ac:dyDescent="0.25">
      <c r="A253" t="s">
        <v>1</v>
      </c>
      <c r="B253" t="s">
        <v>59</v>
      </c>
      <c r="C253" t="s">
        <v>60</v>
      </c>
      <c r="D253">
        <v>1</v>
      </c>
      <c r="E253" t="s">
        <v>96</v>
      </c>
      <c r="F253">
        <v>2033</v>
      </c>
      <c r="G253" t="s">
        <v>2</v>
      </c>
      <c r="H253">
        <v>68386.894000560002</v>
      </c>
      <c r="I253">
        <v>8332.7290003200051</v>
      </c>
      <c r="J253">
        <v>32675.977999919771</v>
      </c>
      <c r="K253">
        <v>1546.5240024000038</v>
      </c>
    </row>
    <row r="254" spans="1:11" x14ac:dyDescent="0.25">
      <c r="A254" t="s">
        <v>1</v>
      </c>
      <c r="B254" t="s">
        <v>59</v>
      </c>
      <c r="C254" t="s">
        <v>60</v>
      </c>
      <c r="D254">
        <v>1</v>
      </c>
      <c r="E254" t="s">
        <v>96</v>
      </c>
      <c r="F254">
        <v>2034</v>
      </c>
      <c r="G254" t="s">
        <v>2</v>
      </c>
      <c r="H254">
        <v>67733.981999999975</v>
      </c>
      <c r="I254">
        <v>8270.698001519997</v>
      </c>
      <c r="J254">
        <v>32360.837014320092</v>
      </c>
      <c r="K254">
        <v>1528.1739832799967</v>
      </c>
    </row>
    <row r="255" spans="1:11" x14ac:dyDescent="0.25">
      <c r="A255" t="s">
        <v>1</v>
      </c>
      <c r="B255" t="s">
        <v>59</v>
      </c>
      <c r="C255" t="s">
        <v>60</v>
      </c>
      <c r="D255">
        <v>1</v>
      </c>
      <c r="E255" t="s">
        <v>96</v>
      </c>
      <c r="F255">
        <v>2035</v>
      </c>
      <c r="G255" t="s">
        <v>2</v>
      </c>
      <c r="H255">
        <v>67152.410001600045</v>
      </c>
      <c r="I255">
        <v>8215.0230004799942</v>
      </c>
      <c r="J255">
        <v>32058.722002559898</v>
      </c>
      <c r="K255">
        <v>1510.341004800001</v>
      </c>
    </row>
    <row r="256" spans="1:11" x14ac:dyDescent="0.25">
      <c r="A256" t="s">
        <v>1</v>
      </c>
      <c r="B256" t="s">
        <v>59</v>
      </c>
      <c r="C256" t="s">
        <v>60</v>
      </c>
      <c r="D256">
        <v>1</v>
      </c>
      <c r="E256" t="s">
        <v>96</v>
      </c>
      <c r="F256">
        <v>2036</v>
      </c>
      <c r="G256" t="s">
        <v>2</v>
      </c>
      <c r="H256">
        <v>66987.752997360061</v>
      </c>
      <c r="I256">
        <v>8212.8120009599934</v>
      </c>
      <c r="J256">
        <v>31990.584999840139</v>
      </c>
      <c r="K256">
        <v>1502.1830023199996</v>
      </c>
    </row>
    <row r="257" spans="1:11" x14ac:dyDescent="0.25">
      <c r="A257" t="s">
        <v>1</v>
      </c>
      <c r="B257" t="s">
        <v>59</v>
      </c>
      <c r="C257" t="s">
        <v>60</v>
      </c>
      <c r="D257">
        <v>1</v>
      </c>
      <c r="E257" t="s">
        <v>96</v>
      </c>
      <c r="F257">
        <v>2037</v>
      </c>
      <c r="G257" t="s">
        <v>2</v>
      </c>
      <c r="H257">
        <v>65891.556999840017</v>
      </c>
      <c r="I257">
        <v>8102.715999840002</v>
      </c>
      <c r="J257">
        <v>31527.913007519841</v>
      </c>
      <c r="K257">
        <v>1475.8870000800011</v>
      </c>
    </row>
    <row r="258" spans="1:11" x14ac:dyDescent="0.25">
      <c r="A258" t="s">
        <v>1</v>
      </c>
      <c r="B258" t="s">
        <v>59</v>
      </c>
      <c r="C258" t="s">
        <v>60</v>
      </c>
      <c r="D258">
        <v>1</v>
      </c>
      <c r="E258" t="s">
        <v>96</v>
      </c>
      <c r="F258">
        <v>2038</v>
      </c>
      <c r="G258" t="s">
        <v>2</v>
      </c>
      <c r="H258">
        <v>65236.493001119932</v>
      </c>
      <c r="I258">
        <v>8041.9460016000066</v>
      </c>
      <c r="J258">
        <v>31284.56099231997</v>
      </c>
      <c r="K258">
        <v>1459.2669878400009</v>
      </c>
    </row>
    <row r="259" spans="1:11" x14ac:dyDescent="0.25">
      <c r="A259" t="s">
        <v>1</v>
      </c>
      <c r="B259" t="s">
        <v>59</v>
      </c>
      <c r="C259" t="s">
        <v>60</v>
      </c>
      <c r="D259">
        <v>1</v>
      </c>
      <c r="E259" t="s">
        <v>96</v>
      </c>
      <c r="F259">
        <v>2039</v>
      </c>
      <c r="G259" t="s">
        <v>2</v>
      </c>
      <c r="H259">
        <v>64617.411002159963</v>
      </c>
      <c r="I259">
        <v>7979.2529980799955</v>
      </c>
      <c r="J259">
        <v>31046.600988000093</v>
      </c>
      <c r="K259">
        <v>1443.2510028000002</v>
      </c>
    </row>
    <row r="260" spans="1:11" x14ac:dyDescent="0.25">
      <c r="A260" t="s">
        <v>1</v>
      </c>
      <c r="B260" t="s">
        <v>59</v>
      </c>
      <c r="C260" t="s">
        <v>60</v>
      </c>
      <c r="D260">
        <v>1</v>
      </c>
      <c r="E260" t="s">
        <v>96</v>
      </c>
      <c r="F260">
        <v>2040</v>
      </c>
      <c r="G260" t="s">
        <v>2</v>
      </c>
      <c r="H260">
        <v>64371.175999679996</v>
      </c>
      <c r="I260">
        <v>7975.6889992799943</v>
      </c>
      <c r="J260">
        <v>31024.996987679991</v>
      </c>
      <c r="K260">
        <v>1436.4520075199998</v>
      </c>
    </row>
    <row r="261" spans="1:11" x14ac:dyDescent="0.25">
      <c r="A261" t="s">
        <v>1</v>
      </c>
      <c r="B261" t="s">
        <v>59</v>
      </c>
      <c r="C261" t="s">
        <v>60</v>
      </c>
      <c r="D261">
        <v>1</v>
      </c>
      <c r="E261" t="s">
        <v>96</v>
      </c>
      <c r="F261">
        <v>2041</v>
      </c>
      <c r="G261" t="s">
        <v>2</v>
      </c>
      <c r="H261">
        <v>63429.116000879971</v>
      </c>
      <c r="I261">
        <v>7878.1459996799986</v>
      </c>
      <c r="J261">
        <v>30608.057994959865</v>
      </c>
      <c r="K261">
        <v>1412.3770077599979</v>
      </c>
    </row>
    <row r="262" spans="1:11" x14ac:dyDescent="0.25">
      <c r="A262" t="s">
        <v>1</v>
      </c>
      <c r="B262" t="s">
        <v>59</v>
      </c>
      <c r="C262" t="s">
        <v>60</v>
      </c>
      <c r="D262">
        <v>1</v>
      </c>
      <c r="E262" t="s">
        <v>96</v>
      </c>
      <c r="F262">
        <v>2042</v>
      </c>
      <c r="G262" t="s">
        <v>2</v>
      </c>
      <c r="H262">
        <v>62985.551002079999</v>
      </c>
      <c r="I262">
        <v>7843.0800011999982</v>
      </c>
      <c r="J262">
        <v>30393.266990399923</v>
      </c>
      <c r="K262">
        <v>1397.4540071999916</v>
      </c>
    </row>
    <row r="263" spans="1:11" x14ac:dyDescent="0.25">
      <c r="A263" t="s">
        <v>1</v>
      </c>
      <c r="B263" t="s">
        <v>59</v>
      </c>
      <c r="C263" t="s">
        <v>60</v>
      </c>
      <c r="D263">
        <v>1</v>
      </c>
      <c r="E263" t="s">
        <v>96</v>
      </c>
      <c r="F263">
        <v>2043</v>
      </c>
      <c r="G263" t="s">
        <v>2</v>
      </c>
      <c r="H263">
        <v>62560.321001279997</v>
      </c>
      <c r="I263">
        <v>7814.4619989600042</v>
      </c>
      <c r="J263">
        <v>30175.873001999975</v>
      </c>
      <c r="K263">
        <v>1382.9870071200066</v>
      </c>
    </row>
    <row r="264" spans="1:11" x14ac:dyDescent="0.25">
      <c r="A264" t="s">
        <v>1</v>
      </c>
      <c r="B264" t="s">
        <v>59</v>
      </c>
      <c r="C264" t="s">
        <v>60</v>
      </c>
      <c r="D264">
        <v>1</v>
      </c>
      <c r="E264" t="s">
        <v>96</v>
      </c>
      <c r="F264">
        <v>2044</v>
      </c>
      <c r="G264" t="s">
        <v>2</v>
      </c>
      <c r="H264">
        <v>62488.57499663996</v>
      </c>
      <c r="I264">
        <v>7837.2980016000001</v>
      </c>
      <c r="J264">
        <v>30165.160004399993</v>
      </c>
      <c r="K264">
        <v>1377.320992799999</v>
      </c>
    </row>
    <row r="265" spans="1:11" x14ac:dyDescent="0.25">
      <c r="A265" t="s">
        <v>1</v>
      </c>
      <c r="B265" t="s">
        <v>59</v>
      </c>
      <c r="C265" t="s">
        <v>60</v>
      </c>
      <c r="D265">
        <v>1</v>
      </c>
      <c r="E265" t="s">
        <v>96</v>
      </c>
      <c r="F265">
        <v>2045</v>
      </c>
      <c r="G265" t="s">
        <v>2</v>
      </c>
      <c r="H265">
        <v>61593.289999199958</v>
      </c>
      <c r="I265">
        <v>7754.8069979999973</v>
      </c>
      <c r="J265">
        <v>29797.334997359842</v>
      </c>
      <c r="K265">
        <v>1357.6340028000027</v>
      </c>
    </row>
    <row r="266" spans="1:11" x14ac:dyDescent="0.25">
      <c r="A266" t="s">
        <v>1</v>
      </c>
      <c r="B266" t="s">
        <v>59</v>
      </c>
      <c r="C266" t="s">
        <v>60</v>
      </c>
      <c r="D266">
        <v>1</v>
      </c>
      <c r="E266" t="s">
        <v>96</v>
      </c>
      <c r="F266">
        <v>2046</v>
      </c>
      <c r="G266" t="s">
        <v>2</v>
      </c>
      <c r="H266">
        <v>61163.176001280008</v>
      </c>
      <c r="I266">
        <v>7716.7959988800012</v>
      </c>
      <c r="J266">
        <v>29623.288002479963</v>
      </c>
      <c r="K266">
        <v>1346.7740145599973</v>
      </c>
    </row>
    <row r="267" spans="1:11" x14ac:dyDescent="0.25">
      <c r="A267" t="s">
        <v>1</v>
      </c>
      <c r="B267" t="s">
        <v>59</v>
      </c>
      <c r="C267" t="s">
        <v>60</v>
      </c>
      <c r="D267">
        <v>1</v>
      </c>
      <c r="E267" t="s">
        <v>96</v>
      </c>
      <c r="F267">
        <v>2047</v>
      </c>
      <c r="G267" t="s">
        <v>2</v>
      </c>
      <c r="H267">
        <v>60735.693999359974</v>
      </c>
      <c r="I267">
        <v>7678.2940000800036</v>
      </c>
      <c r="J267">
        <v>29444.816002080061</v>
      </c>
      <c r="K267">
        <v>1336.0989976799947</v>
      </c>
    </row>
    <row r="268" spans="1:11" x14ac:dyDescent="0.25">
      <c r="A268" t="s">
        <v>1</v>
      </c>
      <c r="B268" t="s">
        <v>59</v>
      </c>
      <c r="C268" t="s">
        <v>60</v>
      </c>
      <c r="D268">
        <v>1</v>
      </c>
      <c r="E268" t="s">
        <v>96</v>
      </c>
      <c r="F268">
        <v>2048</v>
      </c>
      <c r="G268" t="s">
        <v>2</v>
      </c>
      <c r="H268">
        <v>60684.368000159993</v>
      </c>
      <c r="I268">
        <v>7693.4159976000001</v>
      </c>
      <c r="J268">
        <v>29466.991002480037</v>
      </c>
      <c r="K268">
        <v>1334.0079952799954</v>
      </c>
    </row>
    <row r="269" spans="1:11" x14ac:dyDescent="0.25">
      <c r="A269" t="s">
        <v>1</v>
      </c>
      <c r="B269" t="s">
        <v>59</v>
      </c>
      <c r="C269" t="s">
        <v>60</v>
      </c>
      <c r="D269">
        <v>1</v>
      </c>
      <c r="E269" t="s">
        <v>96</v>
      </c>
      <c r="F269">
        <v>2049</v>
      </c>
      <c r="G269" t="s">
        <v>2</v>
      </c>
      <c r="H269">
        <v>59895.001002480036</v>
      </c>
      <c r="I269">
        <v>7612.7140020000015</v>
      </c>
      <c r="J269">
        <v>29105.758002239916</v>
      </c>
      <c r="K269">
        <v>1315.3660046399973</v>
      </c>
    </row>
    <row r="270" spans="1:11" x14ac:dyDescent="0.25">
      <c r="A270" t="s">
        <v>1</v>
      </c>
      <c r="B270" t="s">
        <v>59</v>
      </c>
      <c r="C270" t="s">
        <v>60</v>
      </c>
      <c r="D270">
        <v>1</v>
      </c>
      <c r="E270" t="s">
        <v>96</v>
      </c>
      <c r="F270">
        <v>2050</v>
      </c>
      <c r="G270" t="s">
        <v>2</v>
      </c>
      <c r="H270">
        <v>59446.832999280006</v>
      </c>
      <c r="I270">
        <v>7567.5819971999963</v>
      </c>
      <c r="J270">
        <v>28938.074014320078</v>
      </c>
      <c r="K270">
        <v>1305.2380024799995</v>
      </c>
    </row>
    <row r="271" spans="1:11" x14ac:dyDescent="0.25">
      <c r="A271" t="s">
        <v>1</v>
      </c>
      <c r="B271" t="s">
        <v>59</v>
      </c>
      <c r="C271" t="s">
        <v>60</v>
      </c>
      <c r="D271">
        <v>1</v>
      </c>
      <c r="E271" t="s">
        <v>96</v>
      </c>
      <c r="F271">
        <v>2051</v>
      </c>
      <c r="G271" t="s">
        <v>2</v>
      </c>
      <c r="H271">
        <v>59446.832999280006</v>
      </c>
      <c r="I271">
        <v>7567.5819971999963</v>
      </c>
      <c r="J271">
        <v>28938.074014320078</v>
      </c>
      <c r="K271">
        <v>1305.2380024799995</v>
      </c>
    </row>
    <row r="272" spans="1:11" x14ac:dyDescent="0.25">
      <c r="A272" t="s">
        <v>1</v>
      </c>
      <c r="B272" t="s">
        <v>59</v>
      </c>
      <c r="C272" t="s">
        <v>60</v>
      </c>
      <c r="D272">
        <v>1</v>
      </c>
      <c r="E272" t="s">
        <v>97</v>
      </c>
      <c r="F272">
        <v>2022</v>
      </c>
      <c r="G272" t="s">
        <v>2</v>
      </c>
      <c r="H272">
        <v>72042.331998239955</v>
      </c>
      <c r="I272">
        <v>8589.9869995200006</v>
      </c>
      <c r="J272">
        <v>35984.105004720055</v>
      </c>
      <c r="K272">
        <v>1723.282999919988</v>
      </c>
    </row>
    <row r="273" spans="1:11" x14ac:dyDescent="0.25">
      <c r="A273" t="s">
        <v>1</v>
      </c>
      <c r="B273" t="s">
        <v>59</v>
      </c>
      <c r="C273" t="s">
        <v>60</v>
      </c>
      <c r="D273">
        <v>1</v>
      </c>
      <c r="E273" t="s">
        <v>97</v>
      </c>
      <c r="F273">
        <v>2023</v>
      </c>
      <c r="G273" t="s">
        <v>2</v>
      </c>
      <c r="H273">
        <v>72476.863998960063</v>
      </c>
      <c r="I273">
        <v>8714.1079987200028</v>
      </c>
      <c r="J273">
        <v>35973.658004640107</v>
      </c>
      <c r="K273">
        <v>1729.1350027199983</v>
      </c>
    </row>
    <row r="274" spans="1:11" x14ac:dyDescent="0.25">
      <c r="A274" t="s">
        <v>1</v>
      </c>
      <c r="B274" t="s">
        <v>59</v>
      </c>
      <c r="C274" t="s">
        <v>60</v>
      </c>
      <c r="D274">
        <v>1</v>
      </c>
      <c r="E274" t="s">
        <v>97</v>
      </c>
      <c r="F274">
        <v>2024</v>
      </c>
      <c r="G274" t="s">
        <v>2</v>
      </c>
      <c r="H274">
        <v>72845.951003519935</v>
      </c>
      <c r="I274">
        <v>8772.7159960799981</v>
      </c>
      <c r="J274">
        <v>35925.228005039986</v>
      </c>
      <c r="K274">
        <v>1725.3839880000032</v>
      </c>
    </row>
    <row r="275" spans="1:11" x14ac:dyDescent="0.25">
      <c r="A275" t="s">
        <v>1</v>
      </c>
      <c r="B275" t="s">
        <v>59</v>
      </c>
      <c r="C275" t="s">
        <v>60</v>
      </c>
      <c r="D275">
        <v>1</v>
      </c>
      <c r="E275" t="s">
        <v>97</v>
      </c>
      <c r="F275">
        <v>2025</v>
      </c>
      <c r="G275" t="s">
        <v>2</v>
      </c>
      <c r="H275">
        <v>72255.944999039973</v>
      </c>
      <c r="I275">
        <v>8723.4300024000004</v>
      </c>
      <c r="J275">
        <v>35402.744992559834</v>
      </c>
      <c r="K275">
        <v>1699.4730095999973</v>
      </c>
    </row>
    <row r="276" spans="1:11" x14ac:dyDescent="0.25">
      <c r="A276" t="s">
        <v>1</v>
      </c>
      <c r="B276" t="s">
        <v>59</v>
      </c>
      <c r="C276" t="s">
        <v>60</v>
      </c>
      <c r="D276">
        <v>1</v>
      </c>
      <c r="E276" t="s">
        <v>97</v>
      </c>
      <c r="F276">
        <v>2026</v>
      </c>
      <c r="G276" t="s">
        <v>2</v>
      </c>
      <c r="H276">
        <v>72062.489000160029</v>
      </c>
      <c r="I276">
        <v>8714.1510009599951</v>
      </c>
      <c r="J276">
        <v>35146.57900728003</v>
      </c>
      <c r="K276">
        <v>1686.1290048000035</v>
      </c>
    </row>
    <row r="277" spans="1:11" x14ac:dyDescent="0.25">
      <c r="A277" t="s">
        <v>1</v>
      </c>
      <c r="B277" t="s">
        <v>59</v>
      </c>
      <c r="C277" t="s">
        <v>60</v>
      </c>
      <c r="D277">
        <v>1</v>
      </c>
      <c r="E277" t="s">
        <v>97</v>
      </c>
      <c r="F277">
        <v>2027</v>
      </c>
      <c r="G277" t="s">
        <v>2</v>
      </c>
      <c r="H277">
        <v>71813.497000799995</v>
      </c>
      <c r="I277">
        <v>8693.8389998399925</v>
      </c>
      <c r="J277">
        <v>34876.935004559935</v>
      </c>
      <c r="K277">
        <v>1671.3870045599933</v>
      </c>
    </row>
    <row r="278" spans="1:11" x14ac:dyDescent="0.25">
      <c r="A278" t="s">
        <v>1</v>
      </c>
      <c r="B278" t="s">
        <v>59</v>
      </c>
      <c r="C278" t="s">
        <v>60</v>
      </c>
      <c r="D278">
        <v>1</v>
      </c>
      <c r="E278" t="s">
        <v>97</v>
      </c>
      <c r="F278">
        <v>2028</v>
      </c>
      <c r="G278" t="s">
        <v>2</v>
      </c>
      <c r="H278">
        <v>71917.50700079996</v>
      </c>
      <c r="I278">
        <v>8717.8019983199938</v>
      </c>
      <c r="J278">
        <v>34829.339004960137</v>
      </c>
      <c r="K278">
        <v>1666.2840127199986</v>
      </c>
    </row>
    <row r="279" spans="1:11" x14ac:dyDescent="0.25">
      <c r="A279" t="s">
        <v>1</v>
      </c>
      <c r="B279" t="s">
        <v>59</v>
      </c>
      <c r="C279" t="s">
        <v>60</v>
      </c>
      <c r="D279">
        <v>1</v>
      </c>
      <c r="E279" t="s">
        <v>97</v>
      </c>
      <c r="F279">
        <v>2029</v>
      </c>
      <c r="G279" t="s">
        <v>2</v>
      </c>
      <c r="H279">
        <v>71047.858000560023</v>
      </c>
      <c r="I279">
        <v>8623.2730005600006</v>
      </c>
      <c r="J279">
        <v>34340.191000320046</v>
      </c>
      <c r="K279">
        <v>1641.1189927200039</v>
      </c>
    </row>
    <row r="280" spans="1:11" x14ac:dyDescent="0.25">
      <c r="A280" t="s">
        <v>1</v>
      </c>
      <c r="B280" t="s">
        <v>59</v>
      </c>
      <c r="C280" t="s">
        <v>60</v>
      </c>
      <c r="D280">
        <v>1</v>
      </c>
      <c r="E280" t="s">
        <v>97</v>
      </c>
      <c r="F280">
        <v>2030</v>
      </c>
      <c r="G280" t="s">
        <v>2</v>
      </c>
      <c r="H280">
        <v>70606.987998959987</v>
      </c>
      <c r="I280">
        <v>8579.3970004800049</v>
      </c>
      <c r="J280">
        <v>34085.692009199956</v>
      </c>
      <c r="K280">
        <v>1626.8319923999911</v>
      </c>
    </row>
    <row r="281" spans="1:11" x14ac:dyDescent="0.25">
      <c r="A281" t="s">
        <v>1</v>
      </c>
      <c r="B281" t="s">
        <v>59</v>
      </c>
      <c r="C281" t="s">
        <v>60</v>
      </c>
      <c r="D281">
        <v>1</v>
      </c>
      <c r="E281" t="s">
        <v>97</v>
      </c>
      <c r="F281">
        <v>2031</v>
      </c>
      <c r="G281" t="s">
        <v>2</v>
      </c>
      <c r="H281">
        <v>70172.852000879997</v>
      </c>
      <c r="I281">
        <v>8536.6060005600011</v>
      </c>
      <c r="J281">
        <v>33814.684007039912</v>
      </c>
      <c r="K281">
        <v>1612.005007679996</v>
      </c>
    </row>
    <row r="282" spans="1:11" x14ac:dyDescent="0.25">
      <c r="A282" t="s">
        <v>1</v>
      </c>
      <c r="B282" t="s">
        <v>59</v>
      </c>
      <c r="C282" t="s">
        <v>60</v>
      </c>
      <c r="D282">
        <v>1</v>
      </c>
      <c r="E282" t="s">
        <v>97</v>
      </c>
      <c r="F282">
        <v>2032</v>
      </c>
      <c r="G282" t="s">
        <v>2</v>
      </c>
      <c r="H282">
        <v>70198.168000319944</v>
      </c>
      <c r="I282">
        <v>8548.1859981599937</v>
      </c>
      <c r="J282">
        <v>33764.167005119874</v>
      </c>
      <c r="K282">
        <v>1607.0330097600047</v>
      </c>
    </row>
    <row r="283" spans="1:11" x14ac:dyDescent="0.25">
      <c r="A283" t="s">
        <v>1</v>
      </c>
      <c r="B283" t="s">
        <v>59</v>
      </c>
      <c r="C283" t="s">
        <v>60</v>
      </c>
      <c r="D283">
        <v>1</v>
      </c>
      <c r="E283" t="s">
        <v>97</v>
      </c>
      <c r="F283">
        <v>2033</v>
      </c>
      <c r="G283" t="s">
        <v>2</v>
      </c>
      <c r="H283">
        <v>69264.96000000005</v>
      </c>
      <c r="I283">
        <v>8449.7700009599939</v>
      </c>
      <c r="J283">
        <v>33285.33099047983</v>
      </c>
      <c r="K283">
        <v>1582.4309925599957</v>
      </c>
    </row>
    <row r="284" spans="1:11" x14ac:dyDescent="0.25">
      <c r="A284" t="s">
        <v>1</v>
      </c>
      <c r="B284" t="s">
        <v>59</v>
      </c>
      <c r="C284" t="s">
        <v>60</v>
      </c>
      <c r="D284">
        <v>1</v>
      </c>
      <c r="E284" t="s">
        <v>97</v>
      </c>
      <c r="F284">
        <v>2034</v>
      </c>
      <c r="G284" t="s">
        <v>2</v>
      </c>
      <c r="H284">
        <v>68789.965999680004</v>
      </c>
      <c r="I284">
        <v>8412.7630000800018</v>
      </c>
      <c r="J284">
        <v>33029.861009520086</v>
      </c>
      <c r="K284">
        <v>1567.9330120799946</v>
      </c>
    </row>
    <row r="285" spans="1:11" x14ac:dyDescent="0.25">
      <c r="A285" t="s">
        <v>1</v>
      </c>
      <c r="B285" t="s">
        <v>59</v>
      </c>
      <c r="C285" t="s">
        <v>60</v>
      </c>
      <c r="D285">
        <v>1</v>
      </c>
      <c r="E285" t="s">
        <v>97</v>
      </c>
      <c r="F285">
        <v>2035</v>
      </c>
      <c r="G285" t="s">
        <v>2</v>
      </c>
      <c r="H285">
        <v>68379.832999680002</v>
      </c>
      <c r="I285">
        <v>8381.488000560008</v>
      </c>
      <c r="J285">
        <v>32781.419009999845</v>
      </c>
      <c r="K285">
        <v>1553.7120021599999</v>
      </c>
    </row>
    <row r="286" spans="1:11" x14ac:dyDescent="0.25">
      <c r="A286" t="s">
        <v>1</v>
      </c>
      <c r="B286" t="s">
        <v>59</v>
      </c>
      <c r="C286" t="s">
        <v>60</v>
      </c>
      <c r="D286">
        <v>1</v>
      </c>
      <c r="E286" t="s">
        <v>97</v>
      </c>
      <c r="F286">
        <v>2036</v>
      </c>
      <c r="G286" t="s">
        <v>2</v>
      </c>
      <c r="H286">
        <v>68390.108000640044</v>
      </c>
      <c r="I286">
        <v>8404.4829996000008</v>
      </c>
      <c r="J286">
        <v>32757.64700711998</v>
      </c>
      <c r="K286">
        <v>1549.2399928799973</v>
      </c>
    </row>
    <row r="287" spans="1:11" x14ac:dyDescent="0.25">
      <c r="A287" t="s">
        <v>1</v>
      </c>
      <c r="B287" t="s">
        <v>59</v>
      </c>
      <c r="C287" t="s">
        <v>60</v>
      </c>
      <c r="D287">
        <v>1</v>
      </c>
      <c r="E287" t="s">
        <v>97</v>
      </c>
      <c r="F287">
        <v>2037</v>
      </c>
      <c r="G287" t="s">
        <v>2</v>
      </c>
      <c r="H287">
        <v>67435.034998800082</v>
      </c>
      <c r="I287">
        <v>8315.3529991200103</v>
      </c>
      <c r="J287">
        <v>32322.977002079853</v>
      </c>
      <c r="K287">
        <v>1525.9279932000052</v>
      </c>
    </row>
    <row r="288" spans="1:11" x14ac:dyDescent="0.25">
      <c r="A288" t="s">
        <v>1</v>
      </c>
      <c r="B288" t="s">
        <v>59</v>
      </c>
      <c r="C288" t="s">
        <v>60</v>
      </c>
      <c r="D288">
        <v>1</v>
      </c>
      <c r="E288" t="s">
        <v>97</v>
      </c>
      <c r="F288">
        <v>2038</v>
      </c>
      <c r="G288" t="s">
        <v>2</v>
      </c>
      <c r="H288">
        <v>66915.302001599979</v>
      </c>
      <c r="I288">
        <v>8274.6009984000011</v>
      </c>
      <c r="J288">
        <v>32105.61000215988</v>
      </c>
      <c r="K288">
        <v>1512.4039951200052</v>
      </c>
    </row>
    <row r="289" spans="1:11" x14ac:dyDescent="0.25">
      <c r="A289" t="s">
        <v>1</v>
      </c>
      <c r="B289" t="s">
        <v>59</v>
      </c>
      <c r="C289" t="s">
        <v>60</v>
      </c>
      <c r="D289">
        <v>1</v>
      </c>
      <c r="E289" t="s">
        <v>97</v>
      </c>
      <c r="F289">
        <v>2039</v>
      </c>
      <c r="G289" t="s">
        <v>2</v>
      </c>
      <c r="H289">
        <v>66417.565001279974</v>
      </c>
      <c r="I289">
        <v>8229.5349998400034</v>
      </c>
      <c r="J289">
        <v>31891.490006880027</v>
      </c>
      <c r="K289">
        <v>1499.1489979200021</v>
      </c>
    </row>
    <row r="290" spans="1:11" x14ac:dyDescent="0.25">
      <c r="A290" t="s">
        <v>1</v>
      </c>
      <c r="B290" t="s">
        <v>59</v>
      </c>
      <c r="C290" t="s">
        <v>60</v>
      </c>
      <c r="D290">
        <v>1</v>
      </c>
      <c r="E290" t="s">
        <v>97</v>
      </c>
      <c r="F290">
        <v>2040</v>
      </c>
      <c r="G290" t="s">
        <v>2</v>
      </c>
      <c r="H290">
        <v>66283.90600007998</v>
      </c>
      <c r="I290">
        <v>8244.3550000799933</v>
      </c>
      <c r="J290">
        <v>31890.82101215997</v>
      </c>
      <c r="K290">
        <v>1495.4299951199987</v>
      </c>
    </row>
    <row r="291" spans="1:11" x14ac:dyDescent="0.25">
      <c r="A291" t="s">
        <v>1</v>
      </c>
      <c r="B291" t="s">
        <v>59</v>
      </c>
      <c r="C291" t="s">
        <v>60</v>
      </c>
      <c r="D291">
        <v>1</v>
      </c>
      <c r="E291" t="s">
        <v>97</v>
      </c>
      <c r="F291">
        <v>2041</v>
      </c>
      <c r="G291" t="s">
        <v>2</v>
      </c>
      <c r="H291">
        <v>65423.358000479966</v>
      </c>
      <c r="I291">
        <v>8159.820999360003</v>
      </c>
      <c r="J291">
        <v>31483.750007280061</v>
      </c>
      <c r="K291">
        <v>1473.4909979999998</v>
      </c>
    </row>
    <row r="292" spans="1:11" x14ac:dyDescent="0.25">
      <c r="A292" t="s">
        <v>1</v>
      </c>
      <c r="B292" t="s">
        <v>59</v>
      </c>
      <c r="C292" t="s">
        <v>60</v>
      </c>
      <c r="D292">
        <v>1</v>
      </c>
      <c r="E292" t="s">
        <v>97</v>
      </c>
      <c r="F292">
        <v>2042</v>
      </c>
      <c r="G292" t="s">
        <v>2</v>
      </c>
      <c r="H292">
        <v>65060.489000639995</v>
      </c>
      <c r="I292">
        <v>8138.276999040002</v>
      </c>
      <c r="J292">
        <v>31282.835999519953</v>
      </c>
      <c r="K292">
        <v>1460.9640004800035</v>
      </c>
    </row>
    <row r="293" spans="1:11" x14ac:dyDescent="0.25">
      <c r="A293" t="s">
        <v>1</v>
      </c>
      <c r="B293" t="s">
        <v>59</v>
      </c>
      <c r="C293" t="s">
        <v>60</v>
      </c>
      <c r="D293">
        <v>1</v>
      </c>
      <c r="E293" t="s">
        <v>97</v>
      </c>
      <c r="F293">
        <v>2043</v>
      </c>
      <c r="G293" t="s">
        <v>2</v>
      </c>
      <c r="H293">
        <v>64705.975000079969</v>
      </c>
      <c r="I293">
        <v>8122.3250001599963</v>
      </c>
      <c r="J293">
        <v>31081.223994959888</v>
      </c>
      <c r="K293">
        <v>1448.5600053600001</v>
      </c>
    </row>
    <row r="294" spans="1:11" x14ac:dyDescent="0.25">
      <c r="A294" t="s">
        <v>1</v>
      </c>
      <c r="B294" t="s">
        <v>59</v>
      </c>
      <c r="C294" t="s">
        <v>60</v>
      </c>
      <c r="D294">
        <v>1</v>
      </c>
      <c r="E294" t="s">
        <v>97</v>
      </c>
      <c r="F294">
        <v>2044</v>
      </c>
      <c r="G294" t="s">
        <v>2</v>
      </c>
      <c r="H294">
        <v>64711.936999440019</v>
      </c>
      <c r="I294">
        <v>8159.8819999199959</v>
      </c>
      <c r="J294">
        <v>31085.683992480077</v>
      </c>
      <c r="K294">
        <v>1445.4249880800041</v>
      </c>
    </row>
    <row r="295" spans="1:11" x14ac:dyDescent="0.25">
      <c r="A295" t="s">
        <v>1</v>
      </c>
      <c r="B295" t="s">
        <v>59</v>
      </c>
      <c r="C295" t="s">
        <v>60</v>
      </c>
      <c r="D295">
        <v>1</v>
      </c>
      <c r="E295" t="s">
        <v>97</v>
      </c>
      <c r="F295">
        <v>2045</v>
      </c>
      <c r="G295" t="s">
        <v>2</v>
      </c>
      <c r="H295">
        <v>63859.338998879983</v>
      </c>
      <c r="I295">
        <v>8086.4870013599993</v>
      </c>
      <c r="J295">
        <v>30707.801992800021</v>
      </c>
      <c r="K295">
        <v>1425.9049979999972</v>
      </c>
    </row>
    <row r="296" spans="1:11" x14ac:dyDescent="0.25">
      <c r="A296" t="s">
        <v>1</v>
      </c>
      <c r="B296" t="s">
        <v>59</v>
      </c>
      <c r="C296" t="s">
        <v>60</v>
      </c>
      <c r="D296">
        <v>1</v>
      </c>
      <c r="E296" t="s">
        <v>97</v>
      </c>
      <c r="F296">
        <v>2046</v>
      </c>
      <c r="G296" t="s">
        <v>2</v>
      </c>
      <c r="H296">
        <v>63489.675998400038</v>
      </c>
      <c r="I296">
        <v>8058.7510000800003</v>
      </c>
      <c r="J296">
        <v>30529.485011999979</v>
      </c>
      <c r="K296">
        <v>1415.4710006399973</v>
      </c>
    </row>
    <row r="297" spans="1:11" x14ac:dyDescent="0.25">
      <c r="A297" t="s">
        <v>1</v>
      </c>
      <c r="B297" t="s">
        <v>59</v>
      </c>
      <c r="C297" t="s">
        <v>60</v>
      </c>
      <c r="D297">
        <v>1</v>
      </c>
      <c r="E297" t="s">
        <v>97</v>
      </c>
      <c r="F297">
        <v>2047</v>
      </c>
      <c r="G297" t="s">
        <v>2</v>
      </c>
      <c r="H297">
        <v>63118.755998640016</v>
      </c>
      <c r="I297">
        <v>8029.9819989600092</v>
      </c>
      <c r="J297">
        <v>30349.500014160021</v>
      </c>
      <c r="K297">
        <v>1405.2199956000013</v>
      </c>
    </row>
    <row r="298" spans="1:11" x14ac:dyDescent="0.25">
      <c r="A298" t="s">
        <v>1</v>
      </c>
      <c r="B298" t="s">
        <v>59</v>
      </c>
      <c r="C298" t="s">
        <v>60</v>
      </c>
      <c r="D298">
        <v>1</v>
      </c>
      <c r="E298" t="s">
        <v>97</v>
      </c>
      <c r="F298">
        <v>2048</v>
      </c>
      <c r="G298" t="s">
        <v>2</v>
      </c>
      <c r="H298">
        <v>63134.223998399997</v>
      </c>
      <c r="I298">
        <v>8057.3990001599941</v>
      </c>
      <c r="J298">
        <v>30370.161002159926</v>
      </c>
      <c r="K298">
        <v>1403.7849998400018</v>
      </c>
    </row>
    <row r="299" spans="1:11" x14ac:dyDescent="0.25">
      <c r="A299" t="s">
        <v>1</v>
      </c>
      <c r="B299" t="s">
        <v>59</v>
      </c>
      <c r="C299" t="s">
        <v>60</v>
      </c>
      <c r="D299">
        <v>1</v>
      </c>
      <c r="E299" t="s">
        <v>97</v>
      </c>
      <c r="F299">
        <v>2049</v>
      </c>
      <c r="G299" t="s">
        <v>2</v>
      </c>
      <c r="H299">
        <v>62379.760998480015</v>
      </c>
      <c r="I299">
        <v>7983.366000240002</v>
      </c>
      <c r="J299">
        <v>29998.416011999911</v>
      </c>
      <c r="K299">
        <v>1385.0320094399942</v>
      </c>
    </row>
    <row r="300" spans="1:11" x14ac:dyDescent="0.25">
      <c r="A300" t="s">
        <v>1</v>
      </c>
      <c r="B300" t="s">
        <v>59</v>
      </c>
      <c r="C300" t="s">
        <v>60</v>
      </c>
      <c r="D300">
        <v>1</v>
      </c>
      <c r="E300" t="s">
        <v>97</v>
      </c>
      <c r="F300">
        <v>2050</v>
      </c>
      <c r="G300" t="s">
        <v>2</v>
      </c>
      <c r="H300">
        <v>61978.252999919991</v>
      </c>
      <c r="I300">
        <v>7946.9019988799973</v>
      </c>
      <c r="J300">
        <v>29825.457995039938</v>
      </c>
      <c r="K300">
        <v>1375.0840000799974</v>
      </c>
    </row>
    <row r="301" spans="1:11" x14ac:dyDescent="0.25">
      <c r="A301" t="s">
        <v>1</v>
      </c>
      <c r="B301" t="s">
        <v>59</v>
      </c>
      <c r="C301" t="s">
        <v>60</v>
      </c>
      <c r="D301">
        <v>1</v>
      </c>
      <c r="E301" t="s">
        <v>97</v>
      </c>
      <c r="F301">
        <v>2051</v>
      </c>
      <c r="G301" t="s">
        <v>2</v>
      </c>
      <c r="H301">
        <v>61978.252999919991</v>
      </c>
      <c r="I301">
        <v>7946.9019988799973</v>
      </c>
      <c r="J301">
        <v>29825.457995039938</v>
      </c>
      <c r="K301">
        <v>1375.0840000799974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B59AE-9919-40BF-B1F8-888E4C007AB0}">
  <sheetPr>
    <tabColor theme="7"/>
  </sheetPr>
  <dimension ref="A1:R301"/>
  <sheetViews>
    <sheetView workbookViewId="0">
      <pane ySplit="1" topLeftCell="A248" activePane="bottomLeft" state="frozen"/>
      <selection pane="bottomLeft" activeCell="L28" sqref="L28"/>
    </sheetView>
  </sheetViews>
  <sheetFormatPr defaultRowHeight="15" x14ac:dyDescent="0.25"/>
  <cols>
    <col min="5" max="5" width="18" customWidth="1"/>
    <col min="10" max="10" width="40.85546875" customWidth="1"/>
  </cols>
  <sheetData>
    <row r="1" spans="1:18" x14ac:dyDescent="0.25">
      <c r="A1" t="s">
        <v>43</v>
      </c>
      <c r="B1" t="s">
        <v>44</v>
      </c>
      <c r="C1" t="s">
        <v>45</v>
      </c>
      <c r="D1" t="s">
        <v>46</v>
      </c>
      <c r="E1" t="s">
        <v>47</v>
      </c>
      <c r="F1" t="s">
        <v>0</v>
      </c>
      <c r="G1" t="s">
        <v>48</v>
      </c>
      <c r="H1" t="s">
        <v>49</v>
      </c>
      <c r="I1" t="s">
        <v>50</v>
      </c>
      <c r="J1" t="s">
        <v>51</v>
      </c>
      <c r="K1" t="s">
        <v>52</v>
      </c>
      <c r="L1" t="s">
        <v>53</v>
      </c>
      <c r="M1" t="s">
        <v>54</v>
      </c>
      <c r="N1" t="s">
        <v>55</v>
      </c>
      <c r="O1" t="s">
        <v>29</v>
      </c>
      <c r="P1" t="s">
        <v>56</v>
      </c>
      <c r="Q1" t="s">
        <v>57</v>
      </c>
      <c r="R1" t="s">
        <v>58</v>
      </c>
    </row>
    <row r="2" spans="1:18" x14ac:dyDescent="0.25">
      <c r="A2" t="s">
        <v>1</v>
      </c>
      <c r="B2" t="s">
        <v>59</v>
      </c>
      <c r="C2" t="s">
        <v>60</v>
      </c>
      <c r="D2">
        <v>1</v>
      </c>
      <c r="E2" t="s">
        <v>61</v>
      </c>
      <c r="F2">
        <v>2022</v>
      </c>
      <c r="G2" t="s">
        <v>2</v>
      </c>
      <c r="H2" s="3">
        <v>0</v>
      </c>
      <c r="I2" s="3">
        <v>0</v>
      </c>
      <c r="J2" s="2">
        <v>1800.217668</v>
      </c>
      <c r="K2" s="3">
        <v>0</v>
      </c>
      <c r="L2" s="3">
        <v>0</v>
      </c>
      <c r="M2" s="3">
        <v>0</v>
      </c>
      <c r="N2" s="3">
        <v>0</v>
      </c>
      <c r="O2" s="3">
        <v>0</v>
      </c>
      <c r="P2" s="3">
        <v>258.33432720000002</v>
      </c>
      <c r="Q2" s="3">
        <v>0</v>
      </c>
      <c r="R2" s="3">
        <v>0</v>
      </c>
    </row>
    <row r="3" spans="1:18" x14ac:dyDescent="0.25">
      <c r="A3" t="s">
        <v>1</v>
      </c>
      <c r="B3" t="s">
        <v>59</v>
      </c>
      <c r="C3" t="s">
        <v>60</v>
      </c>
      <c r="D3">
        <v>1</v>
      </c>
      <c r="E3" t="s">
        <v>61</v>
      </c>
      <c r="F3">
        <v>2023</v>
      </c>
      <c r="G3" t="s">
        <v>2</v>
      </c>
      <c r="H3" s="3">
        <v>0</v>
      </c>
      <c r="I3" s="3">
        <v>0</v>
      </c>
      <c r="J3" s="2">
        <v>4188.3311124000002</v>
      </c>
      <c r="K3" s="3">
        <v>0</v>
      </c>
      <c r="L3" s="3">
        <v>0</v>
      </c>
      <c r="M3" s="3">
        <v>0</v>
      </c>
      <c r="N3" s="3">
        <v>0</v>
      </c>
      <c r="O3" s="3">
        <v>937.07555184</v>
      </c>
      <c r="P3" s="3">
        <v>893.41584360000002</v>
      </c>
      <c r="Q3" s="3">
        <v>0</v>
      </c>
      <c r="R3" s="3">
        <v>0</v>
      </c>
    </row>
    <row r="4" spans="1:18" x14ac:dyDescent="0.25">
      <c r="A4" t="s">
        <v>1</v>
      </c>
      <c r="B4" t="s">
        <v>59</v>
      </c>
      <c r="C4" t="s">
        <v>60</v>
      </c>
      <c r="D4">
        <v>1</v>
      </c>
      <c r="E4" t="s">
        <v>61</v>
      </c>
      <c r="F4">
        <v>2024</v>
      </c>
      <c r="G4" t="s">
        <v>2</v>
      </c>
      <c r="H4" s="2">
        <v>1003.11478296</v>
      </c>
      <c r="I4" s="3">
        <v>0</v>
      </c>
      <c r="J4" s="2">
        <v>4199.8059921599997</v>
      </c>
      <c r="K4" s="3">
        <v>0</v>
      </c>
      <c r="L4" s="3">
        <v>0</v>
      </c>
      <c r="M4" s="3">
        <v>0</v>
      </c>
      <c r="N4" s="3">
        <v>0</v>
      </c>
      <c r="O4" s="2">
        <v>1663.01832504</v>
      </c>
      <c r="P4" s="3">
        <v>895.86355823999997</v>
      </c>
      <c r="Q4" s="3">
        <v>0</v>
      </c>
      <c r="R4" s="3">
        <v>0</v>
      </c>
    </row>
    <row r="5" spans="1:18" x14ac:dyDescent="0.25">
      <c r="A5" t="s">
        <v>1</v>
      </c>
      <c r="B5" t="s">
        <v>59</v>
      </c>
      <c r="C5" t="s">
        <v>60</v>
      </c>
      <c r="D5">
        <v>1</v>
      </c>
      <c r="E5" t="s">
        <v>61</v>
      </c>
      <c r="F5">
        <v>2025</v>
      </c>
      <c r="G5" t="s">
        <v>2</v>
      </c>
      <c r="H5" s="2">
        <v>2827.3218302400001</v>
      </c>
      <c r="I5" s="3">
        <v>0</v>
      </c>
      <c r="J5" s="2">
        <v>5493.1606187999996</v>
      </c>
      <c r="K5" s="3">
        <v>0</v>
      </c>
      <c r="L5" s="3">
        <v>0</v>
      </c>
      <c r="M5" s="2">
        <v>1435.47571272</v>
      </c>
      <c r="N5" s="3">
        <v>0</v>
      </c>
      <c r="O5" s="3">
        <v>799.68940296000005</v>
      </c>
      <c r="P5" s="3">
        <v>893.41584360000002</v>
      </c>
      <c r="Q5" s="3">
        <v>0</v>
      </c>
      <c r="R5" s="3">
        <v>0</v>
      </c>
    </row>
    <row r="6" spans="1:18" x14ac:dyDescent="0.25">
      <c r="A6" t="s">
        <v>1</v>
      </c>
      <c r="B6" t="s">
        <v>59</v>
      </c>
      <c r="C6" t="s">
        <v>60</v>
      </c>
      <c r="D6">
        <v>1</v>
      </c>
      <c r="E6" t="s">
        <v>61</v>
      </c>
      <c r="F6">
        <v>2026</v>
      </c>
      <c r="G6" t="s">
        <v>2</v>
      </c>
      <c r="H6" s="2">
        <v>6481.4817878399999</v>
      </c>
      <c r="I6" s="3">
        <v>0</v>
      </c>
      <c r="J6" s="2">
        <v>6256.5423215999999</v>
      </c>
      <c r="K6" s="3">
        <v>0</v>
      </c>
      <c r="L6" s="3">
        <v>0</v>
      </c>
      <c r="M6" s="2">
        <v>2735.5591399199998</v>
      </c>
      <c r="N6" s="3">
        <v>0</v>
      </c>
      <c r="O6" s="3">
        <v>0</v>
      </c>
      <c r="P6" s="3">
        <v>991.63086120000003</v>
      </c>
      <c r="Q6" s="3">
        <v>0</v>
      </c>
      <c r="R6" s="3">
        <v>0</v>
      </c>
    </row>
    <row r="7" spans="1:18" x14ac:dyDescent="0.25">
      <c r="A7" t="s">
        <v>1</v>
      </c>
      <c r="B7" t="s">
        <v>59</v>
      </c>
      <c r="C7" t="s">
        <v>60</v>
      </c>
      <c r="D7">
        <v>1</v>
      </c>
      <c r="E7" t="s">
        <v>61</v>
      </c>
      <c r="F7">
        <v>2027</v>
      </c>
      <c r="G7" t="s">
        <v>2</v>
      </c>
      <c r="H7" s="2">
        <v>10126.2997956</v>
      </c>
      <c r="I7" s="3">
        <v>0</v>
      </c>
      <c r="J7" s="2">
        <v>7032.139494</v>
      </c>
      <c r="K7" s="3">
        <v>0</v>
      </c>
      <c r="L7" s="3">
        <v>0</v>
      </c>
      <c r="M7" s="3">
        <v>580.11409079999999</v>
      </c>
      <c r="N7" s="3">
        <v>0</v>
      </c>
      <c r="O7" s="2">
        <v>2614.2242999999999</v>
      </c>
      <c r="P7" s="2">
        <v>1091.2354776</v>
      </c>
      <c r="Q7" s="3">
        <v>0</v>
      </c>
      <c r="R7" s="3">
        <v>0</v>
      </c>
    </row>
    <row r="8" spans="1:18" x14ac:dyDescent="0.25">
      <c r="A8" t="s">
        <v>1</v>
      </c>
      <c r="B8" t="s">
        <v>59</v>
      </c>
      <c r="C8" t="s">
        <v>60</v>
      </c>
      <c r="D8">
        <v>1</v>
      </c>
      <c r="E8" t="s">
        <v>61</v>
      </c>
      <c r="F8">
        <v>2028</v>
      </c>
      <c r="G8" t="s">
        <v>2</v>
      </c>
      <c r="H8" s="2">
        <v>12383.033552160001</v>
      </c>
      <c r="I8" s="3">
        <v>0</v>
      </c>
      <c r="J8" s="2">
        <v>9844.7673470400005</v>
      </c>
      <c r="K8" s="3">
        <v>0</v>
      </c>
      <c r="L8" s="3">
        <v>0</v>
      </c>
      <c r="M8" s="2">
        <v>3576.54290472</v>
      </c>
      <c r="N8" s="3">
        <v>0</v>
      </c>
      <c r="O8" s="3">
        <v>0</v>
      </c>
      <c r="P8" s="2">
        <v>1298.27801088</v>
      </c>
      <c r="Q8" s="3">
        <v>0</v>
      </c>
      <c r="R8" s="3">
        <v>0</v>
      </c>
    </row>
    <row r="9" spans="1:18" x14ac:dyDescent="0.25">
      <c r="A9" t="s">
        <v>1</v>
      </c>
      <c r="B9" t="s">
        <v>59</v>
      </c>
      <c r="C9" t="s">
        <v>60</v>
      </c>
      <c r="D9">
        <v>1</v>
      </c>
      <c r="E9" t="s">
        <v>61</v>
      </c>
      <c r="F9">
        <v>2029</v>
      </c>
      <c r="G9" t="s">
        <v>2</v>
      </c>
      <c r="H9" s="2">
        <v>16109.02928952</v>
      </c>
      <c r="I9" s="3">
        <v>0</v>
      </c>
      <c r="J9" s="2">
        <v>9817.8690755999996</v>
      </c>
      <c r="K9" s="3">
        <v>0</v>
      </c>
      <c r="L9" s="3">
        <v>0</v>
      </c>
      <c r="M9" s="2">
        <v>4003.5422136000002</v>
      </c>
      <c r="N9" s="3">
        <v>0</v>
      </c>
      <c r="O9" s="3">
        <v>0</v>
      </c>
      <c r="P9" s="2">
        <v>1294.7308032000001</v>
      </c>
      <c r="Q9" s="3">
        <v>0</v>
      </c>
      <c r="R9" s="3">
        <v>0</v>
      </c>
    </row>
    <row r="10" spans="1:18" x14ac:dyDescent="0.25">
      <c r="A10" t="s">
        <v>1</v>
      </c>
      <c r="B10" t="s">
        <v>59</v>
      </c>
      <c r="C10" t="s">
        <v>60</v>
      </c>
      <c r="D10">
        <v>1</v>
      </c>
      <c r="E10" t="s">
        <v>61</v>
      </c>
      <c r="F10">
        <v>2030</v>
      </c>
      <c r="G10" t="s">
        <v>2</v>
      </c>
      <c r="H10" s="2">
        <v>20524.210158239999</v>
      </c>
      <c r="I10" s="3">
        <v>0</v>
      </c>
      <c r="J10" s="2">
        <v>9817.8690755999996</v>
      </c>
      <c r="K10" s="3">
        <v>0</v>
      </c>
      <c r="L10" s="3">
        <v>0</v>
      </c>
      <c r="M10" s="2">
        <v>4360.3692244800004</v>
      </c>
      <c r="N10" s="3">
        <v>103.9256616</v>
      </c>
      <c r="O10" s="3">
        <v>0</v>
      </c>
      <c r="P10" s="2">
        <v>1294.7308032000001</v>
      </c>
      <c r="Q10" s="3">
        <v>0</v>
      </c>
      <c r="R10" s="3">
        <v>0</v>
      </c>
    </row>
    <row r="11" spans="1:18" x14ac:dyDescent="0.25">
      <c r="A11" t="s">
        <v>1</v>
      </c>
      <c r="B11" t="s">
        <v>59</v>
      </c>
      <c r="C11" t="s">
        <v>60</v>
      </c>
      <c r="D11">
        <v>1</v>
      </c>
      <c r="E11" t="s">
        <v>61</v>
      </c>
      <c r="F11">
        <v>2031</v>
      </c>
      <c r="G11" t="s">
        <v>2</v>
      </c>
      <c r="H11" s="2">
        <v>23353.950828960002</v>
      </c>
      <c r="I11" s="3">
        <v>0</v>
      </c>
      <c r="J11" s="2">
        <v>11395.7829972</v>
      </c>
      <c r="K11" s="3">
        <v>0</v>
      </c>
      <c r="L11" s="3">
        <v>0</v>
      </c>
      <c r="M11" s="2">
        <v>1737.7265616</v>
      </c>
      <c r="N11" s="3">
        <v>209.2205988</v>
      </c>
      <c r="O11" s="2">
        <v>2676.1978800000002</v>
      </c>
      <c r="P11" s="2">
        <v>1294.7308032000001</v>
      </c>
      <c r="Q11" s="3">
        <v>0</v>
      </c>
      <c r="R11" s="3">
        <v>0</v>
      </c>
    </row>
    <row r="12" spans="1:18" x14ac:dyDescent="0.25">
      <c r="A12" t="s">
        <v>1</v>
      </c>
      <c r="B12" t="s">
        <v>59</v>
      </c>
      <c r="C12" t="s">
        <v>60</v>
      </c>
      <c r="D12">
        <v>1</v>
      </c>
      <c r="E12" t="s">
        <v>61</v>
      </c>
      <c r="F12">
        <v>2032</v>
      </c>
      <c r="G12" t="s">
        <v>2</v>
      </c>
      <c r="H12" s="2">
        <v>7611.2793074399997</v>
      </c>
      <c r="I12" s="2">
        <v>20830.641471359999</v>
      </c>
      <c r="J12" s="2">
        <v>11427.00432048</v>
      </c>
      <c r="K12" s="3">
        <v>0</v>
      </c>
      <c r="L12" s="3">
        <v>0</v>
      </c>
      <c r="M12" s="2">
        <v>4521.2469362399997</v>
      </c>
      <c r="N12" s="3">
        <v>322.02855504000001</v>
      </c>
      <c r="O12" s="3">
        <v>0</v>
      </c>
      <c r="P12" s="2">
        <v>1298.27801088</v>
      </c>
      <c r="Q12" s="3">
        <v>0</v>
      </c>
      <c r="R12" s="3">
        <v>0</v>
      </c>
    </row>
    <row r="13" spans="1:18" x14ac:dyDescent="0.25">
      <c r="A13" t="s">
        <v>1</v>
      </c>
      <c r="B13" t="s">
        <v>59</v>
      </c>
      <c r="C13" t="s">
        <v>60</v>
      </c>
      <c r="D13">
        <v>1</v>
      </c>
      <c r="E13" t="s">
        <v>61</v>
      </c>
      <c r="F13">
        <v>2033</v>
      </c>
      <c r="G13" t="s">
        <v>2</v>
      </c>
      <c r="H13" s="2">
        <v>10311.6318636</v>
      </c>
      <c r="I13" s="2">
        <v>21873.4053408</v>
      </c>
      <c r="J13" s="2">
        <v>11395.7829972</v>
      </c>
      <c r="K13" s="3">
        <v>0</v>
      </c>
      <c r="L13" s="3">
        <v>0</v>
      </c>
      <c r="M13" s="2">
        <v>4509.1065916799998</v>
      </c>
      <c r="N13" s="3">
        <v>423.73968359999998</v>
      </c>
      <c r="O13" s="3">
        <v>0</v>
      </c>
      <c r="P13" s="2">
        <v>1294.7308032000001</v>
      </c>
      <c r="Q13" s="3">
        <v>0</v>
      </c>
      <c r="R13" s="3">
        <v>0</v>
      </c>
    </row>
    <row r="14" spans="1:18" x14ac:dyDescent="0.25">
      <c r="A14" t="s">
        <v>1</v>
      </c>
      <c r="B14" t="s">
        <v>59</v>
      </c>
      <c r="C14" t="s">
        <v>60</v>
      </c>
      <c r="D14">
        <v>1</v>
      </c>
      <c r="E14" t="s">
        <v>61</v>
      </c>
      <c r="F14">
        <v>2034</v>
      </c>
      <c r="G14" t="s">
        <v>2</v>
      </c>
      <c r="H14" s="2">
        <v>14664.84887736</v>
      </c>
      <c r="I14" s="2">
        <v>21873.4053408</v>
      </c>
      <c r="J14" s="2">
        <v>11395.7829972</v>
      </c>
      <c r="K14" s="3">
        <v>0</v>
      </c>
      <c r="L14" s="3">
        <v>0</v>
      </c>
      <c r="M14" s="2">
        <v>4551.7046536799999</v>
      </c>
      <c r="N14" s="3">
        <v>533.12527799999998</v>
      </c>
      <c r="O14" s="3">
        <v>0</v>
      </c>
      <c r="P14" s="2">
        <v>1294.7308032000001</v>
      </c>
      <c r="Q14" s="3">
        <v>0</v>
      </c>
      <c r="R14" s="3">
        <v>0</v>
      </c>
    </row>
    <row r="15" spans="1:18" x14ac:dyDescent="0.25">
      <c r="A15" t="s">
        <v>1</v>
      </c>
      <c r="B15" t="s">
        <v>59</v>
      </c>
      <c r="C15" t="s">
        <v>60</v>
      </c>
      <c r="D15">
        <v>1</v>
      </c>
      <c r="E15" t="s">
        <v>61</v>
      </c>
      <c r="F15">
        <v>2035</v>
      </c>
      <c r="G15" t="s">
        <v>2</v>
      </c>
      <c r="H15" s="2">
        <v>15190.417285920001</v>
      </c>
      <c r="I15" s="2">
        <v>21873.4053408</v>
      </c>
      <c r="J15" s="2">
        <v>11395.7829972</v>
      </c>
      <c r="K15" s="3">
        <v>0</v>
      </c>
      <c r="L15" s="2">
        <v>3833.2987367999999</v>
      </c>
      <c r="M15" s="2">
        <v>1855.1940297599999</v>
      </c>
      <c r="N15" s="3">
        <v>643.83704880000005</v>
      </c>
      <c r="O15" s="2">
        <v>2735.5704000000001</v>
      </c>
      <c r="P15" s="2">
        <v>1294.7308032000001</v>
      </c>
      <c r="Q15" s="3">
        <v>0</v>
      </c>
      <c r="R15" s="3">
        <v>0</v>
      </c>
    </row>
    <row r="16" spans="1:18" x14ac:dyDescent="0.25">
      <c r="A16" t="s">
        <v>1</v>
      </c>
      <c r="B16" t="s">
        <v>59</v>
      </c>
      <c r="C16" t="s">
        <v>60</v>
      </c>
      <c r="D16">
        <v>1</v>
      </c>
      <c r="E16" t="s">
        <v>61</v>
      </c>
      <c r="F16">
        <v>2036</v>
      </c>
      <c r="G16" t="s">
        <v>2</v>
      </c>
      <c r="H16" s="2">
        <v>3945.8968368000001</v>
      </c>
      <c r="I16" s="2">
        <v>21933.33247872</v>
      </c>
      <c r="J16" s="2">
        <v>11427.00432048</v>
      </c>
      <c r="K16" s="3">
        <v>0</v>
      </c>
      <c r="L16" s="2">
        <v>18708.800127840001</v>
      </c>
      <c r="M16" s="2">
        <v>4683.5157033599999</v>
      </c>
      <c r="N16" s="3">
        <v>764.87584751999998</v>
      </c>
      <c r="O16" s="3">
        <v>0</v>
      </c>
      <c r="P16" s="2">
        <v>1298.27801088</v>
      </c>
      <c r="Q16" s="3">
        <v>0</v>
      </c>
      <c r="R16" s="3">
        <v>0</v>
      </c>
    </row>
    <row r="17" spans="1:18" x14ac:dyDescent="0.25">
      <c r="A17" t="s">
        <v>1</v>
      </c>
      <c r="B17" t="s">
        <v>59</v>
      </c>
      <c r="C17" t="s">
        <v>60</v>
      </c>
      <c r="D17">
        <v>1</v>
      </c>
      <c r="E17" t="s">
        <v>61</v>
      </c>
      <c r="F17">
        <v>2037</v>
      </c>
      <c r="G17" t="s">
        <v>2</v>
      </c>
      <c r="H17" s="2">
        <v>6413.8048315200003</v>
      </c>
      <c r="I17" s="2">
        <v>21873.4053408</v>
      </c>
      <c r="J17" s="2">
        <v>11395.7829972</v>
      </c>
      <c r="K17" s="3">
        <v>0</v>
      </c>
      <c r="L17" s="2">
        <v>18657.6831876</v>
      </c>
      <c r="M17" s="2">
        <v>4658.1913144800001</v>
      </c>
      <c r="N17" s="3">
        <v>869.10868319999997</v>
      </c>
      <c r="O17" s="3">
        <v>0</v>
      </c>
      <c r="P17" s="2">
        <v>1294.7308032000001</v>
      </c>
      <c r="Q17" s="3">
        <v>0</v>
      </c>
      <c r="R17" s="3">
        <v>0</v>
      </c>
    </row>
    <row r="18" spans="1:18" x14ac:dyDescent="0.25">
      <c r="A18" t="s">
        <v>1</v>
      </c>
      <c r="B18" t="s">
        <v>59</v>
      </c>
      <c r="C18" t="s">
        <v>60</v>
      </c>
      <c r="D18">
        <v>1</v>
      </c>
      <c r="E18" t="s">
        <v>61</v>
      </c>
      <c r="F18">
        <v>2038</v>
      </c>
      <c r="G18" t="s">
        <v>2</v>
      </c>
      <c r="H18" s="2">
        <v>9399.6390952799993</v>
      </c>
      <c r="I18" s="2">
        <v>21873.4053408</v>
      </c>
      <c r="J18" s="2">
        <v>11395.7829972</v>
      </c>
      <c r="K18" s="3">
        <v>0</v>
      </c>
      <c r="L18" s="2">
        <v>18657.6831876</v>
      </c>
      <c r="M18" s="2">
        <v>4685.9936714400001</v>
      </c>
      <c r="N18" s="3">
        <v>983.42677079999999</v>
      </c>
      <c r="O18" s="3">
        <v>0</v>
      </c>
      <c r="P18" s="2">
        <v>1294.7308032000001</v>
      </c>
      <c r="Q18" s="3">
        <v>0</v>
      </c>
      <c r="R18" s="3">
        <v>0</v>
      </c>
    </row>
    <row r="19" spans="1:18" x14ac:dyDescent="0.25">
      <c r="A19" t="s">
        <v>1</v>
      </c>
      <c r="B19" t="s">
        <v>59</v>
      </c>
      <c r="C19" t="s">
        <v>60</v>
      </c>
      <c r="D19">
        <v>1</v>
      </c>
      <c r="E19" t="s">
        <v>61</v>
      </c>
      <c r="F19">
        <v>2039</v>
      </c>
      <c r="G19" t="s">
        <v>2</v>
      </c>
      <c r="H19" s="2">
        <v>12358.0140732</v>
      </c>
      <c r="I19" s="2">
        <v>21873.4053408</v>
      </c>
      <c r="J19" s="2">
        <v>11395.7829972</v>
      </c>
      <c r="K19" s="3">
        <v>0</v>
      </c>
      <c r="L19" s="2">
        <v>18657.6831876</v>
      </c>
      <c r="M19" s="2">
        <v>1919.09697936</v>
      </c>
      <c r="N19" s="2">
        <v>1098.9336780000001</v>
      </c>
      <c r="O19" s="2">
        <v>2791.3325399999999</v>
      </c>
      <c r="P19" s="2">
        <v>1294.7308032000001</v>
      </c>
      <c r="Q19" s="3">
        <v>0</v>
      </c>
      <c r="R19" s="3">
        <v>0</v>
      </c>
    </row>
    <row r="20" spans="1:18" x14ac:dyDescent="0.25">
      <c r="A20" t="s">
        <v>1</v>
      </c>
      <c r="B20" t="s">
        <v>59</v>
      </c>
      <c r="C20" t="s">
        <v>60</v>
      </c>
      <c r="D20">
        <v>1</v>
      </c>
      <c r="E20" t="s">
        <v>61</v>
      </c>
      <c r="F20">
        <v>2040</v>
      </c>
      <c r="G20" t="s">
        <v>2</v>
      </c>
      <c r="H20" s="2">
        <v>15841.396566240001</v>
      </c>
      <c r="I20" s="2">
        <v>21933.33247872</v>
      </c>
      <c r="J20" s="2">
        <v>11427.00432048</v>
      </c>
      <c r="K20" s="3">
        <v>0</v>
      </c>
      <c r="L20" s="2">
        <v>18708.800127840001</v>
      </c>
      <c r="M20" s="2">
        <v>4785.4270922400001</v>
      </c>
      <c r="N20" s="2">
        <v>1226.82754944</v>
      </c>
      <c r="O20" s="3">
        <v>0</v>
      </c>
      <c r="P20" s="2">
        <v>1298.27801088</v>
      </c>
      <c r="Q20" s="3">
        <v>0</v>
      </c>
      <c r="R20" s="3">
        <v>0</v>
      </c>
    </row>
    <row r="21" spans="1:18" x14ac:dyDescent="0.25">
      <c r="A21" t="s">
        <v>1</v>
      </c>
      <c r="B21" t="s">
        <v>59</v>
      </c>
      <c r="C21" t="s">
        <v>60</v>
      </c>
      <c r="D21">
        <v>1</v>
      </c>
      <c r="E21" t="s">
        <v>61</v>
      </c>
      <c r="F21">
        <v>2041</v>
      </c>
      <c r="G21" t="s">
        <v>2</v>
      </c>
      <c r="H21" s="2">
        <v>2012.0421280800001</v>
      </c>
      <c r="I21" s="2">
        <v>21873.4053408</v>
      </c>
      <c r="J21" s="2">
        <v>11395.7829972</v>
      </c>
      <c r="K21" s="3">
        <v>0</v>
      </c>
      <c r="L21" s="2">
        <v>34884.097491599998</v>
      </c>
      <c r="M21" s="2">
        <v>4747.4218245599995</v>
      </c>
      <c r="N21" s="2">
        <v>1332.8609808000001</v>
      </c>
      <c r="O21" s="3">
        <v>0</v>
      </c>
      <c r="P21" s="2">
        <v>1294.7308032000001</v>
      </c>
      <c r="Q21" s="3">
        <v>0</v>
      </c>
      <c r="R21" s="3">
        <v>0</v>
      </c>
    </row>
    <row r="22" spans="1:18" x14ac:dyDescent="0.25">
      <c r="A22" t="s">
        <v>1</v>
      </c>
      <c r="B22" t="s">
        <v>59</v>
      </c>
      <c r="C22" t="s">
        <v>60</v>
      </c>
      <c r="D22">
        <v>1</v>
      </c>
      <c r="E22" t="s">
        <v>61</v>
      </c>
      <c r="F22">
        <v>2042</v>
      </c>
      <c r="G22" t="s">
        <v>2</v>
      </c>
      <c r="H22" s="2">
        <v>4952.0273059199999</v>
      </c>
      <c r="I22" s="2">
        <v>21873.4053408</v>
      </c>
      <c r="J22" s="2">
        <v>11395.7829972</v>
      </c>
      <c r="K22" s="3">
        <v>0</v>
      </c>
      <c r="L22" s="2">
        <v>34884.097491599998</v>
      </c>
      <c r="M22" s="2">
        <v>3875.1689582399999</v>
      </c>
      <c r="N22" s="2">
        <v>2339.5642103999999</v>
      </c>
      <c r="O22" s="3">
        <v>0</v>
      </c>
      <c r="P22" s="2">
        <v>1294.7308032000001</v>
      </c>
      <c r="Q22" s="3">
        <v>0</v>
      </c>
      <c r="R22" s="3">
        <v>0</v>
      </c>
    </row>
    <row r="23" spans="1:18" x14ac:dyDescent="0.25">
      <c r="A23" t="s">
        <v>1</v>
      </c>
      <c r="B23" t="s">
        <v>59</v>
      </c>
      <c r="C23" t="s">
        <v>60</v>
      </c>
      <c r="D23">
        <v>1</v>
      </c>
      <c r="E23" t="s">
        <v>61</v>
      </c>
      <c r="F23">
        <v>2043</v>
      </c>
      <c r="G23" t="s">
        <v>2</v>
      </c>
      <c r="H23" s="2">
        <v>7886.29011696</v>
      </c>
      <c r="I23" s="2">
        <v>21873.4053408</v>
      </c>
      <c r="J23" s="2">
        <v>11395.7829972</v>
      </c>
      <c r="K23" s="3">
        <v>0</v>
      </c>
      <c r="L23" s="2">
        <v>34884.097491599998</v>
      </c>
      <c r="M23" s="2">
        <v>1196.1154579199999</v>
      </c>
      <c r="N23" s="2">
        <v>2339.5642103999999</v>
      </c>
      <c r="O23" s="2">
        <v>2845.5811800000001</v>
      </c>
      <c r="P23" s="2">
        <v>1294.7308032000001</v>
      </c>
      <c r="Q23" s="3">
        <v>0</v>
      </c>
      <c r="R23" s="3">
        <v>0</v>
      </c>
    </row>
    <row r="24" spans="1:18" x14ac:dyDescent="0.25">
      <c r="A24" t="s">
        <v>1</v>
      </c>
      <c r="B24" t="s">
        <v>59</v>
      </c>
      <c r="C24" t="s">
        <v>60</v>
      </c>
      <c r="D24">
        <v>1</v>
      </c>
      <c r="E24" t="s">
        <v>61</v>
      </c>
      <c r="F24">
        <v>2044</v>
      </c>
      <c r="G24" t="s">
        <v>2</v>
      </c>
      <c r="H24" s="2">
        <v>7915.8262540799997</v>
      </c>
      <c r="I24" s="2">
        <v>21933.33247872</v>
      </c>
      <c r="J24" s="2">
        <v>11427.00432048</v>
      </c>
      <c r="K24" s="3">
        <v>0</v>
      </c>
      <c r="L24" s="2">
        <v>38393.255913120003</v>
      </c>
      <c r="M24" s="2">
        <v>4236.5437987200003</v>
      </c>
      <c r="N24" s="2">
        <v>2376.6260068800002</v>
      </c>
      <c r="O24" s="3">
        <v>0</v>
      </c>
      <c r="P24" s="2">
        <v>1298.27801088</v>
      </c>
      <c r="Q24" s="3">
        <v>0</v>
      </c>
      <c r="R24" s="3">
        <v>0</v>
      </c>
    </row>
    <row r="25" spans="1:18" x14ac:dyDescent="0.25">
      <c r="A25" t="s">
        <v>1</v>
      </c>
      <c r="B25" t="s">
        <v>59</v>
      </c>
      <c r="C25" t="s">
        <v>60</v>
      </c>
      <c r="D25">
        <v>1</v>
      </c>
      <c r="E25" t="s">
        <v>61</v>
      </c>
      <c r="F25">
        <v>2045</v>
      </c>
      <c r="G25" t="s">
        <v>2</v>
      </c>
      <c r="H25" s="2">
        <v>1637.3576289600001</v>
      </c>
      <c r="I25" s="2">
        <v>21873.4053408</v>
      </c>
      <c r="J25" s="2">
        <v>11395.7829972</v>
      </c>
      <c r="K25" s="3">
        <v>0</v>
      </c>
      <c r="L25" s="2">
        <v>47014.330276799999</v>
      </c>
      <c r="M25" s="2">
        <v>4330.6890302399997</v>
      </c>
      <c r="N25" s="2">
        <v>2373.3015983999999</v>
      </c>
      <c r="O25" s="3">
        <v>0</v>
      </c>
      <c r="P25" s="2">
        <v>1294.7308032000001</v>
      </c>
      <c r="Q25" s="3">
        <v>0</v>
      </c>
      <c r="R25" s="3">
        <v>0</v>
      </c>
    </row>
    <row r="26" spans="1:18" x14ac:dyDescent="0.25">
      <c r="A26" t="s">
        <v>1</v>
      </c>
      <c r="B26" t="s">
        <v>59</v>
      </c>
      <c r="C26" t="s">
        <v>60</v>
      </c>
      <c r="D26">
        <v>1</v>
      </c>
      <c r="E26" t="s">
        <v>61</v>
      </c>
      <c r="F26">
        <v>2046</v>
      </c>
      <c r="G26" t="s">
        <v>2</v>
      </c>
      <c r="H26" s="2">
        <v>4572.2037007199997</v>
      </c>
      <c r="I26" s="2">
        <v>21873.4053408</v>
      </c>
      <c r="J26" s="2">
        <v>11395.7829972</v>
      </c>
      <c r="K26" s="3">
        <v>0</v>
      </c>
      <c r="L26" s="2">
        <v>47014.330276799999</v>
      </c>
      <c r="M26" s="2">
        <v>4476.4696819199999</v>
      </c>
      <c r="N26" s="2">
        <v>2384.4090156000002</v>
      </c>
      <c r="O26" s="3">
        <v>0</v>
      </c>
      <c r="P26" s="2">
        <v>1294.7308032000001</v>
      </c>
      <c r="Q26" s="3">
        <v>0</v>
      </c>
      <c r="R26" s="3">
        <v>0</v>
      </c>
    </row>
    <row r="27" spans="1:18" x14ac:dyDescent="0.25">
      <c r="A27" t="s">
        <v>1</v>
      </c>
      <c r="B27" t="s">
        <v>59</v>
      </c>
      <c r="C27" t="s">
        <v>60</v>
      </c>
      <c r="D27">
        <v>1</v>
      </c>
      <c r="E27" t="s">
        <v>61</v>
      </c>
      <c r="F27">
        <v>2047</v>
      </c>
      <c r="G27" t="s">
        <v>2</v>
      </c>
      <c r="H27" s="2">
        <v>7501.2782992800003</v>
      </c>
      <c r="I27" s="2">
        <v>21873.4053408</v>
      </c>
      <c r="J27" s="2">
        <v>11395.7829972</v>
      </c>
      <c r="K27" s="3">
        <v>0</v>
      </c>
      <c r="L27" s="2">
        <v>47014.330276799999</v>
      </c>
      <c r="M27" s="2">
        <v>1720.5619787999999</v>
      </c>
      <c r="N27" s="2">
        <v>2395.2674735999999</v>
      </c>
      <c r="O27" s="2">
        <v>2898.0571799999998</v>
      </c>
      <c r="P27" s="2">
        <v>1294.7308032000001</v>
      </c>
      <c r="Q27" s="3">
        <v>0</v>
      </c>
      <c r="R27" s="3">
        <v>0</v>
      </c>
    </row>
    <row r="28" spans="1:18" x14ac:dyDescent="0.25">
      <c r="A28" t="s">
        <v>1</v>
      </c>
      <c r="B28" t="s">
        <v>59</v>
      </c>
      <c r="C28" t="s">
        <v>60</v>
      </c>
      <c r="D28">
        <v>1</v>
      </c>
      <c r="E28" t="s">
        <v>61</v>
      </c>
      <c r="F28">
        <v>2048</v>
      </c>
      <c r="G28" t="s">
        <v>2</v>
      </c>
      <c r="H28" s="3">
        <v>0</v>
      </c>
      <c r="I28" s="2">
        <v>21933.33247872</v>
      </c>
      <c r="J28" s="2">
        <v>11427.00432048</v>
      </c>
      <c r="K28" s="3">
        <v>0</v>
      </c>
      <c r="L28" s="2">
        <v>58047.903194400002</v>
      </c>
      <c r="M28" s="2">
        <v>4813.61571</v>
      </c>
      <c r="N28" s="2">
        <v>2420.8256016</v>
      </c>
      <c r="O28" s="3">
        <v>0</v>
      </c>
      <c r="P28" s="2">
        <v>1298.27801088</v>
      </c>
      <c r="Q28" s="3">
        <v>0</v>
      </c>
      <c r="R28" s="3">
        <v>0</v>
      </c>
    </row>
    <row r="29" spans="1:18" x14ac:dyDescent="0.25">
      <c r="A29" t="s">
        <v>1</v>
      </c>
      <c r="B29" t="s">
        <v>59</v>
      </c>
      <c r="C29" t="s">
        <v>60</v>
      </c>
      <c r="D29">
        <v>1</v>
      </c>
      <c r="E29" t="s">
        <v>61</v>
      </c>
      <c r="F29">
        <v>2049</v>
      </c>
      <c r="G29" t="s">
        <v>2</v>
      </c>
      <c r="H29" s="3">
        <v>0</v>
      </c>
      <c r="I29" s="2">
        <v>21873.4053408</v>
      </c>
      <c r="J29" s="2">
        <v>11395.7829972</v>
      </c>
      <c r="K29" s="3">
        <v>0</v>
      </c>
      <c r="L29" s="2">
        <v>60387.498438000002</v>
      </c>
      <c r="M29" s="3">
        <v>0</v>
      </c>
      <c r="N29" s="2">
        <v>2416.7016168</v>
      </c>
      <c r="O29" s="3">
        <v>0</v>
      </c>
      <c r="P29" s="2">
        <v>1294.7308032000001</v>
      </c>
      <c r="Q29" s="3">
        <v>0</v>
      </c>
      <c r="R29" s="2">
        <v>4894.1607540000005</v>
      </c>
    </row>
    <row r="30" spans="1:18" x14ac:dyDescent="0.25">
      <c r="A30" t="s">
        <v>1</v>
      </c>
      <c r="B30" t="s">
        <v>59</v>
      </c>
      <c r="C30" t="s">
        <v>60</v>
      </c>
      <c r="D30">
        <v>1</v>
      </c>
      <c r="E30" t="s">
        <v>61</v>
      </c>
      <c r="F30">
        <v>2050</v>
      </c>
      <c r="G30" t="s">
        <v>2</v>
      </c>
      <c r="H30" s="3">
        <v>0</v>
      </c>
      <c r="I30" s="2">
        <v>21873.4053408</v>
      </c>
      <c r="J30" s="2">
        <v>11395.7829972</v>
      </c>
      <c r="K30" s="3">
        <v>0</v>
      </c>
      <c r="L30" s="2">
        <v>63315.313292400002</v>
      </c>
      <c r="M30" s="3">
        <v>0</v>
      </c>
      <c r="N30" s="2">
        <v>2427.3960000000002</v>
      </c>
      <c r="O30" s="3">
        <v>0</v>
      </c>
      <c r="P30" s="2">
        <v>1294.7308032000001</v>
      </c>
      <c r="Q30" s="3">
        <v>0</v>
      </c>
      <c r="R30" s="2">
        <v>5028.1652771999998</v>
      </c>
    </row>
    <row r="31" spans="1:18" x14ac:dyDescent="0.25">
      <c r="A31" t="s">
        <v>1</v>
      </c>
      <c r="B31" t="s">
        <v>59</v>
      </c>
      <c r="C31" t="s">
        <v>60</v>
      </c>
      <c r="D31">
        <v>1</v>
      </c>
      <c r="E31" t="s">
        <v>61</v>
      </c>
      <c r="F31">
        <v>2051</v>
      </c>
      <c r="G31" t="s">
        <v>2</v>
      </c>
      <c r="H31" s="3">
        <v>0</v>
      </c>
      <c r="I31" s="2">
        <v>21873.4053408</v>
      </c>
      <c r="J31" s="2">
        <v>11395.7829972</v>
      </c>
      <c r="K31" s="3">
        <v>0</v>
      </c>
      <c r="L31" s="2">
        <v>63315.313292400002</v>
      </c>
      <c r="M31" s="3">
        <v>0</v>
      </c>
      <c r="N31" s="2">
        <v>2427.3960000000002</v>
      </c>
      <c r="O31" s="3">
        <v>0</v>
      </c>
      <c r="P31" s="2">
        <v>1294.7308032000001</v>
      </c>
      <c r="Q31" s="3">
        <v>0</v>
      </c>
      <c r="R31" s="2">
        <v>5028.1652771999998</v>
      </c>
    </row>
    <row r="32" spans="1:18" x14ac:dyDescent="0.25">
      <c r="A32" t="s">
        <v>1</v>
      </c>
      <c r="B32" t="s">
        <v>59</v>
      </c>
      <c r="C32" t="s">
        <v>60</v>
      </c>
      <c r="D32">
        <v>1</v>
      </c>
      <c r="E32" t="s">
        <v>62</v>
      </c>
      <c r="F32">
        <v>2022</v>
      </c>
      <c r="G32" t="s">
        <v>2</v>
      </c>
      <c r="H32">
        <v>0</v>
      </c>
      <c r="I32">
        <v>0</v>
      </c>
      <c r="J32">
        <v>1796.9999448000067</v>
      </c>
      <c r="K32">
        <v>0</v>
      </c>
      <c r="L32">
        <v>0</v>
      </c>
      <c r="M32">
        <v>0</v>
      </c>
      <c r="N32">
        <v>0</v>
      </c>
      <c r="O32">
        <v>0</v>
      </c>
      <c r="P32">
        <v>257.69957760000005</v>
      </c>
      <c r="Q32">
        <v>0</v>
      </c>
      <c r="R32">
        <v>0</v>
      </c>
    </row>
    <row r="33" spans="1:18" x14ac:dyDescent="0.25">
      <c r="A33" t="s">
        <v>1</v>
      </c>
      <c r="B33" t="s">
        <v>59</v>
      </c>
      <c r="C33" t="s">
        <v>60</v>
      </c>
      <c r="D33">
        <v>1</v>
      </c>
      <c r="E33" t="s">
        <v>62</v>
      </c>
      <c r="F33">
        <v>2023</v>
      </c>
      <c r="G33" t="s">
        <v>2</v>
      </c>
      <c r="H33">
        <v>0</v>
      </c>
      <c r="I33">
        <v>0</v>
      </c>
      <c r="J33">
        <v>4137.4388412000117</v>
      </c>
      <c r="K33">
        <v>0</v>
      </c>
      <c r="L33">
        <v>0</v>
      </c>
      <c r="M33">
        <v>0</v>
      </c>
      <c r="N33">
        <v>0</v>
      </c>
      <c r="O33">
        <v>886.69418016000009</v>
      </c>
      <c r="P33">
        <v>870.65412240000444</v>
      </c>
      <c r="Q33">
        <v>0</v>
      </c>
      <c r="R33">
        <v>0</v>
      </c>
    </row>
    <row r="34" spans="1:18" x14ac:dyDescent="0.25">
      <c r="A34" t="s">
        <v>1</v>
      </c>
      <c r="B34" t="s">
        <v>59</v>
      </c>
      <c r="C34" t="s">
        <v>60</v>
      </c>
      <c r="D34">
        <v>1</v>
      </c>
      <c r="E34" t="s">
        <v>62</v>
      </c>
      <c r="F34">
        <v>2024</v>
      </c>
      <c r="G34" t="s">
        <v>2</v>
      </c>
      <c r="H34">
        <v>372.25076688000001</v>
      </c>
      <c r="I34">
        <v>0</v>
      </c>
      <c r="J34">
        <v>4148.7742900800113</v>
      </c>
      <c r="K34">
        <v>0</v>
      </c>
      <c r="L34">
        <v>0</v>
      </c>
      <c r="M34">
        <v>0</v>
      </c>
      <c r="N34">
        <v>0</v>
      </c>
      <c r="O34">
        <v>1549.05877848</v>
      </c>
      <c r="P34">
        <v>873.03947616000448</v>
      </c>
      <c r="Q34">
        <v>0</v>
      </c>
      <c r="R34">
        <v>0</v>
      </c>
    </row>
    <row r="35" spans="1:18" x14ac:dyDescent="0.25">
      <c r="A35" t="s">
        <v>1</v>
      </c>
      <c r="B35" t="s">
        <v>59</v>
      </c>
      <c r="C35" t="s">
        <v>60</v>
      </c>
      <c r="D35">
        <v>1</v>
      </c>
      <c r="E35" t="s">
        <v>62</v>
      </c>
      <c r="F35">
        <v>2025</v>
      </c>
      <c r="G35" t="s">
        <v>2</v>
      </c>
      <c r="H35">
        <v>1592.16043008</v>
      </c>
      <c r="I35">
        <v>0</v>
      </c>
      <c r="J35">
        <v>5373.1983755999909</v>
      </c>
      <c r="K35">
        <v>0</v>
      </c>
      <c r="L35">
        <v>0</v>
      </c>
      <c r="M35">
        <v>1123.5184776000001</v>
      </c>
      <c r="N35">
        <v>0</v>
      </c>
      <c r="O35">
        <v>898.57968144000006</v>
      </c>
      <c r="P35">
        <v>870.65412240000444</v>
      </c>
      <c r="Q35">
        <v>0</v>
      </c>
      <c r="R35">
        <v>0</v>
      </c>
    </row>
    <row r="36" spans="1:18" x14ac:dyDescent="0.25">
      <c r="A36" t="s">
        <v>1</v>
      </c>
      <c r="B36" t="s">
        <v>59</v>
      </c>
      <c r="C36" t="s">
        <v>60</v>
      </c>
      <c r="D36">
        <v>1</v>
      </c>
      <c r="E36" t="s">
        <v>62</v>
      </c>
      <c r="F36">
        <v>2026</v>
      </c>
      <c r="G36" t="s">
        <v>2</v>
      </c>
      <c r="H36">
        <v>4385.6163177600001</v>
      </c>
      <c r="I36">
        <v>0</v>
      </c>
      <c r="J36">
        <v>6033.6315947999801</v>
      </c>
      <c r="K36">
        <v>0</v>
      </c>
      <c r="L36">
        <v>0</v>
      </c>
      <c r="M36">
        <v>2400.75875352</v>
      </c>
      <c r="N36">
        <v>0</v>
      </c>
      <c r="O36">
        <v>0</v>
      </c>
      <c r="P36">
        <v>952.28164200000333</v>
      </c>
      <c r="Q36">
        <v>0</v>
      </c>
      <c r="R36">
        <v>0</v>
      </c>
    </row>
    <row r="37" spans="1:18" x14ac:dyDescent="0.25">
      <c r="A37" t="s">
        <v>1</v>
      </c>
      <c r="B37" t="s">
        <v>59</v>
      </c>
      <c r="C37" t="s">
        <v>60</v>
      </c>
      <c r="D37">
        <v>1</v>
      </c>
      <c r="E37" t="s">
        <v>62</v>
      </c>
      <c r="F37">
        <v>2027</v>
      </c>
      <c r="G37" t="s">
        <v>2</v>
      </c>
      <c r="H37">
        <v>7164.9163200000003</v>
      </c>
      <c r="I37">
        <v>0</v>
      </c>
      <c r="J37">
        <v>6685.7574432000283</v>
      </c>
      <c r="K37">
        <v>0</v>
      </c>
      <c r="L37">
        <v>0</v>
      </c>
      <c r="M37">
        <v>299.78048663999999</v>
      </c>
      <c r="N37">
        <v>0</v>
      </c>
      <c r="O37">
        <v>2436.95136</v>
      </c>
      <c r="P37">
        <v>1032.1754700000099</v>
      </c>
      <c r="Q37">
        <v>0</v>
      </c>
      <c r="R37">
        <v>0</v>
      </c>
    </row>
    <row r="38" spans="1:18" x14ac:dyDescent="0.25">
      <c r="A38" t="s">
        <v>1</v>
      </c>
      <c r="B38" t="s">
        <v>59</v>
      </c>
      <c r="C38" t="s">
        <v>60</v>
      </c>
      <c r="D38">
        <v>1</v>
      </c>
      <c r="E38" t="s">
        <v>62</v>
      </c>
      <c r="F38">
        <v>2028</v>
      </c>
      <c r="G38" t="s">
        <v>2</v>
      </c>
      <c r="H38">
        <v>9325.7996855999991</v>
      </c>
      <c r="I38">
        <v>0</v>
      </c>
      <c r="J38">
        <v>8570.0953699200527</v>
      </c>
      <c r="K38">
        <v>0</v>
      </c>
      <c r="L38">
        <v>0</v>
      </c>
      <c r="M38">
        <v>3019.9551624000001</v>
      </c>
      <c r="N38">
        <v>0</v>
      </c>
      <c r="O38">
        <v>0</v>
      </c>
      <c r="P38">
        <v>1189.8625449599972</v>
      </c>
      <c r="Q38">
        <v>0</v>
      </c>
      <c r="R38">
        <v>0</v>
      </c>
    </row>
    <row r="39" spans="1:18" x14ac:dyDescent="0.25">
      <c r="A39" t="s">
        <v>1</v>
      </c>
      <c r="B39" t="s">
        <v>59</v>
      </c>
      <c r="C39" t="s">
        <v>60</v>
      </c>
      <c r="D39">
        <v>1</v>
      </c>
      <c r="E39" t="s">
        <v>62</v>
      </c>
      <c r="F39">
        <v>2029</v>
      </c>
      <c r="G39" t="s">
        <v>2</v>
      </c>
      <c r="H39">
        <v>12040.146934079999</v>
      </c>
      <c r="I39">
        <v>0</v>
      </c>
      <c r="J39">
        <v>8546.6798088000523</v>
      </c>
      <c r="K39">
        <v>0</v>
      </c>
      <c r="L39">
        <v>0</v>
      </c>
      <c r="M39">
        <v>3298.0150168800001</v>
      </c>
      <c r="N39">
        <v>0</v>
      </c>
      <c r="O39">
        <v>0</v>
      </c>
      <c r="P39">
        <v>1186.6115543999972</v>
      </c>
      <c r="Q39">
        <v>0</v>
      </c>
      <c r="R39">
        <v>0</v>
      </c>
    </row>
    <row r="40" spans="1:18" x14ac:dyDescent="0.25">
      <c r="A40" t="s">
        <v>1</v>
      </c>
      <c r="B40" t="s">
        <v>59</v>
      </c>
      <c r="C40" t="s">
        <v>60</v>
      </c>
      <c r="D40">
        <v>1</v>
      </c>
      <c r="E40" t="s">
        <v>62</v>
      </c>
      <c r="F40">
        <v>2030</v>
      </c>
      <c r="G40" t="s">
        <v>2</v>
      </c>
      <c r="H40">
        <v>15398.83959288</v>
      </c>
      <c r="I40">
        <v>0</v>
      </c>
      <c r="J40">
        <v>8546.6798088000523</v>
      </c>
      <c r="K40">
        <v>0</v>
      </c>
      <c r="L40">
        <v>0</v>
      </c>
      <c r="M40">
        <v>3532.0901171999994</v>
      </c>
      <c r="N40">
        <v>74.692052400000364</v>
      </c>
      <c r="O40">
        <v>0</v>
      </c>
      <c r="P40">
        <v>1186.6115543999972</v>
      </c>
      <c r="Q40">
        <v>0</v>
      </c>
      <c r="R40">
        <v>0</v>
      </c>
    </row>
    <row r="41" spans="1:18" x14ac:dyDescent="0.25">
      <c r="A41" t="s">
        <v>1</v>
      </c>
      <c r="B41" t="s">
        <v>59</v>
      </c>
      <c r="C41" t="s">
        <v>60</v>
      </c>
      <c r="D41">
        <v>1</v>
      </c>
      <c r="E41" t="s">
        <v>62</v>
      </c>
      <c r="F41">
        <v>2031</v>
      </c>
      <c r="G41" t="s">
        <v>2</v>
      </c>
      <c r="H41">
        <v>15884.81504544</v>
      </c>
      <c r="I41">
        <v>0</v>
      </c>
      <c r="J41">
        <v>11395.782997200098</v>
      </c>
      <c r="K41">
        <v>0</v>
      </c>
      <c r="L41">
        <v>0</v>
      </c>
      <c r="M41">
        <v>1110.99658032</v>
      </c>
      <c r="N41">
        <v>147.93546360000056</v>
      </c>
      <c r="O41">
        <v>2355.2129399999999</v>
      </c>
      <c r="P41">
        <v>1186.6115543999972</v>
      </c>
      <c r="Q41">
        <v>0</v>
      </c>
      <c r="R41">
        <v>0</v>
      </c>
    </row>
    <row r="42" spans="1:18" x14ac:dyDescent="0.25">
      <c r="A42" t="s">
        <v>1</v>
      </c>
      <c r="B42" t="s">
        <v>59</v>
      </c>
      <c r="C42" t="s">
        <v>60</v>
      </c>
      <c r="D42">
        <v>1</v>
      </c>
      <c r="E42" t="s">
        <v>62</v>
      </c>
      <c r="F42">
        <v>2032</v>
      </c>
      <c r="G42" t="s">
        <v>2</v>
      </c>
      <c r="H42">
        <v>19867.55346576</v>
      </c>
      <c r="I42">
        <v>0</v>
      </c>
      <c r="J42">
        <v>11427.004320480099</v>
      </c>
      <c r="K42">
        <v>0</v>
      </c>
      <c r="L42">
        <v>0</v>
      </c>
      <c r="M42">
        <v>3455.1405047999997</v>
      </c>
      <c r="N42">
        <v>225.81722735999907</v>
      </c>
      <c r="O42">
        <v>0</v>
      </c>
      <c r="P42">
        <v>1189.8625449599972</v>
      </c>
      <c r="Q42">
        <v>0</v>
      </c>
      <c r="R42">
        <v>0</v>
      </c>
    </row>
    <row r="43" spans="1:18" x14ac:dyDescent="0.25">
      <c r="A43" t="s">
        <v>1</v>
      </c>
      <c r="B43" t="s">
        <v>59</v>
      </c>
      <c r="C43" t="s">
        <v>60</v>
      </c>
      <c r="D43">
        <v>1</v>
      </c>
      <c r="E43" t="s">
        <v>62</v>
      </c>
      <c r="F43">
        <v>2033</v>
      </c>
      <c r="G43" t="s">
        <v>2</v>
      </c>
      <c r="H43">
        <v>5524.4934887999998</v>
      </c>
      <c r="I43">
        <v>17040.48452040003</v>
      </c>
      <c r="J43">
        <v>11395.782997200098</v>
      </c>
      <c r="K43">
        <v>0</v>
      </c>
      <c r="L43">
        <v>0</v>
      </c>
      <c r="M43">
        <v>3334.3165377599998</v>
      </c>
      <c r="N43">
        <v>290.42124359999883</v>
      </c>
      <c r="O43">
        <v>0</v>
      </c>
      <c r="P43">
        <v>1186.6115543999972</v>
      </c>
      <c r="Q43">
        <v>0</v>
      </c>
      <c r="R43">
        <v>0</v>
      </c>
    </row>
    <row r="44" spans="1:18" x14ac:dyDescent="0.25">
      <c r="A44" t="s">
        <v>1</v>
      </c>
      <c r="B44" t="s">
        <v>59</v>
      </c>
      <c r="C44" t="s">
        <v>60</v>
      </c>
      <c r="D44">
        <v>1</v>
      </c>
      <c r="E44" t="s">
        <v>62</v>
      </c>
      <c r="F44">
        <v>2034</v>
      </c>
      <c r="G44" t="s">
        <v>2</v>
      </c>
      <c r="H44">
        <v>8354.2665971999995</v>
      </c>
      <c r="I44">
        <v>17559.763304399898</v>
      </c>
      <c r="J44">
        <v>11395.782997200098</v>
      </c>
      <c r="K44">
        <v>0</v>
      </c>
      <c r="L44">
        <v>0</v>
      </c>
      <c r="M44">
        <v>3274.58484</v>
      </c>
      <c r="N44">
        <v>361.10883720000186</v>
      </c>
      <c r="O44">
        <v>0</v>
      </c>
      <c r="P44">
        <v>1186.6115543999972</v>
      </c>
      <c r="Q44">
        <v>0</v>
      </c>
      <c r="R44">
        <v>0</v>
      </c>
    </row>
    <row r="45" spans="1:18" x14ac:dyDescent="0.25">
      <c r="A45" t="s">
        <v>1</v>
      </c>
      <c r="B45" t="s">
        <v>59</v>
      </c>
      <c r="C45" t="s">
        <v>60</v>
      </c>
      <c r="D45">
        <v>1</v>
      </c>
      <c r="E45" t="s">
        <v>62</v>
      </c>
      <c r="F45">
        <v>2035</v>
      </c>
      <c r="G45" t="s">
        <v>2</v>
      </c>
      <c r="H45">
        <v>11784.94883496</v>
      </c>
      <c r="I45">
        <v>17559.763304399898</v>
      </c>
      <c r="J45">
        <v>11395.782997200098</v>
      </c>
      <c r="K45">
        <v>0</v>
      </c>
      <c r="L45">
        <v>0</v>
      </c>
      <c r="M45">
        <v>937.52907024000001</v>
      </c>
      <c r="N45">
        <v>431.83944240000176</v>
      </c>
      <c r="O45">
        <v>2282.4048000000003</v>
      </c>
      <c r="P45">
        <v>1186.6115543999972</v>
      </c>
      <c r="Q45">
        <v>0</v>
      </c>
      <c r="R45">
        <v>0</v>
      </c>
    </row>
    <row r="46" spans="1:18" x14ac:dyDescent="0.25">
      <c r="A46" t="s">
        <v>1</v>
      </c>
      <c r="B46" t="s">
        <v>59</v>
      </c>
      <c r="C46" t="s">
        <v>60</v>
      </c>
      <c r="D46">
        <v>1</v>
      </c>
      <c r="E46" t="s">
        <v>62</v>
      </c>
      <c r="F46">
        <v>2036</v>
      </c>
      <c r="G46" t="s">
        <v>2</v>
      </c>
      <c r="H46">
        <v>13661.94756792</v>
      </c>
      <c r="I46">
        <v>17607.872244959897</v>
      </c>
      <c r="J46">
        <v>11427.004320480099</v>
      </c>
      <c r="K46">
        <v>0</v>
      </c>
      <c r="L46">
        <v>804.14313840000307</v>
      </c>
      <c r="M46">
        <v>3216.8226844799997</v>
      </c>
      <c r="N46">
        <v>509.47129728000175</v>
      </c>
      <c r="O46">
        <v>0</v>
      </c>
      <c r="P46">
        <v>1189.8625449599972</v>
      </c>
      <c r="Q46">
        <v>0</v>
      </c>
      <c r="R46">
        <v>0</v>
      </c>
    </row>
    <row r="47" spans="1:18" x14ac:dyDescent="0.25">
      <c r="A47" t="s">
        <v>1</v>
      </c>
      <c r="B47" t="s">
        <v>59</v>
      </c>
      <c r="C47" t="s">
        <v>60</v>
      </c>
      <c r="D47">
        <v>1</v>
      </c>
      <c r="E47" t="s">
        <v>62</v>
      </c>
      <c r="F47">
        <v>2037</v>
      </c>
      <c r="G47" t="s">
        <v>2</v>
      </c>
      <c r="H47">
        <v>15186.650410079999</v>
      </c>
      <c r="I47">
        <v>17559.763304399898</v>
      </c>
      <c r="J47">
        <v>11395.782997200098</v>
      </c>
      <c r="K47">
        <v>0</v>
      </c>
      <c r="L47">
        <v>801.94602600000303</v>
      </c>
      <c r="M47">
        <v>3109.6203815999997</v>
      </c>
      <c r="N47">
        <v>569.87277720000236</v>
      </c>
      <c r="O47">
        <v>0</v>
      </c>
      <c r="P47">
        <v>1186.6115543999972</v>
      </c>
      <c r="Q47">
        <v>0</v>
      </c>
      <c r="R47">
        <v>0</v>
      </c>
    </row>
    <row r="48" spans="1:18" x14ac:dyDescent="0.25">
      <c r="A48" t="s">
        <v>1</v>
      </c>
      <c r="B48" t="s">
        <v>59</v>
      </c>
      <c r="C48" t="s">
        <v>60</v>
      </c>
      <c r="D48">
        <v>1</v>
      </c>
      <c r="E48" t="s">
        <v>62</v>
      </c>
      <c r="F48">
        <v>2038</v>
      </c>
      <c r="G48" t="s">
        <v>2</v>
      </c>
      <c r="H48">
        <v>5422.8410589599998</v>
      </c>
      <c r="I48">
        <v>17559.763304399898</v>
      </c>
      <c r="J48">
        <v>11395.782997200098</v>
      </c>
      <c r="K48">
        <v>0</v>
      </c>
      <c r="L48">
        <v>12664.997584800054</v>
      </c>
      <c r="M48">
        <v>3049.88572488</v>
      </c>
      <c r="N48">
        <v>635.922476399998</v>
      </c>
      <c r="O48">
        <v>0</v>
      </c>
      <c r="P48">
        <v>1186.6115543999972</v>
      </c>
      <c r="Q48">
        <v>0</v>
      </c>
      <c r="R48">
        <v>0</v>
      </c>
    </row>
    <row r="49" spans="1:18" x14ac:dyDescent="0.25">
      <c r="A49" t="s">
        <v>1</v>
      </c>
      <c r="B49" t="s">
        <v>59</v>
      </c>
      <c r="C49" t="s">
        <v>60</v>
      </c>
      <c r="D49">
        <v>1</v>
      </c>
      <c r="E49" t="s">
        <v>62</v>
      </c>
      <c r="F49">
        <v>2039</v>
      </c>
      <c r="G49" t="s">
        <v>2</v>
      </c>
      <c r="H49">
        <v>7561.9665309599995</v>
      </c>
      <c r="I49">
        <v>17559.763304399898</v>
      </c>
      <c r="J49">
        <v>11395.782997200098</v>
      </c>
      <c r="K49">
        <v>0</v>
      </c>
      <c r="L49">
        <v>12664.997584800054</v>
      </c>
      <c r="M49">
        <v>774.05766408</v>
      </c>
      <c r="N49">
        <v>700.03060920000041</v>
      </c>
      <c r="O49">
        <v>2214.0362399999999</v>
      </c>
      <c r="P49">
        <v>1186.6115543999972</v>
      </c>
      <c r="Q49">
        <v>0</v>
      </c>
      <c r="R49">
        <v>0</v>
      </c>
    </row>
    <row r="50" spans="1:18" x14ac:dyDescent="0.25">
      <c r="A50" t="s">
        <v>1</v>
      </c>
      <c r="B50" t="s">
        <v>59</v>
      </c>
      <c r="C50" t="s">
        <v>60</v>
      </c>
      <c r="D50">
        <v>1</v>
      </c>
      <c r="E50" t="s">
        <v>62</v>
      </c>
      <c r="F50">
        <v>2040</v>
      </c>
      <c r="G50" t="s">
        <v>2</v>
      </c>
      <c r="H50">
        <v>10154.516308800001</v>
      </c>
      <c r="I50">
        <v>17607.872244959897</v>
      </c>
      <c r="J50">
        <v>11427.004320480099</v>
      </c>
      <c r="K50">
        <v>0</v>
      </c>
      <c r="L50">
        <v>12699.696208320054</v>
      </c>
      <c r="M50">
        <v>2980.7004360000001</v>
      </c>
      <c r="N50">
        <v>774.700927200004</v>
      </c>
      <c r="O50">
        <v>0</v>
      </c>
      <c r="P50">
        <v>1189.8625449599972</v>
      </c>
      <c r="Q50">
        <v>0</v>
      </c>
      <c r="R50">
        <v>0</v>
      </c>
    </row>
    <row r="51" spans="1:18" x14ac:dyDescent="0.25">
      <c r="A51" t="s">
        <v>1</v>
      </c>
      <c r="B51" t="s">
        <v>59</v>
      </c>
      <c r="C51" t="s">
        <v>60</v>
      </c>
      <c r="D51">
        <v>1</v>
      </c>
      <c r="E51" t="s">
        <v>62</v>
      </c>
      <c r="F51">
        <v>2041</v>
      </c>
      <c r="G51" t="s">
        <v>2</v>
      </c>
      <c r="H51">
        <v>5158.2826480800004</v>
      </c>
      <c r="I51">
        <v>17559.763304399898</v>
      </c>
      <c r="J51">
        <v>11395.782997200098</v>
      </c>
      <c r="K51">
        <v>0</v>
      </c>
      <c r="L51">
        <v>19423.087924799864</v>
      </c>
      <c r="M51">
        <v>2885.6388076799999</v>
      </c>
      <c r="N51">
        <v>831.66082200000426</v>
      </c>
      <c r="O51">
        <v>0</v>
      </c>
      <c r="P51">
        <v>1186.6115543999972</v>
      </c>
      <c r="Q51">
        <v>0</v>
      </c>
      <c r="R51">
        <v>0</v>
      </c>
    </row>
    <row r="52" spans="1:18" x14ac:dyDescent="0.25">
      <c r="A52" t="s">
        <v>1</v>
      </c>
      <c r="B52" t="s">
        <v>59</v>
      </c>
      <c r="C52" t="s">
        <v>60</v>
      </c>
      <c r="D52">
        <v>1</v>
      </c>
      <c r="E52" t="s">
        <v>62</v>
      </c>
      <c r="F52">
        <v>2042</v>
      </c>
      <c r="G52" t="s">
        <v>2</v>
      </c>
      <c r="H52">
        <v>7492.66704312</v>
      </c>
      <c r="I52">
        <v>17559.763304399898</v>
      </c>
      <c r="J52">
        <v>11395.782997200098</v>
      </c>
      <c r="K52">
        <v>0</v>
      </c>
      <c r="L52">
        <v>19423.087924799864</v>
      </c>
      <c r="M52">
        <v>1989.35594808</v>
      </c>
      <c r="N52">
        <v>1756.7818212000109</v>
      </c>
      <c r="O52">
        <v>0</v>
      </c>
      <c r="P52">
        <v>1186.6115543999972</v>
      </c>
      <c r="Q52">
        <v>0</v>
      </c>
      <c r="R52">
        <v>0</v>
      </c>
    </row>
    <row r="53" spans="1:18" x14ac:dyDescent="0.25">
      <c r="A53" t="s">
        <v>1</v>
      </c>
      <c r="B53" t="s">
        <v>59</v>
      </c>
      <c r="C53" t="s">
        <v>60</v>
      </c>
      <c r="D53">
        <v>1</v>
      </c>
      <c r="E53" t="s">
        <v>62</v>
      </c>
      <c r="F53">
        <v>2043</v>
      </c>
      <c r="G53" t="s">
        <v>2</v>
      </c>
      <c r="H53">
        <v>9833.0965022399996</v>
      </c>
      <c r="I53">
        <v>17559.763304399898</v>
      </c>
      <c r="J53">
        <v>11395.782997200098</v>
      </c>
      <c r="K53">
        <v>0</v>
      </c>
      <c r="L53">
        <v>19423.087924799864</v>
      </c>
      <c r="M53">
        <v>0</v>
      </c>
      <c r="N53">
        <v>1756.7818212000109</v>
      </c>
      <c r="O53">
        <v>2057.31460728</v>
      </c>
      <c r="P53">
        <v>1186.6115543999972</v>
      </c>
      <c r="Q53">
        <v>0</v>
      </c>
      <c r="R53">
        <v>0</v>
      </c>
    </row>
    <row r="54" spans="1:18" x14ac:dyDescent="0.25">
      <c r="A54" t="s">
        <v>1</v>
      </c>
      <c r="B54" t="s">
        <v>59</v>
      </c>
      <c r="C54" t="s">
        <v>60</v>
      </c>
      <c r="D54">
        <v>1</v>
      </c>
      <c r="E54" t="s">
        <v>62</v>
      </c>
      <c r="F54">
        <v>2044</v>
      </c>
      <c r="G54" t="s">
        <v>2</v>
      </c>
      <c r="H54">
        <v>5151.4610164799997</v>
      </c>
      <c r="I54">
        <v>17607.872244959897</v>
      </c>
      <c r="J54">
        <v>11427.004320480099</v>
      </c>
      <c r="K54">
        <v>0</v>
      </c>
      <c r="L54">
        <v>26914.745818080235</v>
      </c>
      <c r="M54">
        <v>2063.2524679200001</v>
      </c>
      <c r="N54">
        <v>1761.594922080011</v>
      </c>
      <c r="O54">
        <v>111.53767272000002</v>
      </c>
      <c r="P54">
        <v>1189.8625449599972</v>
      </c>
      <c r="Q54">
        <v>0</v>
      </c>
      <c r="R54">
        <v>0</v>
      </c>
    </row>
    <row r="55" spans="1:18" x14ac:dyDescent="0.25">
      <c r="A55" t="s">
        <v>1</v>
      </c>
      <c r="B55" t="s">
        <v>59</v>
      </c>
      <c r="C55" t="s">
        <v>60</v>
      </c>
      <c r="D55">
        <v>1</v>
      </c>
      <c r="E55" t="s">
        <v>62</v>
      </c>
      <c r="F55">
        <v>2045</v>
      </c>
      <c r="G55" t="s">
        <v>2</v>
      </c>
      <c r="H55">
        <v>2454.9164810400002</v>
      </c>
      <c r="I55">
        <v>17559.763304399898</v>
      </c>
      <c r="J55">
        <v>11395.782997200098</v>
      </c>
      <c r="K55">
        <v>0</v>
      </c>
      <c r="L55">
        <v>31415.406686160135</v>
      </c>
      <c r="M55">
        <v>2185.99302936</v>
      </c>
      <c r="N55">
        <v>1756.7818212000109</v>
      </c>
      <c r="O55">
        <v>0</v>
      </c>
      <c r="P55">
        <v>1186.6115543999972</v>
      </c>
      <c r="Q55">
        <v>0</v>
      </c>
      <c r="R55">
        <v>0</v>
      </c>
    </row>
    <row r="56" spans="1:18" x14ac:dyDescent="0.25">
      <c r="A56" t="s">
        <v>1</v>
      </c>
      <c r="B56" t="s">
        <v>59</v>
      </c>
      <c r="C56" t="s">
        <v>60</v>
      </c>
      <c r="D56">
        <v>1</v>
      </c>
      <c r="E56" t="s">
        <v>62</v>
      </c>
      <c r="F56">
        <v>2046</v>
      </c>
      <c r="G56" t="s">
        <v>2</v>
      </c>
      <c r="H56">
        <v>4843.3747368000004</v>
      </c>
      <c r="I56">
        <v>17559.763304399898</v>
      </c>
      <c r="J56">
        <v>11395.782997200098</v>
      </c>
      <c r="K56">
        <v>0</v>
      </c>
      <c r="L56">
        <v>31415.406686400136</v>
      </c>
      <c r="M56">
        <v>2238.7921315200001</v>
      </c>
      <c r="N56">
        <v>1756.7818212000109</v>
      </c>
      <c r="O56">
        <v>0</v>
      </c>
      <c r="P56">
        <v>1186.6115543999972</v>
      </c>
      <c r="Q56">
        <v>0</v>
      </c>
      <c r="R56">
        <v>0</v>
      </c>
    </row>
    <row r="57" spans="1:18" x14ac:dyDescent="0.25">
      <c r="A57" t="s">
        <v>1</v>
      </c>
      <c r="B57" t="s">
        <v>59</v>
      </c>
      <c r="C57" t="s">
        <v>60</v>
      </c>
      <c r="D57">
        <v>1</v>
      </c>
      <c r="E57" t="s">
        <v>62</v>
      </c>
      <c r="F57">
        <v>2047</v>
      </c>
      <c r="G57" t="s">
        <v>2</v>
      </c>
      <c r="H57">
        <v>7230.1072631999996</v>
      </c>
      <c r="I57">
        <v>17559.763304399898</v>
      </c>
      <c r="J57">
        <v>11395.782997200098</v>
      </c>
      <c r="K57">
        <v>0</v>
      </c>
      <c r="L57">
        <v>31415.406686400136</v>
      </c>
      <c r="M57">
        <v>162.51554736</v>
      </c>
      <c r="N57">
        <v>1756.7818212000109</v>
      </c>
      <c r="O57">
        <v>2126.14356</v>
      </c>
      <c r="P57">
        <v>1186.6115543999972</v>
      </c>
      <c r="Q57">
        <v>0</v>
      </c>
      <c r="R57">
        <v>0</v>
      </c>
    </row>
    <row r="58" spans="1:18" x14ac:dyDescent="0.25">
      <c r="A58" t="s">
        <v>1</v>
      </c>
      <c r="B58" t="s">
        <v>59</v>
      </c>
      <c r="C58" t="s">
        <v>60</v>
      </c>
      <c r="D58">
        <v>1</v>
      </c>
      <c r="E58" t="s">
        <v>62</v>
      </c>
      <c r="F58">
        <v>2048</v>
      </c>
      <c r="G58" t="s">
        <v>2</v>
      </c>
      <c r="H58">
        <v>0</v>
      </c>
      <c r="I58">
        <v>17607.872244959897</v>
      </c>
      <c r="J58">
        <v>11427.004320480099</v>
      </c>
      <c r="K58">
        <v>0</v>
      </c>
      <c r="L58">
        <v>41518.063424159795</v>
      </c>
      <c r="M58">
        <v>2390.2275916799999</v>
      </c>
      <c r="N58">
        <v>1761.594922080011</v>
      </c>
      <c r="O58">
        <v>0</v>
      </c>
      <c r="P58">
        <v>1189.8625449599972</v>
      </c>
      <c r="Q58">
        <v>0</v>
      </c>
      <c r="R58">
        <v>0</v>
      </c>
    </row>
    <row r="59" spans="1:18" x14ac:dyDescent="0.25">
      <c r="A59" t="s">
        <v>1</v>
      </c>
      <c r="B59" t="s">
        <v>59</v>
      </c>
      <c r="C59" t="s">
        <v>60</v>
      </c>
      <c r="D59">
        <v>1</v>
      </c>
      <c r="E59" t="s">
        <v>62</v>
      </c>
      <c r="F59">
        <v>2049</v>
      </c>
      <c r="G59" t="s">
        <v>2</v>
      </c>
      <c r="H59">
        <v>0</v>
      </c>
      <c r="I59">
        <v>17559.763304399898</v>
      </c>
      <c r="J59">
        <v>11395.782997200098</v>
      </c>
      <c r="K59">
        <v>0</v>
      </c>
      <c r="L59">
        <v>43492.29440040022</v>
      </c>
      <c r="M59">
        <v>0</v>
      </c>
      <c r="N59">
        <v>1756.7818212000109</v>
      </c>
      <c r="O59">
        <v>0</v>
      </c>
      <c r="P59">
        <v>1186.6115543999972</v>
      </c>
      <c r="Q59">
        <v>0</v>
      </c>
      <c r="R59">
        <v>2397.0412860000001</v>
      </c>
    </row>
    <row r="60" spans="1:18" x14ac:dyDescent="0.25">
      <c r="A60" t="s">
        <v>1</v>
      </c>
      <c r="B60" t="s">
        <v>59</v>
      </c>
      <c r="C60" t="s">
        <v>60</v>
      </c>
      <c r="D60">
        <v>1</v>
      </c>
      <c r="E60" t="s">
        <v>62</v>
      </c>
      <c r="F60">
        <v>2050</v>
      </c>
      <c r="G60" t="s">
        <v>2</v>
      </c>
      <c r="H60">
        <v>0</v>
      </c>
      <c r="I60">
        <v>17559.763304399898</v>
      </c>
      <c r="J60">
        <v>11395.782997200098</v>
      </c>
      <c r="K60">
        <v>0</v>
      </c>
      <c r="L60">
        <v>46014.032709599967</v>
      </c>
      <c r="M60">
        <v>0</v>
      </c>
      <c r="N60">
        <v>1756.7818212000109</v>
      </c>
      <c r="O60">
        <v>0</v>
      </c>
      <c r="P60">
        <v>1186.6115543999972</v>
      </c>
      <c r="Q60">
        <v>0</v>
      </c>
      <c r="R60">
        <v>2446.5655079999992</v>
      </c>
    </row>
    <row r="61" spans="1:18" x14ac:dyDescent="0.25">
      <c r="A61" t="s">
        <v>1</v>
      </c>
      <c r="B61" t="s">
        <v>59</v>
      </c>
      <c r="C61" t="s">
        <v>60</v>
      </c>
      <c r="D61">
        <v>1</v>
      </c>
      <c r="E61" t="s">
        <v>62</v>
      </c>
      <c r="F61">
        <v>2051</v>
      </c>
      <c r="G61" t="s">
        <v>2</v>
      </c>
      <c r="H61">
        <v>0</v>
      </c>
      <c r="I61">
        <v>17559.763304399898</v>
      </c>
      <c r="J61">
        <v>11395.782997200098</v>
      </c>
      <c r="K61">
        <v>0</v>
      </c>
      <c r="L61">
        <v>46014.032709599967</v>
      </c>
      <c r="M61">
        <v>0</v>
      </c>
      <c r="N61">
        <v>1756.7818212000109</v>
      </c>
      <c r="O61">
        <v>0</v>
      </c>
      <c r="P61">
        <v>1186.6115543999972</v>
      </c>
      <c r="Q61">
        <v>0</v>
      </c>
      <c r="R61">
        <v>2446.5655079999992</v>
      </c>
    </row>
    <row r="62" spans="1:18" x14ac:dyDescent="0.25">
      <c r="A62" t="s">
        <v>1</v>
      </c>
      <c r="B62" t="s">
        <v>59</v>
      </c>
      <c r="C62" t="s">
        <v>60</v>
      </c>
      <c r="D62">
        <v>1</v>
      </c>
      <c r="E62" t="s">
        <v>63</v>
      </c>
      <c r="F62">
        <v>2022</v>
      </c>
      <c r="G62" t="s">
        <v>2</v>
      </c>
      <c r="H62">
        <v>0</v>
      </c>
      <c r="I62">
        <v>0</v>
      </c>
      <c r="J62">
        <v>1796.3551211999832</v>
      </c>
      <c r="K62">
        <v>0</v>
      </c>
      <c r="L62">
        <v>0</v>
      </c>
      <c r="M62">
        <v>0</v>
      </c>
      <c r="N62">
        <v>0</v>
      </c>
      <c r="O62">
        <v>0</v>
      </c>
      <c r="P62">
        <v>257.6176715999992</v>
      </c>
      <c r="Q62">
        <v>0</v>
      </c>
      <c r="R62">
        <v>0</v>
      </c>
    </row>
    <row r="63" spans="1:18" x14ac:dyDescent="0.25">
      <c r="A63" t="s">
        <v>1</v>
      </c>
      <c r="B63" t="s">
        <v>59</v>
      </c>
      <c r="C63" t="s">
        <v>60</v>
      </c>
      <c r="D63">
        <v>1</v>
      </c>
      <c r="E63" t="s">
        <v>63</v>
      </c>
      <c r="F63">
        <v>2023</v>
      </c>
      <c r="G63" t="s">
        <v>2</v>
      </c>
      <c r="H63">
        <v>0</v>
      </c>
      <c r="I63">
        <v>0</v>
      </c>
      <c r="J63">
        <v>4077.6716388000186</v>
      </c>
      <c r="K63">
        <v>0</v>
      </c>
      <c r="L63">
        <v>0</v>
      </c>
      <c r="M63">
        <v>0</v>
      </c>
      <c r="N63">
        <v>0</v>
      </c>
      <c r="O63">
        <v>0</v>
      </c>
      <c r="P63">
        <v>653.09549280000465</v>
      </c>
      <c r="Q63">
        <v>0</v>
      </c>
      <c r="R63">
        <v>0</v>
      </c>
    </row>
    <row r="64" spans="1:18" x14ac:dyDescent="0.25">
      <c r="A64" t="s">
        <v>1</v>
      </c>
      <c r="B64" t="s">
        <v>59</v>
      </c>
      <c r="C64" t="s">
        <v>60</v>
      </c>
      <c r="D64">
        <v>1</v>
      </c>
      <c r="E64" t="s">
        <v>63</v>
      </c>
      <c r="F64">
        <v>2024</v>
      </c>
      <c r="G64" t="s">
        <v>2</v>
      </c>
      <c r="H64">
        <v>0</v>
      </c>
      <c r="I64">
        <v>0</v>
      </c>
      <c r="J64">
        <v>4088.8433419200187</v>
      </c>
      <c r="K64">
        <v>0</v>
      </c>
      <c r="L64">
        <v>0</v>
      </c>
      <c r="M64">
        <v>0</v>
      </c>
      <c r="N64">
        <v>0</v>
      </c>
      <c r="O64">
        <v>0</v>
      </c>
      <c r="P64">
        <v>654.88479552000467</v>
      </c>
      <c r="Q64">
        <v>0</v>
      </c>
      <c r="R64">
        <v>0</v>
      </c>
    </row>
    <row r="65" spans="1:18" x14ac:dyDescent="0.25">
      <c r="A65" t="s">
        <v>1</v>
      </c>
      <c r="B65" t="s">
        <v>59</v>
      </c>
      <c r="C65" t="s">
        <v>60</v>
      </c>
      <c r="D65">
        <v>1</v>
      </c>
      <c r="E65" t="s">
        <v>63</v>
      </c>
      <c r="F65">
        <v>2025</v>
      </c>
      <c r="G65" t="s">
        <v>2</v>
      </c>
      <c r="H65">
        <v>0</v>
      </c>
      <c r="I65">
        <v>0</v>
      </c>
      <c r="J65">
        <v>5266.5093720000186</v>
      </c>
      <c r="K65">
        <v>0</v>
      </c>
      <c r="L65">
        <v>0</v>
      </c>
      <c r="M65">
        <v>0</v>
      </c>
      <c r="N65">
        <v>0</v>
      </c>
      <c r="O65">
        <v>0</v>
      </c>
      <c r="P65">
        <v>866.22927120000656</v>
      </c>
      <c r="Q65">
        <v>0</v>
      </c>
      <c r="R65">
        <v>0</v>
      </c>
    </row>
    <row r="66" spans="1:18" x14ac:dyDescent="0.25">
      <c r="A66" t="s">
        <v>1</v>
      </c>
      <c r="B66" t="s">
        <v>59</v>
      </c>
      <c r="C66" t="s">
        <v>60</v>
      </c>
      <c r="D66">
        <v>1</v>
      </c>
      <c r="E66" t="s">
        <v>63</v>
      </c>
      <c r="F66">
        <v>2026</v>
      </c>
      <c r="G66" t="s">
        <v>2</v>
      </c>
      <c r="H66">
        <v>8.5489778399999992</v>
      </c>
      <c r="I66">
        <v>0</v>
      </c>
      <c r="J66">
        <v>5907.8782907999866</v>
      </c>
      <c r="K66">
        <v>0</v>
      </c>
      <c r="L66">
        <v>0</v>
      </c>
      <c r="M66">
        <v>0</v>
      </c>
      <c r="N66">
        <v>0</v>
      </c>
      <c r="O66">
        <v>154.25593343999998</v>
      </c>
      <c r="P66">
        <v>949.78749479999749</v>
      </c>
      <c r="Q66">
        <v>0</v>
      </c>
      <c r="R66">
        <v>0</v>
      </c>
    </row>
    <row r="67" spans="1:18" x14ac:dyDescent="0.25">
      <c r="A67" t="s">
        <v>1</v>
      </c>
      <c r="B67" t="s">
        <v>59</v>
      </c>
      <c r="C67" t="s">
        <v>60</v>
      </c>
      <c r="D67">
        <v>1</v>
      </c>
      <c r="E67" t="s">
        <v>63</v>
      </c>
      <c r="F67">
        <v>2027</v>
      </c>
      <c r="G67" t="s">
        <v>2</v>
      </c>
      <c r="H67">
        <v>1617.5586525600002</v>
      </c>
      <c r="I67">
        <v>0</v>
      </c>
      <c r="J67">
        <v>6544.2745079999868</v>
      </c>
      <c r="K67">
        <v>0</v>
      </c>
      <c r="L67">
        <v>0</v>
      </c>
      <c r="M67">
        <v>0</v>
      </c>
      <c r="N67">
        <v>0</v>
      </c>
      <c r="O67">
        <v>322.09868111999998</v>
      </c>
      <c r="P67">
        <v>1032.2940803999998</v>
      </c>
      <c r="Q67">
        <v>0</v>
      </c>
      <c r="R67">
        <v>0</v>
      </c>
    </row>
    <row r="68" spans="1:18" x14ac:dyDescent="0.25">
      <c r="A68" t="s">
        <v>1</v>
      </c>
      <c r="B68" t="s">
        <v>59</v>
      </c>
      <c r="C68" t="s">
        <v>60</v>
      </c>
      <c r="D68">
        <v>1</v>
      </c>
      <c r="E68" t="s">
        <v>63</v>
      </c>
      <c r="F68">
        <v>2028</v>
      </c>
      <c r="G68" t="s">
        <v>2</v>
      </c>
      <c r="H68">
        <v>3224.8413513599999</v>
      </c>
      <c r="I68">
        <v>0</v>
      </c>
      <c r="J68">
        <v>7794.5535503999399</v>
      </c>
      <c r="K68">
        <v>0</v>
      </c>
      <c r="L68">
        <v>0</v>
      </c>
      <c r="M68">
        <v>0</v>
      </c>
      <c r="N68">
        <v>0</v>
      </c>
      <c r="O68">
        <v>543.19815096000002</v>
      </c>
      <c r="P68">
        <v>1120.5915696000075</v>
      </c>
      <c r="Q68">
        <v>0</v>
      </c>
      <c r="R68">
        <v>0</v>
      </c>
    </row>
    <row r="69" spans="1:18" x14ac:dyDescent="0.25">
      <c r="A69" t="s">
        <v>1</v>
      </c>
      <c r="B69" t="s">
        <v>59</v>
      </c>
      <c r="C69" t="s">
        <v>60</v>
      </c>
      <c r="D69">
        <v>1</v>
      </c>
      <c r="E69" t="s">
        <v>63</v>
      </c>
      <c r="F69">
        <v>2029</v>
      </c>
      <c r="G69" t="s">
        <v>2</v>
      </c>
      <c r="H69">
        <v>4809.2223446400003</v>
      </c>
      <c r="I69">
        <v>0</v>
      </c>
      <c r="J69">
        <v>7773.2569559999401</v>
      </c>
      <c r="K69">
        <v>0</v>
      </c>
      <c r="L69">
        <v>0</v>
      </c>
      <c r="M69">
        <v>0</v>
      </c>
      <c r="N69">
        <v>0</v>
      </c>
      <c r="O69">
        <v>648.68814552000003</v>
      </c>
      <c r="P69">
        <v>1193.7819648000079</v>
      </c>
      <c r="Q69">
        <v>0</v>
      </c>
      <c r="R69">
        <v>0</v>
      </c>
    </row>
    <row r="70" spans="1:18" x14ac:dyDescent="0.25">
      <c r="A70" t="s">
        <v>1</v>
      </c>
      <c r="B70" t="s">
        <v>59</v>
      </c>
      <c r="C70" t="s">
        <v>60</v>
      </c>
      <c r="D70">
        <v>1</v>
      </c>
      <c r="E70" t="s">
        <v>63</v>
      </c>
      <c r="F70">
        <v>2030</v>
      </c>
      <c r="G70" t="s">
        <v>2</v>
      </c>
      <c r="H70">
        <v>6426.530658239999</v>
      </c>
      <c r="I70">
        <v>597.08554200000106</v>
      </c>
      <c r="J70">
        <v>7773.2569559999401</v>
      </c>
      <c r="K70">
        <v>0</v>
      </c>
      <c r="L70">
        <v>0</v>
      </c>
      <c r="M70">
        <v>0</v>
      </c>
      <c r="N70">
        <v>78.860498399999784</v>
      </c>
      <c r="O70">
        <v>809.53995792000001</v>
      </c>
      <c r="P70">
        <v>1193.7819648000079</v>
      </c>
      <c r="Q70">
        <v>0</v>
      </c>
      <c r="R70">
        <v>0</v>
      </c>
    </row>
    <row r="71" spans="1:18" x14ac:dyDescent="0.25">
      <c r="A71" t="s">
        <v>1</v>
      </c>
      <c r="B71" t="s">
        <v>59</v>
      </c>
      <c r="C71" t="s">
        <v>60</v>
      </c>
      <c r="D71">
        <v>1</v>
      </c>
      <c r="E71" t="s">
        <v>63</v>
      </c>
      <c r="F71">
        <v>2031</v>
      </c>
      <c r="G71" t="s">
        <v>2</v>
      </c>
      <c r="H71">
        <v>8022.4945127999999</v>
      </c>
      <c r="I71">
        <v>1180.7194032000041</v>
      </c>
      <c r="J71">
        <v>7773.2569559999401</v>
      </c>
      <c r="K71">
        <v>0</v>
      </c>
      <c r="L71">
        <v>0</v>
      </c>
      <c r="M71">
        <v>0</v>
      </c>
      <c r="N71">
        <v>156.29819759999975</v>
      </c>
      <c r="O71">
        <v>967.76880671999993</v>
      </c>
      <c r="P71">
        <v>1193.7819648000079</v>
      </c>
      <c r="Q71">
        <v>0</v>
      </c>
      <c r="R71">
        <v>0</v>
      </c>
    </row>
    <row r="72" spans="1:18" x14ac:dyDescent="0.25">
      <c r="A72" t="s">
        <v>1</v>
      </c>
      <c r="B72" t="s">
        <v>59</v>
      </c>
      <c r="C72" t="s">
        <v>60</v>
      </c>
      <c r="D72">
        <v>1</v>
      </c>
      <c r="E72" t="s">
        <v>63</v>
      </c>
      <c r="F72">
        <v>2032</v>
      </c>
      <c r="G72" t="s">
        <v>2</v>
      </c>
      <c r="H72">
        <v>10182.83052768</v>
      </c>
      <c r="I72">
        <v>1793.3307235200016</v>
      </c>
      <c r="J72">
        <v>7794.5535503999399</v>
      </c>
      <c r="K72">
        <v>0</v>
      </c>
      <c r="L72">
        <v>0</v>
      </c>
      <c r="M72">
        <v>0</v>
      </c>
      <c r="N72">
        <v>237.60632160000077</v>
      </c>
      <c r="O72">
        <v>1176.0001775999999</v>
      </c>
      <c r="P72">
        <v>1197.052600320008</v>
      </c>
      <c r="Q72">
        <v>0</v>
      </c>
      <c r="R72">
        <v>0</v>
      </c>
    </row>
    <row r="73" spans="1:18" x14ac:dyDescent="0.25">
      <c r="A73" t="s">
        <v>1</v>
      </c>
      <c r="B73" t="s">
        <v>59</v>
      </c>
      <c r="C73" t="s">
        <v>60</v>
      </c>
      <c r="D73">
        <v>1</v>
      </c>
      <c r="E73" t="s">
        <v>63</v>
      </c>
      <c r="F73">
        <v>2033</v>
      </c>
      <c r="G73" t="s">
        <v>2</v>
      </c>
      <c r="H73">
        <v>11186.769892320001</v>
      </c>
      <c r="I73">
        <v>2288.514083999994</v>
      </c>
      <c r="J73">
        <v>7773.2569559999401</v>
      </c>
      <c r="K73">
        <v>0</v>
      </c>
      <c r="L73">
        <v>0</v>
      </c>
      <c r="M73">
        <v>1052.7669691199999</v>
      </c>
      <c r="N73">
        <v>305.73416160000033</v>
      </c>
      <c r="O73">
        <v>222.91685544000001</v>
      </c>
      <c r="P73">
        <v>1193.7819648000079</v>
      </c>
      <c r="Q73">
        <v>0</v>
      </c>
      <c r="R73">
        <v>0</v>
      </c>
    </row>
    <row r="74" spans="1:18" x14ac:dyDescent="0.25">
      <c r="A74" t="s">
        <v>1</v>
      </c>
      <c r="B74" t="s">
        <v>59</v>
      </c>
      <c r="C74" t="s">
        <v>60</v>
      </c>
      <c r="D74">
        <v>1</v>
      </c>
      <c r="E74" t="s">
        <v>63</v>
      </c>
      <c r="F74">
        <v>2034</v>
      </c>
      <c r="G74" t="s">
        <v>2</v>
      </c>
      <c r="H74">
        <v>12763.9748688</v>
      </c>
      <c r="I74">
        <v>2809.0708644000047</v>
      </c>
      <c r="J74">
        <v>7773.2569559999401</v>
      </c>
      <c r="K74">
        <v>0</v>
      </c>
      <c r="L74">
        <v>0</v>
      </c>
      <c r="M74">
        <v>1430.3677908</v>
      </c>
      <c r="N74">
        <v>378.45591479999848</v>
      </c>
      <c r="O74">
        <v>0</v>
      </c>
      <c r="P74">
        <v>1193.7819648000079</v>
      </c>
      <c r="Q74">
        <v>0</v>
      </c>
      <c r="R74">
        <v>0</v>
      </c>
    </row>
    <row r="75" spans="1:18" x14ac:dyDescent="0.25">
      <c r="A75" t="s">
        <v>1</v>
      </c>
      <c r="B75" t="s">
        <v>59</v>
      </c>
      <c r="C75" t="s">
        <v>60</v>
      </c>
      <c r="D75">
        <v>1</v>
      </c>
      <c r="E75" t="s">
        <v>63</v>
      </c>
      <c r="F75">
        <v>2035</v>
      </c>
      <c r="G75" t="s">
        <v>2</v>
      </c>
      <c r="H75">
        <v>14409.61224912</v>
      </c>
      <c r="I75">
        <v>3321.9616812000118</v>
      </c>
      <c r="J75">
        <v>7773.2569559999401</v>
      </c>
      <c r="K75">
        <v>0</v>
      </c>
      <c r="L75">
        <v>0</v>
      </c>
      <c r="M75">
        <v>0</v>
      </c>
      <c r="N75">
        <v>450.1892772000034</v>
      </c>
      <c r="O75">
        <v>1587.4311432</v>
      </c>
      <c r="P75">
        <v>1193.7819648000079</v>
      </c>
      <c r="Q75">
        <v>0</v>
      </c>
      <c r="R75">
        <v>0</v>
      </c>
    </row>
    <row r="76" spans="1:18" x14ac:dyDescent="0.25">
      <c r="A76" t="s">
        <v>1</v>
      </c>
      <c r="B76" t="s">
        <v>59</v>
      </c>
      <c r="C76" t="s">
        <v>60</v>
      </c>
      <c r="D76">
        <v>1</v>
      </c>
      <c r="E76" t="s">
        <v>63</v>
      </c>
      <c r="F76">
        <v>2036</v>
      </c>
      <c r="G76" t="s">
        <v>2</v>
      </c>
      <c r="H76">
        <v>6627.5758821600011</v>
      </c>
      <c r="I76">
        <v>13821.607749599954</v>
      </c>
      <c r="J76">
        <v>7794.5535503999399</v>
      </c>
      <c r="K76">
        <v>0</v>
      </c>
      <c r="L76">
        <v>0</v>
      </c>
      <c r="M76">
        <v>1092.6200392799999</v>
      </c>
      <c r="N76">
        <v>527.02287119999767</v>
      </c>
      <c r="O76">
        <v>698.19277680000005</v>
      </c>
      <c r="P76">
        <v>1197.052600320008</v>
      </c>
      <c r="Q76">
        <v>0</v>
      </c>
      <c r="R76">
        <v>0</v>
      </c>
    </row>
    <row r="77" spans="1:18" x14ac:dyDescent="0.25">
      <c r="A77" t="s">
        <v>1</v>
      </c>
      <c r="B77" t="s">
        <v>59</v>
      </c>
      <c r="C77" t="s">
        <v>60</v>
      </c>
      <c r="D77">
        <v>1</v>
      </c>
      <c r="E77" t="s">
        <v>63</v>
      </c>
      <c r="F77">
        <v>2037</v>
      </c>
      <c r="G77" t="s">
        <v>2</v>
      </c>
      <c r="H77">
        <v>9521.7871418399991</v>
      </c>
      <c r="I77">
        <v>13783.843793999955</v>
      </c>
      <c r="J77">
        <v>7773.2569559999401</v>
      </c>
      <c r="K77">
        <v>0</v>
      </c>
      <c r="L77">
        <v>0</v>
      </c>
      <c r="M77">
        <v>2019.5172408000001</v>
      </c>
      <c r="N77">
        <v>585.85390799999607</v>
      </c>
      <c r="O77">
        <v>0</v>
      </c>
      <c r="P77">
        <v>1193.7819648000079</v>
      </c>
      <c r="Q77">
        <v>0</v>
      </c>
      <c r="R77">
        <v>0</v>
      </c>
    </row>
    <row r="78" spans="1:18" x14ac:dyDescent="0.25">
      <c r="A78" t="s">
        <v>1</v>
      </c>
      <c r="B78" t="s">
        <v>59</v>
      </c>
      <c r="C78" t="s">
        <v>60</v>
      </c>
      <c r="D78">
        <v>1</v>
      </c>
      <c r="E78" t="s">
        <v>63</v>
      </c>
      <c r="F78">
        <v>2038</v>
      </c>
      <c r="G78" t="s">
        <v>2</v>
      </c>
      <c r="H78">
        <v>7603.5237052800003</v>
      </c>
      <c r="I78">
        <v>19121.652820799991</v>
      </c>
      <c r="J78">
        <v>7773.2569559999401</v>
      </c>
      <c r="K78">
        <v>0</v>
      </c>
      <c r="L78">
        <v>0</v>
      </c>
      <c r="M78">
        <v>2295.1030219200002</v>
      </c>
      <c r="N78">
        <v>649.44563880000237</v>
      </c>
      <c r="O78">
        <v>0</v>
      </c>
      <c r="P78">
        <v>1193.7819648000079</v>
      </c>
      <c r="Q78">
        <v>0</v>
      </c>
      <c r="R78">
        <v>0</v>
      </c>
    </row>
    <row r="79" spans="1:18" x14ac:dyDescent="0.25">
      <c r="A79" t="s">
        <v>1</v>
      </c>
      <c r="B79" t="s">
        <v>59</v>
      </c>
      <c r="C79" t="s">
        <v>60</v>
      </c>
      <c r="D79">
        <v>1</v>
      </c>
      <c r="E79" t="s">
        <v>63</v>
      </c>
      <c r="F79">
        <v>2039</v>
      </c>
      <c r="G79" t="s">
        <v>2</v>
      </c>
      <c r="H79">
        <v>11046.147152879999</v>
      </c>
      <c r="I79">
        <v>19121.652820799991</v>
      </c>
      <c r="J79">
        <v>7773.2569559999401</v>
      </c>
      <c r="K79">
        <v>0</v>
      </c>
      <c r="L79">
        <v>0</v>
      </c>
      <c r="M79">
        <v>376.88221128000004</v>
      </c>
      <c r="N79">
        <v>711.20074800000532</v>
      </c>
      <c r="O79">
        <v>2195.2583400000003</v>
      </c>
      <c r="P79">
        <v>1193.7819648000079</v>
      </c>
      <c r="Q79">
        <v>0</v>
      </c>
      <c r="R79">
        <v>0</v>
      </c>
    </row>
    <row r="80" spans="1:18" x14ac:dyDescent="0.25">
      <c r="A80" t="s">
        <v>1</v>
      </c>
      <c r="B80" t="s">
        <v>59</v>
      </c>
      <c r="C80" t="s">
        <v>60</v>
      </c>
      <c r="D80">
        <v>1</v>
      </c>
      <c r="E80" t="s">
        <v>63</v>
      </c>
      <c r="F80">
        <v>2040</v>
      </c>
      <c r="G80" t="s">
        <v>2</v>
      </c>
      <c r="H80">
        <v>9169.0746240000008</v>
      </c>
      <c r="I80">
        <v>24993.633807359896</v>
      </c>
      <c r="J80">
        <v>7794.5535503999399</v>
      </c>
      <c r="K80">
        <v>0</v>
      </c>
      <c r="L80">
        <v>0</v>
      </c>
      <c r="M80">
        <v>2898.0044061600001</v>
      </c>
      <c r="N80">
        <v>780.88565376000042</v>
      </c>
      <c r="O80">
        <v>0</v>
      </c>
      <c r="P80">
        <v>1197.052600320008</v>
      </c>
      <c r="Q80">
        <v>0</v>
      </c>
      <c r="R80">
        <v>0</v>
      </c>
    </row>
    <row r="81" spans="1:18" x14ac:dyDescent="0.25">
      <c r="A81" t="s">
        <v>1</v>
      </c>
      <c r="B81" t="s">
        <v>59</v>
      </c>
      <c r="C81" t="s">
        <v>60</v>
      </c>
      <c r="D81">
        <v>1</v>
      </c>
      <c r="E81" t="s">
        <v>63</v>
      </c>
      <c r="F81">
        <v>2041</v>
      </c>
      <c r="G81" t="s">
        <v>2</v>
      </c>
      <c r="H81">
        <v>4994.8053590400004</v>
      </c>
      <c r="I81">
        <v>32159.607668400229</v>
      </c>
      <c r="J81">
        <v>7773.2569559999401</v>
      </c>
      <c r="K81">
        <v>0</v>
      </c>
      <c r="L81">
        <v>0</v>
      </c>
      <c r="M81">
        <v>3139.8861059999999</v>
      </c>
      <c r="N81">
        <v>832.44019919999755</v>
      </c>
      <c r="O81">
        <v>0</v>
      </c>
      <c r="P81">
        <v>1193.7819648000079</v>
      </c>
      <c r="Q81">
        <v>0</v>
      </c>
      <c r="R81">
        <v>0</v>
      </c>
    </row>
    <row r="82" spans="1:18" x14ac:dyDescent="0.25">
      <c r="A82" t="s">
        <v>1</v>
      </c>
      <c r="B82" t="s">
        <v>59</v>
      </c>
      <c r="C82" t="s">
        <v>60</v>
      </c>
      <c r="D82">
        <v>1</v>
      </c>
      <c r="E82" t="s">
        <v>63</v>
      </c>
      <c r="F82">
        <v>2042</v>
      </c>
      <c r="G82" t="s">
        <v>2</v>
      </c>
      <c r="H82">
        <v>8641.5860171999993</v>
      </c>
      <c r="I82">
        <v>32159.607668400229</v>
      </c>
      <c r="J82">
        <v>7773.2569559999401</v>
      </c>
      <c r="K82">
        <v>0</v>
      </c>
      <c r="L82">
        <v>0</v>
      </c>
      <c r="M82">
        <v>925.02147599999989</v>
      </c>
      <c r="N82">
        <v>3406.9204535999793</v>
      </c>
      <c r="O82">
        <v>0</v>
      </c>
      <c r="P82">
        <v>1193.7819648000079</v>
      </c>
      <c r="Q82">
        <v>0</v>
      </c>
      <c r="R82">
        <v>0</v>
      </c>
    </row>
    <row r="83" spans="1:18" x14ac:dyDescent="0.25">
      <c r="A83" t="s">
        <v>1</v>
      </c>
      <c r="B83" t="s">
        <v>59</v>
      </c>
      <c r="C83" t="s">
        <v>60</v>
      </c>
      <c r="D83">
        <v>1</v>
      </c>
      <c r="E83" t="s">
        <v>63</v>
      </c>
      <c r="F83">
        <v>2043</v>
      </c>
      <c r="G83" t="s">
        <v>2</v>
      </c>
      <c r="H83">
        <v>12346.580483040001</v>
      </c>
      <c r="I83">
        <v>32159.607668400229</v>
      </c>
      <c r="J83">
        <v>7773.2569559999401</v>
      </c>
      <c r="K83">
        <v>0</v>
      </c>
      <c r="L83">
        <v>0</v>
      </c>
      <c r="M83">
        <v>0</v>
      </c>
      <c r="N83">
        <v>3406.9204535999793</v>
      </c>
      <c r="O83">
        <v>1293.2507517600002</v>
      </c>
      <c r="P83">
        <v>1193.7819648000079</v>
      </c>
      <c r="Q83">
        <v>0</v>
      </c>
      <c r="R83">
        <v>0</v>
      </c>
    </row>
    <row r="84" spans="1:18" x14ac:dyDescent="0.25">
      <c r="A84" t="s">
        <v>1</v>
      </c>
      <c r="B84" t="s">
        <v>59</v>
      </c>
      <c r="C84" t="s">
        <v>60</v>
      </c>
      <c r="D84">
        <v>1</v>
      </c>
      <c r="E84" t="s">
        <v>63</v>
      </c>
      <c r="F84">
        <v>2044</v>
      </c>
      <c r="G84" t="s">
        <v>2</v>
      </c>
      <c r="H84">
        <v>4712.3039611200002</v>
      </c>
      <c r="I84">
        <v>32247.716182560231</v>
      </c>
      <c r="J84">
        <v>7794.5535503999399</v>
      </c>
      <c r="K84">
        <v>0</v>
      </c>
      <c r="L84">
        <v>11764.132483679941</v>
      </c>
      <c r="M84">
        <v>874.00436424000009</v>
      </c>
      <c r="N84">
        <v>3416.2544822399791</v>
      </c>
      <c r="O84">
        <v>831.28090824000003</v>
      </c>
      <c r="P84">
        <v>1197.052600320008</v>
      </c>
      <c r="Q84">
        <v>0</v>
      </c>
      <c r="R84">
        <v>0</v>
      </c>
    </row>
    <row r="85" spans="1:18" x14ac:dyDescent="0.25">
      <c r="A85" t="s">
        <v>1</v>
      </c>
      <c r="B85" t="s">
        <v>59</v>
      </c>
      <c r="C85" t="s">
        <v>60</v>
      </c>
      <c r="D85">
        <v>1</v>
      </c>
      <c r="E85" t="s">
        <v>63</v>
      </c>
      <c r="F85">
        <v>2045</v>
      </c>
      <c r="G85" t="s">
        <v>2</v>
      </c>
      <c r="H85">
        <v>380.58955608000002</v>
      </c>
      <c r="I85">
        <v>32159.607668400229</v>
      </c>
      <c r="J85">
        <v>7773.2569559999401</v>
      </c>
      <c r="K85">
        <v>0</v>
      </c>
      <c r="L85">
        <v>19419.296509199899</v>
      </c>
      <c r="M85">
        <v>2037.0872479199998</v>
      </c>
      <c r="N85">
        <v>3406.9204535999793</v>
      </c>
      <c r="O85">
        <v>0</v>
      </c>
      <c r="P85">
        <v>1193.7819648000079</v>
      </c>
      <c r="Q85">
        <v>0</v>
      </c>
      <c r="R85">
        <v>0</v>
      </c>
    </row>
    <row r="86" spans="1:18" x14ac:dyDescent="0.25">
      <c r="A86" t="s">
        <v>1</v>
      </c>
      <c r="B86" t="s">
        <v>59</v>
      </c>
      <c r="C86" t="s">
        <v>60</v>
      </c>
      <c r="D86">
        <v>1</v>
      </c>
      <c r="E86" t="s">
        <v>63</v>
      </c>
      <c r="F86">
        <v>2046</v>
      </c>
      <c r="G86" t="s">
        <v>2</v>
      </c>
      <c r="H86">
        <v>4151.2479302399997</v>
      </c>
      <c r="I86">
        <v>32159.607668400229</v>
      </c>
      <c r="J86">
        <v>7773.2569559999401</v>
      </c>
      <c r="K86">
        <v>0</v>
      </c>
      <c r="L86">
        <v>19419.296509199899</v>
      </c>
      <c r="M86">
        <v>2411.2473981600001</v>
      </c>
      <c r="N86">
        <v>3406.9204535999793</v>
      </c>
      <c r="O86">
        <v>0</v>
      </c>
      <c r="P86">
        <v>1193.7819648000079</v>
      </c>
      <c r="Q86">
        <v>0</v>
      </c>
      <c r="R86">
        <v>0</v>
      </c>
    </row>
    <row r="87" spans="1:18" x14ac:dyDescent="0.25">
      <c r="A87" t="s">
        <v>1</v>
      </c>
      <c r="B87" t="s">
        <v>59</v>
      </c>
      <c r="C87" t="s">
        <v>60</v>
      </c>
      <c r="D87">
        <v>1</v>
      </c>
      <c r="E87" t="s">
        <v>63</v>
      </c>
      <c r="F87">
        <v>2047</v>
      </c>
      <c r="G87" t="s">
        <v>2</v>
      </c>
      <c r="H87">
        <v>7922.2340697600002</v>
      </c>
      <c r="I87">
        <v>32159.607668400229</v>
      </c>
      <c r="J87">
        <v>7773.2569559999401</v>
      </c>
      <c r="K87">
        <v>0</v>
      </c>
      <c r="L87">
        <v>19419.296509199899</v>
      </c>
      <c r="M87">
        <v>720.19625447999999</v>
      </c>
      <c r="N87">
        <v>3406.9204535999793</v>
      </c>
      <c r="O87">
        <v>2066.8878599999998</v>
      </c>
      <c r="P87">
        <v>1193.7819648000079</v>
      </c>
      <c r="Q87">
        <v>0</v>
      </c>
      <c r="R87">
        <v>0</v>
      </c>
    </row>
    <row r="88" spans="1:18" x14ac:dyDescent="0.25">
      <c r="A88" t="s">
        <v>1</v>
      </c>
      <c r="B88" t="s">
        <v>59</v>
      </c>
      <c r="C88" t="s">
        <v>60</v>
      </c>
      <c r="D88">
        <v>1</v>
      </c>
      <c r="E88" t="s">
        <v>63</v>
      </c>
      <c r="F88">
        <v>2048</v>
      </c>
      <c r="G88" t="s">
        <v>2</v>
      </c>
      <c r="H88">
        <v>0</v>
      </c>
      <c r="I88">
        <v>32247.716182560231</v>
      </c>
      <c r="J88">
        <v>7794.5535503999399</v>
      </c>
      <c r="K88">
        <v>0</v>
      </c>
      <c r="L88">
        <v>31551.254167680039</v>
      </c>
      <c r="M88">
        <v>3208.8807326400001</v>
      </c>
      <c r="N88">
        <v>3416.2544822399791</v>
      </c>
      <c r="O88">
        <v>0</v>
      </c>
      <c r="P88">
        <v>1197.052600320008</v>
      </c>
      <c r="Q88">
        <v>0</v>
      </c>
      <c r="R88">
        <v>0</v>
      </c>
    </row>
    <row r="89" spans="1:18" x14ac:dyDescent="0.25">
      <c r="A89" t="s">
        <v>1</v>
      </c>
      <c r="B89" t="s">
        <v>59</v>
      </c>
      <c r="C89" t="s">
        <v>60</v>
      </c>
      <c r="D89">
        <v>1</v>
      </c>
      <c r="E89" t="s">
        <v>63</v>
      </c>
      <c r="F89">
        <v>2049</v>
      </c>
      <c r="G89" t="s">
        <v>2</v>
      </c>
      <c r="H89">
        <v>0</v>
      </c>
      <c r="I89">
        <v>32159.607668400229</v>
      </c>
      <c r="J89">
        <v>7773.2569559999401</v>
      </c>
      <c r="K89">
        <v>0</v>
      </c>
      <c r="L89">
        <v>34970.51988479976</v>
      </c>
      <c r="M89">
        <v>0</v>
      </c>
      <c r="N89">
        <v>3406.9204535999793</v>
      </c>
      <c r="O89">
        <v>0</v>
      </c>
      <c r="P89">
        <v>1193.7819648000079</v>
      </c>
      <c r="Q89">
        <v>0</v>
      </c>
      <c r="R89">
        <v>3551.8017432000124</v>
      </c>
    </row>
    <row r="90" spans="1:18" x14ac:dyDescent="0.25">
      <c r="A90" t="s">
        <v>1</v>
      </c>
      <c r="B90" t="s">
        <v>59</v>
      </c>
      <c r="C90" t="s">
        <v>60</v>
      </c>
      <c r="D90">
        <v>1</v>
      </c>
      <c r="E90" t="s">
        <v>63</v>
      </c>
      <c r="F90">
        <v>2050</v>
      </c>
      <c r="G90" t="s">
        <v>2</v>
      </c>
      <c r="H90">
        <v>0</v>
      </c>
      <c r="I90">
        <v>32159.607668400229</v>
      </c>
      <c r="J90">
        <v>7773.2569559999401</v>
      </c>
      <c r="K90">
        <v>0</v>
      </c>
      <c r="L90">
        <v>38797.7625708001</v>
      </c>
      <c r="M90">
        <v>0</v>
      </c>
      <c r="N90">
        <v>3406.9204535999793</v>
      </c>
      <c r="O90">
        <v>0</v>
      </c>
      <c r="P90">
        <v>1193.7819648000079</v>
      </c>
      <c r="Q90">
        <v>0</v>
      </c>
      <c r="R90">
        <v>3935.0454360000235</v>
      </c>
    </row>
    <row r="91" spans="1:18" x14ac:dyDescent="0.25">
      <c r="A91" t="s">
        <v>1</v>
      </c>
      <c r="B91" t="s">
        <v>59</v>
      </c>
      <c r="C91" t="s">
        <v>60</v>
      </c>
      <c r="D91">
        <v>1</v>
      </c>
      <c r="E91" t="s">
        <v>63</v>
      </c>
      <c r="F91">
        <v>2051</v>
      </c>
      <c r="G91" t="s">
        <v>2</v>
      </c>
      <c r="H91">
        <v>0</v>
      </c>
      <c r="I91">
        <v>32159.607668400229</v>
      </c>
      <c r="J91">
        <v>7773.2569559999401</v>
      </c>
      <c r="K91">
        <v>0</v>
      </c>
      <c r="L91">
        <v>38797.7625708001</v>
      </c>
      <c r="M91">
        <v>0</v>
      </c>
      <c r="N91">
        <v>3406.9204535999793</v>
      </c>
      <c r="O91">
        <v>0</v>
      </c>
      <c r="P91">
        <v>1193.7819648000079</v>
      </c>
      <c r="Q91">
        <v>0</v>
      </c>
      <c r="R91">
        <v>3935.0454360000235</v>
      </c>
    </row>
    <row r="92" spans="1:18" x14ac:dyDescent="0.25">
      <c r="A92" t="s">
        <v>1</v>
      </c>
      <c r="B92" t="s">
        <v>59</v>
      </c>
      <c r="C92" t="s">
        <v>60</v>
      </c>
      <c r="D92">
        <v>1</v>
      </c>
      <c r="E92" t="s">
        <v>64</v>
      </c>
      <c r="F92">
        <v>2022</v>
      </c>
      <c r="G92" t="s">
        <v>2</v>
      </c>
      <c r="H92">
        <v>0</v>
      </c>
      <c r="I92">
        <v>0</v>
      </c>
      <c r="J92">
        <v>1796.9999448000067</v>
      </c>
      <c r="K92">
        <v>0</v>
      </c>
      <c r="L92">
        <v>0</v>
      </c>
      <c r="M92">
        <v>0</v>
      </c>
      <c r="N92">
        <v>0</v>
      </c>
      <c r="O92">
        <v>0</v>
      </c>
      <c r="P92">
        <v>257.69957760000005</v>
      </c>
      <c r="Q92">
        <v>0</v>
      </c>
      <c r="R92">
        <v>0</v>
      </c>
    </row>
    <row r="93" spans="1:18" x14ac:dyDescent="0.25">
      <c r="A93" t="s">
        <v>1</v>
      </c>
      <c r="B93" t="s">
        <v>59</v>
      </c>
      <c r="C93" t="s">
        <v>60</v>
      </c>
      <c r="D93">
        <v>1</v>
      </c>
      <c r="E93" t="s">
        <v>64</v>
      </c>
      <c r="F93">
        <v>2023</v>
      </c>
      <c r="G93" t="s">
        <v>2</v>
      </c>
      <c r="H93">
        <v>0</v>
      </c>
      <c r="I93">
        <v>0</v>
      </c>
      <c r="J93">
        <v>4107.40264079998</v>
      </c>
      <c r="K93">
        <v>0</v>
      </c>
      <c r="L93">
        <v>0</v>
      </c>
      <c r="M93">
        <v>0</v>
      </c>
      <c r="N93">
        <v>0</v>
      </c>
      <c r="O93">
        <v>885.27879959999996</v>
      </c>
      <c r="P93">
        <v>861.06568920000075</v>
      </c>
      <c r="Q93">
        <v>0</v>
      </c>
      <c r="R93">
        <v>0</v>
      </c>
    </row>
    <row r="94" spans="1:18" x14ac:dyDescent="0.25">
      <c r="A94" t="s">
        <v>1</v>
      </c>
      <c r="B94" t="s">
        <v>59</v>
      </c>
      <c r="C94" t="s">
        <v>60</v>
      </c>
      <c r="D94">
        <v>1</v>
      </c>
      <c r="E94" t="s">
        <v>64</v>
      </c>
      <c r="F94">
        <v>2024</v>
      </c>
      <c r="G94" t="s">
        <v>2</v>
      </c>
      <c r="H94">
        <v>0</v>
      </c>
      <c r="I94">
        <v>0</v>
      </c>
      <c r="J94">
        <v>4118.6557987199803</v>
      </c>
      <c r="K94">
        <v>0</v>
      </c>
      <c r="L94">
        <v>0</v>
      </c>
      <c r="M94">
        <v>0</v>
      </c>
      <c r="N94">
        <v>0</v>
      </c>
      <c r="O94">
        <v>1508.5561379999999</v>
      </c>
      <c r="P94">
        <v>863.42477328000075</v>
      </c>
      <c r="Q94">
        <v>0</v>
      </c>
      <c r="R94">
        <v>0</v>
      </c>
    </row>
    <row r="95" spans="1:18" x14ac:dyDescent="0.25">
      <c r="A95" t="s">
        <v>1</v>
      </c>
      <c r="B95" t="s">
        <v>59</v>
      </c>
      <c r="C95" t="s">
        <v>60</v>
      </c>
      <c r="D95">
        <v>1</v>
      </c>
      <c r="E95" t="s">
        <v>64</v>
      </c>
      <c r="F95">
        <v>2025</v>
      </c>
      <c r="G95" t="s">
        <v>2</v>
      </c>
      <c r="H95">
        <v>901.99546439999995</v>
      </c>
      <c r="I95">
        <v>0</v>
      </c>
      <c r="J95">
        <v>5296.6974707999643</v>
      </c>
      <c r="K95">
        <v>0</v>
      </c>
      <c r="L95">
        <v>0</v>
      </c>
      <c r="M95">
        <v>1019.1006297600001</v>
      </c>
      <c r="N95">
        <v>0</v>
      </c>
      <c r="O95">
        <v>916.49426256000004</v>
      </c>
      <c r="P95">
        <v>861.06568920000075</v>
      </c>
      <c r="Q95">
        <v>0</v>
      </c>
      <c r="R95">
        <v>0</v>
      </c>
    </row>
    <row r="96" spans="1:18" x14ac:dyDescent="0.25">
      <c r="A96" t="s">
        <v>1</v>
      </c>
      <c r="B96" t="s">
        <v>59</v>
      </c>
      <c r="C96" t="s">
        <v>60</v>
      </c>
      <c r="D96">
        <v>1</v>
      </c>
      <c r="E96" t="s">
        <v>64</v>
      </c>
      <c r="F96">
        <v>2026</v>
      </c>
      <c r="G96" t="s">
        <v>2</v>
      </c>
      <c r="H96">
        <v>3360.02264784</v>
      </c>
      <c r="I96">
        <v>0</v>
      </c>
      <c r="J96">
        <v>5907.18055680002</v>
      </c>
      <c r="K96">
        <v>0</v>
      </c>
      <c r="L96">
        <v>0</v>
      </c>
      <c r="M96">
        <v>2273.02737432</v>
      </c>
      <c r="N96">
        <v>0</v>
      </c>
      <c r="O96">
        <v>0</v>
      </c>
      <c r="P96">
        <v>936.53300159999492</v>
      </c>
      <c r="Q96">
        <v>0</v>
      </c>
      <c r="R96">
        <v>0</v>
      </c>
    </row>
    <row r="97" spans="1:18" x14ac:dyDescent="0.25">
      <c r="A97" t="s">
        <v>1</v>
      </c>
      <c r="B97" t="s">
        <v>59</v>
      </c>
      <c r="C97" t="s">
        <v>60</v>
      </c>
      <c r="D97">
        <v>1</v>
      </c>
      <c r="E97" t="s">
        <v>64</v>
      </c>
      <c r="F97">
        <v>2027</v>
      </c>
      <c r="G97" t="s">
        <v>2</v>
      </c>
      <c r="H97">
        <v>5565.0892123200001</v>
      </c>
      <c r="I97">
        <v>0</v>
      </c>
      <c r="J97">
        <v>6468.1348656000591</v>
      </c>
      <c r="K97">
        <v>0</v>
      </c>
      <c r="L97">
        <v>0</v>
      </c>
      <c r="M97">
        <v>191.26732608</v>
      </c>
      <c r="N97">
        <v>0</v>
      </c>
      <c r="O97">
        <v>2347.1756999999998</v>
      </c>
      <c r="P97">
        <v>1005.202466400004</v>
      </c>
      <c r="Q97">
        <v>0</v>
      </c>
      <c r="R97">
        <v>0</v>
      </c>
    </row>
    <row r="98" spans="1:18" x14ac:dyDescent="0.25">
      <c r="A98" t="s">
        <v>1</v>
      </c>
      <c r="B98" t="s">
        <v>59</v>
      </c>
      <c r="C98" t="s">
        <v>60</v>
      </c>
      <c r="D98">
        <v>1</v>
      </c>
      <c r="E98" t="s">
        <v>64</v>
      </c>
      <c r="F98">
        <v>2028</v>
      </c>
      <c r="G98" t="s">
        <v>2</v>
      </c>
      <c r="H98">
        <v>7330.3374196800005</v>
      </c>
      <c r="I98">
        <v>0</v>
      </c>
      <c r="J98">
        <v>7943.8747867200082</v>
      </c>
      <c r="K98">
        <v>0</v>
      </c>
      <c r="L98">
        <v>0</v>
      </c>
      <c r="M98">
        <v>2757.5437329599999</v>
      </c>
      <c r="N98">
        <v>0</v>
      </c>
      <c r="O98">
        <v>0</v>
      </c>
      <c r="P98">
        <v>1129.8110803200086</v>
      </c>
      <c r="Q98">
        <v>0</v>
      </c>
      <c r="R98">
        <v>0</v>
      </c>
    </row>
    <row r="99" spans="1:18" x14ac:dyDescent="0.25">
      <c r="A99" t="s">
        <v>1</v>
      </c>
      <c r="B99" t="s">
        <v>59</v>
      </c>
      <c r="C99" t="s">
        <v>60</v>
      </c>
      <c r="D99">
        <v>1</v>
      </c>
      <c r="E99" t="s">
        <v>64</v>
      </c>
      <c r="F99">
        <v>2029</v>
      </c>
      <c r="G99" t="s">
        <v>2</v>
      </c>
      <c r="H99">
        <v>9233.5293676799993</v>
      </c>
      <c r="I99">
        <v>0</v>
      </c>
      <c r="J99">
        <v>7922.1702108000081</v>
      </c>
      <c r="K99">
        <v>0</v>
      </c>
      <c r="L99">
        <v>0</v>
      </c>
      <c r="M99">
        <v>2929.2089339999998</v>
      </c>
      <c r="N99">
        <v>0</v>
      </c>
      <c r="O99">
        <v>0</v>
      </c>
      <c r="P99">
        <v>1126.7241648000086</v>
      </c>
      <c r="Q99">
        <v>0</v>
      </c>
      <c r="R99">
        <v>0</v>
      </c>
    </row>
    <row r="100" spans="1:18" x14ac:dyDescent="0.25">
      <c r="A100" t="s">
        <v>1</v>
      </c>
      <c r="B100" t="s">
        <v>59</v>
      </c>
      <c r="C100" t="s">
        <v>60</v>
      </c>
      <c r="D100">
        <v>1</v>
      </c>
      <c r="E100" t="s">
        <v>64</v>
      </c>
      <c r="F100">
        <v>2030</v>
      </c>
      <c r="G100" t="s">
        <v>2</v>
      </c>
      <c r="H100">
        <v>11850.935007839998</v>
      </c>
      <c r="I100">
        <v>0</v>
      </c>
      <c r="J100">
        <v>7922.1702108000081</v>
      </c>
      <c r="K100">
        <v>0</v>
      </c>
      <c r="L100">
        <v>0</v>
      </c>
      <c r="M100">
        <v>3087.2996152800001</v>
      </c>
      <c r="N100">
        <v>56.28650400000037</v>
      </c>
      <c r="O100">
        <v>0</v>
      </c>
      <c r="P100">
        <v>1126.7241648000086</v>
      </c>
      <c r="Q100">
        <v>0</v>
      </c>
      <c r="R100">
        <v>0</v>
      </c>
    </row>
    <row r="101" spans="1:18" x14ac:dyDescent="0.25">
      <c r="A101" t="s">
        <v>1</v>
      </c>
      <c r="B101" t="s">
        <v>59</v>
      </c>
      <c r="C101" t="s">
        <v>60</v>
      </c>
      <c r="D101">
        <v>1</v>
      </c>
      <c r="E101" t="s">
        <v>64</v>
      </c>
      <c r="F101">
        <v>2031</v>
      </c>
      <c r="G101" t="s">
        <v>2</v>
      </c>
      <c r="H101">
        <v>11018.650624800001</v>
      </c>
      <c r="I101">
        <v>0</v>
      </c>
      <c r="J101">
        <v>11395.782997200098</v>
      </c>
      <c r="K101">
        <v>0</v>
      </c>
      <c r="L101">
        <v>0</v>
      </c>
      <c r="M101">
        <v>774.50357952000002</v>
      </c>
      <c r="N101">
        <v>110.06510760000059</v>
      </c>
      <c r="O101">
        <v>2177.1544199999998</v>
      </c>
      <c r="P101">
        <v>1126.7241648000086</v>
      </c>
      <c r="Q101">
        <v>0</v>
      </c>
      <c r="R101">
        <v>0</v>
      </c>
    </row>
    <row r="102" spans="1:18" x14ac:dyDescent="0.25">
      <c r="A102" t="s">
        <v>1</v>
      </c>
      <c r="B102" t="s">
        <v>59</v>
      </c>
      <c r="C102" t="s">
        <v>60</v>
      </c>
      <c r="D102">
        <v>1</v>
      </c>
      <c r="E102" t="s">
        <v>64</v>
      </c>
      <c r="F102">
        <v>2032</v>
      </c>
      <c r="G102" t="s">
        <v>2</v>
      </c>
      <c r="H102">
        <v>14346.655079280001</v>
      </c>
      <c r="I102">
        <v>0</v>
      </c>
      <c r="J102">
        <v>11427.004320480099</v>
      </c>
      <c r="K102">
        <v>0</v>
      </c>
      <c r="L102">
        <v>0</v>
      </c>
      <c r="M102">
        <v>2875.81662456</v>
      </c>
      <c r="N102">
        <v>167.52080592000016</v>
      </c>
      <c r="O102">
        <v>0</v>
      </c>
      <c r="P102">
        <v>1129.8110803200086</v>
      </c>
      <c r="Q102">
        <v>0</v>
      </c>
      <c r="R102">
        <v>0</v>
      </c>
    </row>
    <row r="103" spans="1:18" x14ac:dyDescent="0.25">
      <c r="A103" t="s">
        <v>1</v>
      </c>
      <c r="B103" t="s">
        <v>59</v>
      </c>
      <c r="C103" t="s">
        <v>60</v>
      </c>
      <c r="D103">
        <v>1</v>
      </c>
      <c r="E103" t="s">
        <v>64</v>
      </c>
      <c r="F103">
        <v>2033</v>
      </c>
      <c r="G103" t="s">
        <v>2</v>
      </c>
      <c r="H103">
        <v>15911.55629592</v>
      </c>
      <c r="I103">
        <v>510.67436159999977</v>
      </c>
      <c r="J103">
        <v>11395.782997200098</v>
      </c>
      <c r="K103">
        <v>0</v>
      </c>
      <c r="L103">
        <v>0</v>
      </c>
      <c r="M103">
        <v>2685.4978099200002</v>
      </c>
      <c r="N103">
        <v>208.26023999999879</v>
      </c>
      <c r="O103">
        <v>0</v>
      </c>
      <c r="P103">
        <v>1126.7241648000086</v>
      </c>
      <c r="Q103">
        <v>0</v>
      </c>
      <c r="R103">
        <v>0</v>
      </c>
    </row>
    <row r="104" spans="1:18" x14ac:dyDescent="0.25">
      <c r="A104" t="s">
        <v>1</v>
      </c>
      <c r="B104" t="s">
        <v>59</v>
      </c>
      <c r="C104" t="s">
        <v>60</v>
      </c>
      <c r="D104">
        <v>1</v>
      </c>
      <c r="E104" t="s">
        <v>64</v>
      </c>
      <c r="F104">
        <v>2034</v>
      </c>
      <c r="G104" t="s">
        <v>2</v>
      </c>
      <c r="H104">
        <v>10659.74878656</v>
      </c>
      <c r="I104">
        <v>8531.4471323999405</v>
      </c>
      <c r="J104">
        <v>11395.782997200098</v>
      </c>
      <c r="K104">
        <v>0</v>
      </c>
      <c r="L104">
        <v>0</v>
      </c>
      <c r="M104">
        <v>2566.91715432</v>
      </c>
      <c r="N104">
        <v>255.44273879999909</v>
      </c>
      <c r="O104">
        <v>0</v>
      </c>
      <c r="P104">
        <v>1126.7241648000086</v>
      </c>
      <c r="Q104">
        <v>0</v>
      </c>
      <c r="R104">
        <v>0</v>
      </c>
    </row>
    <row r="105" spans="1:18" x14ac:dyDescent="0.25">
      <c r="A105" t="s">
        <v>1</v>
      </c>
      <c r="B105" t="s">
        <v>59</v>
      </c>
      <c r="C105" t="s">
        <v>60</v>
      </c>
      <c r="D105">
        <v>1</v>
      </c>
      <c r="E105" t="s">
        <v>64</v>
      </c>
      <c r="F105">
        <v>2035</v>
      </c>
      <c r="G105" t="s">
        <v>2</v>
      </c>
      <c r="H105">
        <v>13520.51836824</v>
      </c>
      <c r="I105">
        <v>8531.4471323999405</v>
      </c>
      <c r="J105">
        <v>11395.782997200098</v>
      </c>
      <c r="K105">
        <v>0</v>
      </c>
      <c r="L105">
        <v>0</v>
      </c>
      <c r="M105">
        <v>430.74821280000003</v>
      </c>
      <c r="N105">
        <v>301.34303639999962</v>
      </c>
      <c r="O105">
        <v>2025.58878</v>
      </c>
      <c r="P105">
        <v>1126.7241648000086</v>
      </c>
      <c r="Q105">
        <v>0</v>
      </c>
      <c r="R105">
        <v>0</v>
      </c>
    </row>
    <row r="106" spans="1:18" x14ac:dyDescent="0.25">
      <c r="A106" t="s">
        <v>1</v>
      </c>
      <c r="B106" t="s">
        <v>59</v>
      </c>
      <c r="C106" t="s">
        <v>60</v>
      </c>
      <c r="D106">
        <v>1</v>
      </c>
      <c r="E106" t="s">
        <v>64</v>
      </c>
      <c r="F106">
        <v>2036</v>
      </c>
      <c r="G106" t="s">
        <v>2</v>
      </c>
      <c r="H106">
        <v>9620.8958450400005</v>
      </c>
      <c r="I106">
        <v>14631.564754080075</v>
      </c>
      <c r="J106">
        <v>11427.004320480099</v>
      </c>
      <c r="K106">
        <v>0</v>
      </c>
      <c r="L106">
        <v>0</v>
      </c>
      <c r="M106">
        <v>2402.0920293600002</v>
      </c>
      <c r="N106">
        <v>353.54089152000108</v>
      </c>
      <c r="O106">
        <v>0</v>
      </c>
      <c r="P106">
        <v>1129.8110803200086</v>
      </c>
      <c r="Q106">
        <v>0</v>
      </c>
      <c r="R106">
        <v>0</v>
      </c>
    </row>
    <row r="107" spans="1:18" x14ac:dyDescent="0.25">
      <c r="A107" t="s">
        <v>1</v>
      </c>
      <c r="B107" t="s">
        <v>59</v>
      </c>
      <c r="C107" t="s">
        <v>60</v>
      </c>
      <c r="D107">
        <v>1</v>
      </c>
      <c r="E107" t="s">
        <v>64</v>
      </c>
      <c r="F107">
        <v>2037</v>
      </c>
      <c r="G107" t="s">
        <v>2</v>
      </c>
      <c r="H107">
        <v>10625.36261136</v>
      </c>
      <c r="I107">
        <v>14591.587801200074</v>
      </c>
      <c r="J107">
        <v>11395.782997200098</v>
      </c>
      <c r="K107">
        <v>0</v>
      </c>
      <c r="L107">
        <v>0</v>
      </c>
      <c r="M107">
        <v>2244.9235617599998</v>
      </c>
      <c r="N107">
        <v>386.54665079999864</v>
      </c>
      <c r="O107">
        <v>0</v>
      </c>
      <c r="P107">
        <v>1126.7241648000086</v>
      </c>
      <c r="Q107">
        <v>0</v>
      </c>
      <c r="R107">
        <v>0</v>
      </c>
    </row>
    <row r="108" spans="1:18" x14ac:dyDescent="0.25">
      <c r="A108" t="s">
        <v>1</v>
      </c>
      <c r="B108" t="s">
        <v>59</v>
      </c>
      <c r="C108" t="s">
        <v>60</v>
      </c>
      <c r="D108">
        <v>1</v>
      </c>
      <c r="E108" t="s">
        <v>64</v>
      </c>
      <c r="F108">
        <v>2038</v>
      </c>
      <c r="G108" t="s">
        <v>2</v>
      </c>
      <c r="H108">
        <v>7942.1206814400002</v>
      </c>
      <c r="I108">
        <v>14591.587801200074</v>
      </c>
      <c r="J108">
        <v>11395.782997200098</v>
      </c>
      <c r="K108">
        <v>0</v>
      </c>
      <c r="L108">
        <v>4299.6346212000044</v>
      </c>
      <c r="M108">
        <v>2127.6518037599999</v>
      </c>
      <c r="N108">
        <v>421.11001920000308</v>
      </c>
      <c r="O108">
        <v>0</v>
      </c>
      <c r="P108">
        <v>1126.7241648000086</v>
      </c>
      <c r="Q108">
        <v>0</v>
      </c>
      <c r="R108">
        <v>0</v>
      </c>
    </row>
    <row r="109" spans="1:18" x14ac:dyDescent="0.25">
      <c r="A109" t="s">
        <v>1</v>
      </c>
      <c r="B109" t="s">
        <v>59</v>
      </c>
      <c r="C109" t="s">
        <v>60</v>
      </c>
      <c r="D109">
        <v>1</v>
      </c>
      <c r="E109" t="s">
        <v>64</v>
      </c>
      <c r="F109">
        <v>2039</v>
      </c>
      <c r="G109" t="s">
        <v>2</v>
      </c>
      <c r="H109">
        <v>9603.9747071999991</v>
      </c>
      <c r="I109">
        <v>14591.587801200074</v>
      </c>
      <c r="J109">
        <v>11395.782997200098</v>
      </c>
      <c r="K109">
        <v>0</v>
      </c>
      <c r="L109">
        <v>4299.6346212000044</v>
      </c>
      <c r="M109">
        <v>124.96301400000002</v>
      </c>
      <c r="N109">
        <v>447.68584439999989</v>
      </c>
      <c r="O109">
        <v>1871.5783199999998</v>
      </c>
      <c r="P109">
        <v>1126.7241648000086</v>
      </c>
      <c r="Q109">
        <v>0</v>
      </c>
      <c r="R109">
        <v>0</v>
      </c>
    </row>
    <row r="110" spans="1:18" x14ac:dyDescent="0.25">
      <c r="A110" t="s">
        <v>1</v>
      </c>
      <c r="B110" t="s">
        <v>59</v>
      </c>
      <c r="C110" t="s">
        <v>60</v>
      </c>
      <c r="D110">
        <v>1</v>
      </c>
      <c r="E110" t="s">
        <v>64</v>
      </c>
      <c r="F110">
        <v>2040</v>
      </c>
      <c r="G110" t="s">
        <v>2</v>
      </c>
      <c r="H110">
        <v>11533.930217040001</v>
      </c>
      <c r="I110">
        <v>14631.564754080075</v>
      </c>
      <c r="J110">
        <v>11427.004320480099</v>
      </c>
      <c r="K110">
        <v>0</v>
      </c>
      <c r="L110">
        <v>4311.4144420800048</v>
      </c>
      <c r="M110">
        <v>1934.6694585599998</v>
      </c>
      <c r="N110">
        <v>487.07938800000295</v>
      </c>
      <c r="O110">
        <v>0</v>
      </c>
      <c r="P110">
        <v>1129.8110803200086</v>
      </c>
      <c r="Q110">
        <v>0</v>
      </c>
      <c r="R110">
        <v>0</v>
      </c>
    </row>
    <row r="111" spans="1:18" x14ac:dyDescent="0.25">
      <c r="A111" t="s">
        <v>1</v>
      </c>
      <c r="B111" t="s">
        <v>59</v>
      </c>
      <c r="C111" t="s">
        <v>60</v>
      </c>
      <c r="D111">
        <v>1</v>
      </c>
      <c r="E111" t="s">
        <v>64</v>
      </c>
      <c r="F111">
        <v>2041</v>
      </c>
      <c r="G111" t="s">
        <v>2</v>
      </c>
      <c r="H111">
        <v>4716.6578320799999</v>
      </c>
      <c r="I111">
        <v>14591.587801200074</v>
      </c>
      <c r="J111">
        <v>11395.782997200098</v>
      </c>
      <c r="K111">
        <v>0</v>
      </c>
      <c r="L111">
        <v>12470.675030400074</v>
      </c>
      <c r="M111">
        <v>1795.2042667199999</v>
      </c>
      <c r="N111">
        <v>509.54055480000471</v>
      </c>
      <c r="O111">
        <v>0</v>
      </c>
      <c r="P111">
        <v>1126.7241648000086</v>
      </c>
      <c r="Q111">
        <v>0</v>
      </c>
      <c r="R111">
        <v>0</v>
      </c>
    </row>
    <row r="112" spans="1:18" x14ac:dyDescent="0.25">
      <c r="A112" t="s">
        <v>1</v>
      </c>
      <c r="B112" t="s">
        <v>59</v>
      </c>
      <c r="C112" t="s">
        <v>60</v>
      </c>
      <c r="D112">
        <v>1</v>
      </c>
      <c r="E112" t="s">
        <v>64</v>
      </c>
      <c r="F112">
        <v>2042</v>
      </c>
      <c r="G112" t="s">
        <v>2</v>
      </c>
      <c r="H112">
        <v>6554.8779508799998</v>
      </c>
      <c r="I112">
        <v>14591.587801200074</v>
      </c>
      <c r="J112">
        <v>11395.782997200098</v>
      </c>
      <c r="K112">
        <v>0</v>
      </c>
      <c r="L112">
        <v>12470.675030400074</v>
      </c>
      <c r="M112">
        <v>936.40104503999999</v>
      </c>
      <c r="N112">
        <v>1319.5611983999984</v>
      </c>
      <c r="O112">
        <v>0</v>
      </c>
      <c r="P112">
        <v>1126.7241648000086</v>
      </c>
      <c r="Q112">
        <v>0</v>
      </c>
      <c r="R112">
        <v>0</v>
      </c>
    </row>
    <row r="113" spans="1:18" x14ac:dyDescent="0.25">
      <c r="A113" t="s">
        <v>1</v>
      </c>
      <c r="B113" t="s">
        <v>59</v>
      </c>
      <c r="C113" t="s">
        <v>60</v>
      </c>
      <c r="D113">
        <v>1</v>
      </c>
      <c r="E113" t="s">
        <v>64</v>
      </c>
      <c r="F113">
        <v>2043</v>
      </c>
      <c r="G113" t="s">
        <v>2</v>
      </c>
      <c r="H113">
        <v>8258.0562266399993</v>
      </c>
      <c r="I113">
        <v>14591.587801200074</v>
      </c>
      <c r="J113">
        <v>11395.782997200098</v>
      </c>
      <c r="K113">
        <v>0</v>
      </c>
      <c r="L113">
        <v>12470.675030400074</v>
      </c>
      <c r="M113">
        <v>0</v>
      </c>
      <c r="N113">
        <v>1319.5611983999984</v>
      </c>
      <c r="O113">
        <v>926.59564583999986</v>
      </c>
      <c r="P113">
        <v>1126.7241648000086</v>
      </c>
      <c r="Q113">
        <v>0</v>
      </c>
      <c r="R113">
        <v>0</v>
      </c>
    </row>
    <row r="114" spans="1:18" x14ac:dyDescent="0.25">
      <c r="A114" t="s">
        <v>1</v>
      </c>
      <c r="B114" t="s">
        <v>59</v>
      </c>
      <c r="C114" t="s">
        <v>60</v>
      </c>
      <c r="D114">
        <v>1</v>
      </c>
      <c r="E114" t="s">
        <v>64</v>
      </c>
      <c r="F114">
        <v>2044</v>
      </c>
      <c r="G114" t="s">
        <v>2</v>
      </c>
      <c r="H114">
        <v>6034.45118112</v>
      </c>
      <c r="I114">
        <v>14631.564754080075</v>
      </c>
      <c r="J114">
        <v>11427.004320480099</v>
      </c>
      <c r="K114">
        <v>0</v>
      </c>
      <c r="L114">
        <v>16750.327481279928</v>
      </c>
      <c r="M114">
        <v>147.94517759999999</v>
      </c>
      <c r="N114">
        <v>1323.1764345599984</v>
      </c>
      <c r="O114">
        <v>824.69863415999998</v>
      </c>
      <c r="P114">
        <v>1129.8110803200086</v>
      </c>
      <c r="Q114">
        <v>0</v>
      </c>
      <c r="R114">
        <v>0</v>
      </c>
    </row>
    <row r="115" spans="1:18" x14ac:dyDescent="0.25">
      <c r="A115" t="s">
        <v>1</v>
      </c>
      <c r="B115" t="s">
        <v>59</v>
      </c>
      <c r="C115" t="s">
        <v>60</v>
      </c>
      <c r="D115">
        <v>1</v>
      </c>
      <c r="E115" t="s">
        <v>64</v>
      </c>
      <c r="F115">
        <v>2045</v>
      </c>
      <c r="G115" t="s">
        <v>2</v>
      </c>
      <c r="H115">
        <v>3146.96659224</v>
      </c>
      <c r="I115">
        <v>14591.587801200074</v>
      </c>
      <c r="J115">
        <v>11395.782997200098</v>
      </c>
      <c r="K115">
        <v>0</v>
      </c>
      <c r="L115">
        <v>20787.419468400039</v>
      </c>
      <c r="M115">
        <v>907.12189175999993</v>
      </c>
      <c r="N115">
        <v>1319.5611983999984</v>
      </c>
      <c r="O115">
        <v>0</v>
      </c>
      <c r="P115">
        <v>1126.7241648000086</v>
      </c>
      <c r="Q115">
        <v>0</v>
      </c>
      <c r="R115">
        <v>0</v>
      </c>
    </row>
    <row r="116" spans="1:18" x14ac:dyDescent="0.25">
      <c r="A116" t="s">
        <v>1</v>
      </c>
      <c r="B116" t="s">
        <v>59</v>
      </c>
      <c r="C116" t="s">
        <v>60</v>
      </c>
      <c r="D116">
        <v>1</v>
      </c>
      <c r="E116" t="s">
        <v>64</v>
      </c>
      <c r="F116">
        <v>2046</v>
      </c>
      <c r="G116" t="s">
        <v>2</v>
      </c>
      <c r="H116">
        <v>5067.7491393600003</v>
      </c>
      <c r="I116">
        <v>14591.587801200074</v>
      </c>
      <c r="J116">
        <v>11395.782997200098</v>
      </c>
      <c r="K116">
        <v>0</v>
      </c>
      <c r="L116">
        <v>20787.419468400039</v>
      </c>
      <c r="M116">
        <v>865.94991000000005</v>
      </c>
      <c r="N116">
        <v>1319.5611983999984</v>
      </c>
      <c r="O116">
        <v>0</v>
      </c>
      <c r="P116">
        <v>1126.7241648000086</v>
      </c>
      <c r="Q116">
        <v>0</v>
      </c>
      <c r="R116">
        <v>0</v>
      </c>
    </row>
    <row r="117" spans="1:18" x14ac:dyDescent="0.25">
      <c r="A117" t="s">
        <v>1</v>
      </c>
      <c r="B117" t="s">
        <v>59</v>
      </c>
      <c r="C117" t="s">
        <v>60</v>
      </c>
      <c r="D117">
        <v>1</v>
      </c>
      <c r="E117" t="s">
        <v>64</v>
      </c>
      <c r="F117">
        <v>2047</v>
      </c>
      <c r="G117" t="s">
        <v>2</v>
      </c>
      <c r="H117">
        <v>7005.7328606399997</v>
      </c>
      <c r="I117">
        <v>14591.587801200074</v>
      </c>
      <c r="J117">
        <v>11395.782997200098</v>
      </c>
      <c r="K117">
        <v>0</v>
      </c>
      <c r="L117">
        <v>20787.419468400039</v>
      </c>
      <c r="M117">
        <v>0</v>
      </c>
      <c r="N117">
        <v>1319.5611983999984</v>
      </c>
      <c r="O117">
        <v>822.83995055999992</v>
      </c>
      <c r="P117">
        <v>1126.7241648000086</v>
      </c>
      <c r="Q117">
        <v>0</v>
      </c>
      <c r="R117">
        <v>0</v>
      </c>
    </row>
    <row r="118" spans="1:18" x14ac:dyDescent="0.25">
      <c r="A118" t="s">
        <v>1</v>
      </c>
      <c r="B118" t="s">
        <v>59</v>
      </c>
      <c r="C118" t="s">
        <v>60</v>
      </c>
      <c r="D118">
        <v>1</v>
      </c>
      <c r="E118" t="s">
        <v>64</v>
      </c>
      <c r="F118">
        <v>2048</v>
      </c>
      <c r="G118" t="s">
        <v>2</v>
      </c>
      <c r="H118">
        <v>0</v>
      </c>
      <c r="I118">
        <v>14631.564754080075</v>
      </c>
      <c r="J118">
        <v>11427.004320480099</v>
      </c>
      <c r="K118">
        <v>0</v>
      </c>
      <c r="L118">
        <v>30103.389028800171</v>
      </c>
      <c r="M118">
        <v>35.462716319999998</v>
      </c>
      <c r="N118">
        <v>1323.1764345599984</v>
      </c>
      <c r="O118">
        <v>806.44942944000002</v>
      </c>
      <c r="P118">
        <v>1129.8110803200086</v>
      </c>
      <c r="Q118">
        <v>0</v>
      </c>
      <c r="R118">
        <v>0</v>
      </c>
    </row>
    <row r="119" spans="1:18" x14ac:dyDescent="0.25">
      <c r="A119" t="s">
        <v>1</v>
      </c>
      <c r="B119" t="s">
        <v>59</v>
      </c>
      <c r="C119" t="s">
        <v>60</v>
      </c>
      <c r="D119">
        <v>1</v>
      </c>
      <c r="E119" t="s">
        <v>64</v>
      </c>
      <c r="F119">
        <v>2049</v>
      </c>
      <c r="G119" t="s">
        <v>2</v>
      </c>
      <c r="H119">
        <v>0</v>
      </c>
      <c r="I119">
        <v>14591.587801200074</v>
      </c>
      <c r="J119">
        <v>11395.782997200098</v>
      </c>
      <c r="K119">
        <v>0</v>
      </c>
      <c r="L119">
        <v>31790.371828799809</v>
      </c>
      <c r="M119">
        <v>43.025776320000006</v>
      </c>
      <c r="N119">
        <v>1319.5611983999984</v>
      </c>
      <c r="O119">
        <v>0</v>
      </c>
      <c r="P119">
        <v>1126.7241648000086</v>
      </c>
      <c r="Q119">
        <v>0</v>
      </c>
      <c r="R119">
        <v>752.8358016000052</v>
      </c>
    </row>
    <row r="120" spans="1:18" x14ac:dyDescent="0.25">
      <c r="A120" t="s">
        <v>1</v>
      </c>
      <c r="B120" t="s">
        <v>59</v>
      </c>
      <c r="C120" t="s">
        <v>60</v>
      </c>
      <c r="D120">
        <v>1</v>
      </c>
      <c r="E120" t="s">
        <v>64</v>
      </c>
      <c r="F120">
        <v>2050</v>
      </c>
      <c r="G120" t="s">
        <v>2</v>
      </c>
      <c r="H120">
        <v>0</v>
      </c>
      <c r="I120">
        <v>14591.587801200074</v>
      </c>
      <c r="J120">
        <v>11395.782997200098</v>
      </c>
      <c r="K120">
        <v>0</v>
      </c>
      <c r="L120">
        <v>34109.188592400111</v>
      </c>
      <c r="M120">
        <v>0</v>
      </c>
      <c r="N120">
        <v>1319.5611983999984</v>
      </c>
      <c r="O120">
        <v>0</v>
      </c>
      <c r="P120">
        <v>1126.7241648000086</v>
      </c>
      <c r="Q120">
        <v>0</v>
      </c>
      <c r="R120">
        <v>752.8358016000052</v>
      </c>
    </row>
    <row r="121" spans="1:18" x14ac:dyDescent="0.25">
      <c r="A121" t="s">
        <v>1</v>
      </c>
      <c r="B121" t="s">
        <v>59</v>
      </c>
      <c r="C121" t="s">
        <v>60</v>
      </c>
      <c r="D121">
        <v>1</v>
      </c>
      <c r="E121" t="s">
        <v>64</v>
      </c>
      <c r="F121">
        <v>2051</v>
      </c>
      <c r="G121" t="s">
        <v>2</v>
      </c>
      <c r="H121">
        <v>0</v>
      </c>
      <c r="I121">
        <v>14591.587801200074</v>
      </c>
      <c r="J121">
        <v>11395.782997200098</v>
      </c>
      <c r="K121">
        <v>0</v>
      </c>
      <c r="L121">
        <v>34109.188592400111</v>
      </c>
      <c r="M121">
        <v>0</v>
      </c>
      <c r="N121">
        <v>1319.5611983999984</v>
      </c>
      <c r="O121">
        <v>0</v>
      </c>
      <c r="P121">
        <v>1126.7241648000086</v>
      </c>
      <c r="Q121">
        <v>0</v>
      </c>
      <c r="R121">
        <v>752.8358016000052</v>
      </c>
    </row>
    <row r="122" spans="1:18" x14ac:dyDescent="0.25">
      <c r="A122" t="s">
        <v>1</v>
      </c>
      <c r="B122" t="s">
        <v>59</v>
      </c>
      <c r="C122" t="s">
        <v>60</v>
      </c>
      <c r="D122">
        <v>1</v>
      </c>
      <c r="E122" t="s">
        <v>65</v>
      </c>
      <c r="F122">
        <v>2022</v>
      </c>
      <c r="G122" t="s">
        <v>2</v>
      </c>
      <c r="H122">
        <v>0</v>
      </c>
      <c r="I122">
        <v>0</v>
      </c>
      <c r="J122">
        <v>1796.9999448000067</v>
      </c>
      <c r="K122">
        <v>0</v>
      </c>
      <c r="L122">
        <v>0</v>
      </c>
      <c r="M122">
        <v>0</v>
      </c>
      <c r="N122">
        <v>0</v>
      </c>
      <c r="O122">
        <v>0</v>
      </c>
      <c r="P122">
        <v>257.69957760000005</v>
      </c>
      <c r="Q122">
        <v>0</v>
      </c>
      <c r="R122">
        <v>0</v>
      </c>
    </row>
    <row r="123" spans="1:18" x14ac:dyDescent="0.25">
      <c r="A123" t="s">
        <v>1</v>
      </c>
      <c r="B123" t="s">
        <v>59</v>
      </c>
      <c r="C123" t="s">
        <v>60</v>
      </c>
      <c r="D123">
        <v>1</v>
      </c>
      <c r="E123" t="s">
        <v>65</v>
      </c>
      <c r="F123">
        <v>2023</v>
      </c>
      <c r="G123" t="s">
        <v>2</v>
      </c>
      <c r="H123">
        <v>0</v>
      </c>
      <c r="I123">
        <v>0</v>
      </c>
      <c r="J123">
        <v>4137.4388412000117</v>
      </c>
      <c r="K123">
        <v>0</v>
      </c>
      <c r="L123">
        <v>0</v>
      </c>
      <c r="M123">
        <v>0</v>
      </c>
      <c r="N123">
        <v>0</v>
      </c>
      <c r="O123">
        <v>891.70008024000003</v>
      </c>
      <c r="P123">
        <v>865.64822040000513</v>
      </c>
      <c r="Q123">
        <v>0</v>
      </c>
      <c r="R123">
        <v>0</v>
      </c>
    </row>
    <row r="124" spans="1:18" x14ac:dyDescent="0.25">
      <c r="A124" t="s">
        <v>1</v>
      </c>
      <c r="B124" t="s">
        <v>59</v>
      </c>
      <c r="C124" t="s">
        <v>60</v>
      </c>
      <c r="D124">
        <v>1</v>
      </c>
      <c r="E124" t="s">
        <v>65</v>
      </c>
      <c r="F124">
        <v>2024</v>
      </c>
      <c r="G124" t="s">
        <v>2</v>
      </c>
      <c r="H124">
        <v>372.25076688000001</v>
      </c>
      <c r="I124">
        <v>0</v>
      </c>
      <c r="J124">
        <v>4148.7742900800113</v>
      </c>
      <c r="K124">
        <v>0</v>
      </c>
      <c r="L124">
        <v>0</v>
      </c>
      <c r="M124">
        <v>0</v>
      </c>
      <c r="N124">
        <v>0</v>
      </c>
      <c r="O124">
        <v>1554.0783933599998</v>
      </c>
      <c r="P124">
        <v>868.01985936000517</v>
      </c>
      <c r="Q124">
        <v>0</v>
      </c>
      <c r="R124">
        <v>0</v>
      </c>
    </row>
    <row r="125" spans="1:18" x14ac:dyDescent="0.25">
      <c r="A125" t="s">
        <v>1</v>
      </c>
      <c r="B125" t="s">
        <v>59</v>
      </c>
      <c r="C125" t="s">
        <v>60</v>
      </c>
      <c r="D125">
        <v>1</v>
      </c>
      <c r="E125" t="s">
        <v>65</v>
      </c>
      <c r="F125">
        <v>2025</v>
      </c>
      <c r="G125" t="s">
        <v>2</v>
      </c>
      <c r="H125">
        <v>1264.1888750399999</v>
      </c>
      <c r="I125">
        <v>0</v>
      </c>
      <c r="J125">
        <v>5336.8446384000063</v>
      </c>
      <c r="K125">
        <v>0</v>
      </c>
      <c r="L125">
        <v>0</v>
      </c>
      <c r="M125">
        <v>1104.2794341599999</v>
      </c>
      <c r="N125">
        <v>0</v>
      </c>
      <c r="O125">
        <v>872.65720656000008</v>
      </c>
      <c r="P125">
        <v>865.64822040000513</v>
      </c>
      <c r="Q125">
        <v>0</v>
      </c>
      <c r="R125">
        <v>0</v>
      </c>
    </row>
    <row r="126" spans="1:18" x14ac:dyDescent="0.25">
      <c r="A126" t="s">
        <v>1</v>
      </c>
      <c r="B126" t="s">
        <v>59</v>
      </c>
      <c r="C126" t="s">
        <v>60</v>
      </c>
      <c r="D126">
        <v>1</v>
      </c>
      <c r="E126" t="s">
        <v>65</v>
      </c>
      <c r="F126">
        <v>2026</v>
      </c>
      <c r="G126" t="s">
        <v>2</v>
      </c>
      <c r="H126">
        <v>3402.53970192</v>
      </c>
      <c r="I126">
        <v>0</v>
      </c>
      <c r="J126">
        <v>5912.4227160000091</v>
      </c>
      <c r="K126">
        <v>0</v>
      </c>
      <c r="L126">
        <v>0</v>
      </c>
      <c r="M126">
        <v>2268.1356290399999</v>
      </c>
      <c r="N126">
        <v>0</v>
      </c>
      <c r="O126">
        <v>0</v>
      </c>
      <c r="P126">
        <v>935.9297879999956</v>
      </c>
      <c r="Q126">
        <v>0</v>
      </c>
      <c r="R126">
        <v>0</v>
      </c>
    </row>
    <row r="127" spans="1:18" x14ac:dyDescent="0.25">
      <c r="A127" t="s">
        <v>1</v>
      </c>
      <c r="B127" t="s">
        <v>59</v>
      </c>
      <c r="C127" t="s">
        <v>60</v>
      </c>
      <c r="D127">
        <v>1</v>
      </c>
      <c r="E127" t="s">
        <v>65</v>
      </c>
      <c r="F127">
        <v>2027</v>
      </c>
      <c r="G127" t="s">
        <v>2</v>
      </c>
      <c r="H127">
        <v>5552.9303208000001</v>
      </c>
      <c r="I127">
        <v>0</v>
      </c>
      <c r="J127">
        <v>6466.4808900000189</v>
      </c>
      <c r="K127">
        <v>0</v>
      </c>
      <c r="L127">
        <v>0</v>
      </c>
      <c r="M127">
        <v>176.06204112</v>
      </c>
      <c r="N127">
        <v>0</v>
      </c>
      <c r="O127">
        <v>2345.74422</v>
      </c>
      <c r="P127">
        <v>1002.9393204000016</v>
      </c>
      <c r="Q127">
        <v>0</v>
      </c>
      <c r="R127">
        <v>0</v>
      </c>
    </row>
    <row r="128" spans="1:18" x14ac:dyDescent="0.25">
      <c r="A128" t="s">
        <v>1</v>
      </c>
      <c r="B128" t="s">
        <v>59</v>
      </c>
      <c r="C128" t="s">
        <v>60</v>
      </c>
      <c r="D128">
        <v>1</v>
      </c>
      <c r="E128" t="s">
        <v>65</v>
      </c>
      <c r="F128">
        <v>2028</v>
      </c>
      <c r="G128" t="s">
        <v>2</v>
      </c>
      <c r="H128">
        <v>7359.7328253600008</v>
      </c>
      <c r="I128">
        <v>0</v>
      </c>
      <c r="J128">
        <v>8009.3995617599539</v>
      </c>
      <c r="K128">
        <v>0</v>
      </c>
      <c r="L128">
        <v>0</v>
      </c>
      <c r="M128">
        <v>2740.74252024</v>
      </c>
      <c r="N128">
        <v>0</v>
      </c>
      <c r="O128">
        <v>0</v>
      </c>
      <c r="P128">
        <v>1130.0615999999952</v>
      </c>
      <c r="Q128">
        <v>0</v>
      </c>
      <c r="R128">
        <v>0</v>
      </c>
    </row>
    <row r="129" spans="1:18" x14ac:dyDescent="0.25">
      <c r="A129" t="s">
        <v>1</v>
      </c>
      <c r="B129" t="s">
        <v>59</v>
      </c>
      <c r="C129" t="s">
        <v>60</v>
      </c>
      <c r="D129">
        <v>1</v>
      </c>
      <c r="E129" t="s">
        <v>65</v>
      </c>
      <c r="F129">
        <v>2029</v>
      </c>
      <c r="G129" t="s">
        <v>2</v>
      </c>
      <c r="H129">
        <v>9449.2340543999999</v>
      </c>
      <c r="I129">
        <v>0</v>
      </c>
      <c r="J129">
        <v>7987.5159563999541</v>
      </c>
      <c r="K129">
        <v>0</v>
      </c>
      <c r="L129">
        <v>0</v>
      </c>
      <c r="M129">
        <v>2930.7470378399998</v>
      </c>
      <c r="N129">
        <v>0</v>
      </c>
      <c r="O129">
        <v>0</v>
      </c>
      <c r="P129">
        <v>1126.9739999999952</v>
      </c>
      <c r="Q129">
        <v>0</v>
      </c>
      <c r="R129">
        <v>0</v>
      </c>
    </row>
    <row r="130" spans="1:18" x14ac:dyDescent="0.25">
      <c r="A130" t="s">
        <v>1</v>
      </c>
      <c r="B130" t="s">
        <v>59</v>
      </c>
      <c r="C130" t="s">
        <v>60</v>
      </c>
      <c r="D130">
        <v>1</v>
      </c>
      <c r="E130" t="s">
        <v>65</v>
      </c>
      <c r="F130">
        <v>2030</v>
      </c>
      <c r="G130" t="s">
        <v>2</v>
      </c>
      <c r="H130">
        <v>12222.17081784</v>
      </c>
      <c r="I130">
        <v>0</v>
      </c>
      <c r="J130">
        <v>7987.5159563999541</v>
      </c>
      <c r="K130">
        <v>0</v>
      </c>
      <c r="L130">
        <v>0</v>
      </c>
      <c r="M130">
        <v>3095.5928930399996</v>
      </c>
      <c r="N130">
        <v>57.496522799999767</v>
      </c>
      <c r="O130">
        <v>0</v>
      </c>
      <c r="P130">
        <v>1126.9739999999952</v>
      </c>
      <c r="Q130">
        <v>0</v>
      </c>
      <c r="R130">
        <v>0</v>
      </c>
    </row>
    <row r="131" spans="1:18" x14ac:dyDescent="0.25">
      <c r="A131" t="s">
        <v>1</v>
      </c>
      <c r="B131" t="s">
        <v>59</v>
      </c>
      <c r="C131" t="s">
        <v>60</v>
      </c>
      <c r="D131">
        <v>1</v>
      </c>
      <c r="E131" t="s">
        <v>65</v>
      </c>
      <c r="F131">
        <v>2031</v>
      </c>
      <c r="G131" t="s">
        <v>2</v>
      </c>
      <c r="H131">
        <v>11612.84175</v>
      </c>
      <c r="I131">
        <v>0</v>
      </c>
      <c r="J131">
        <v>11395.782997200098</v>
      </c>
      <c r="K131">
        <v>0</v>
      </c>
      <c r="L131">
        <v>0</v>
      </c>
      <c r="M131">
        <v>781.2307452</v>
      </c>
      <c r="N131">
        <v>112.53437639999989</v>
      </c>
      <c r="O131">
        <v>2184.73902</v>
      </c>
      <c r="P131">
        <v>1126.9739999999952</v>
      </c>
      <c r="Q131">
        <v>0</v>
      </c>
      <c r="R131">
        <v>0</v>
      </c>
    </row>
    <row r="132" spans="1:18" x14ac:dyDescent="0.25">
      <c r="A132" t="s">
        <v>1</v>
      </c>
      <c r="B132" t="s">
        <v>59</v>
      </c>
      <c r="C132" t="s">
        <v>60</v>
      </c>
      <c r="D132">
        <v>1</v>
      </c>
      <c r="E132" t="s">
        <v>65</v>
      </c>
      <c r="F132">
        <v>2032</v>
      </c>
      <c r="G132" t="s">
        <v>2</v>
      </c>
      <c r="H132">
        <v>15082.715803200001</v>
      </c>
      <c r="I132">
        <v>0</v>
      </c>
      <c r="J132">
        <v>11427.004320480099</v>
      </c>
      <c r="K132">
        <v>0</v>
      </c>
      <c r="L132">
        <v>0</v>
      </c>
      <c r="M132">
        <v>2891.5678588800001</v>
      </c>
      <c r="N132">
        <v>170.48804112000025</v>
      </c>
      <c r="O132">
        <v>0</v>
      </c>
      <c r="P132">
        <v>1130.0615999999952</v>
      </c>
      <c r="Q132">
        <v>0</v>
      </c>
      <c r="R132">
        <v>0</v>
      </c>
    </row>
    <row r="133" spans="1:18" x14ac:dyDescent="0.25">
      <c r="A133" t="s">
        <v>1</v>
      </c>
      <c r="B133" t="s">
        <v>59</v>
      </c>
      <c r="C133" t="s">
        <v>60</v>
      </c>
      <c r="D133">
        <v>1</v>
      </c>
      <c r="E133" t="s">
        <v>65</v>
      </c>
      <c r="F133">
        <v>2033</v>
      </c>
      <c r="G133" t="s">
        <v>2</v>
      </c>
      <c r="H133">
        <v>14581.30444704</v>
      </c>
      <c r="I133">
        <v>2828.6157384000057</v>
      </c>
      <c r="J133">
        <v>11395.782997200098</v>
      </c>
      <c r="K133">
        <v>0</v>
      </c>
      <c r="L133">
        <v>0</v>
      </c>
      <c r="M133">
        <v>2719.7500598400002</v>
      </c>
      <c r="N133">
        <v>215.50940280000196</v>
      </c>
      <c r="O133">
        <v>0</v>
      </c>
      <c r="P133">
        <v>1126.9739999999952</v>
      </c>
      <c r="Q133">
        <v>0</v>
      </c>
      <c r="R133">
        <v>0</v>
      </c>
    </row>
    <row r="134" spans="1:18" x14ac:dyDescent="0.25">
      <c r="A134" t="s">
        <v>1</v>
      </c>
      <c r="B134" t="s">
        <v>59</v>
      </c>
      <c r="C134" t="s">
        <v>60</v>
      </c>
      <c r="D134">
        <v>1</v>
      </c>
      <c r="E134" t="s">
        <v>65</v>
      </c>
      <c r="F134">
        <v>2034</v>
      </c>
      <c r="G134" t="s">
        <v>2</v>
      </c>
      <c r="H134">
        <v>10340.50474344</v>
      </c>
      <c r="I134">
        <v>10057.348904399947</v>
      </c>
      <c r="J134">
        <v>11395.782997200098</v>
      </c>
      <c r="K134">
        <v>0</v>
      </c>
      <c r="L134">
        <v>0</v>
      </c>
      <c r="M134">
        <v>2606.5727745600002</v>
      </c>
      <c r="N134">
        <v>264.47018159999999</v>
      </c>
      <c r="O134">
        <v>0</v>
      </c>
      <c r="P134">
        <v>1126.9739999999952</v>
      </c>
      <c r="Q134">
        <v>0</v>
      </c>
      <c r="R134">
        <v>0</v>
      </c>
    </row>
    <row r="135" spans="1:18" x14ac:dyDescent="0.25">
      <c r="A135" t="s">
        <v>1</v>
      </c>
      <c r="B135" t="s">
        <v>59</v>
      </c>
      <c r="C135" t="s">
        <v>60</v>
      </c>
      <c r="D135">
        <v>1</v>
      </c>
      <c r="E135" t="s">
        <v>65</v>
      </c>
      <c r="F135">
        <v>2035</v>
      </c>
      <c r="G135" t="s">
        <v>2</v>
      </c>
      <c r="H135">
        <v>13417.727108159999</v>
      </c>
      <c r="I135">
        <v>10057.348904399947</v>
      </c>
      <c r="J135">
        <v>11395.782997200098</v>
      </c>
      <c r="K135">
        <v>0</v>
      </c>
      <c r="L135">
        <v>0</v>
      </c>
      <c r="M135">
        <v>457.87879056000003</v>
      </c>
      <c r="N135">
        <v>311.95822919999961</v>
      </c>
      <c r="O135">
        <v>2042.03586</v>
      </c>
      <c r="P135">
        <v>1126.9739999999952</v>
      </c>
      <c r="Q135">
        <v>0</v>
      </c>
      <c r="R135">
        <v>0</v>
      </c>
    </row>
    <row r="136" spans="1:18" x14ac:dyDescent="0.25">
      <c r="A136" t="s">
        <v>1</v>
      </c>
      <c r="B136" t="s">
        <v>59</v>
      </c>
      <c r="C136" t="s">
        <v>60</v>
      </c>
      <c r="D136">
        <v>1</v>
      </c>
      <c r="E136" t="s">
        <v>65</v>
      </c>
      <c r="F136">
        <v>2036</v>
      </c>
      <c r="G136" t="s">
        <v>2</v>
      </c>
      <c r="H136">
        <v>10042.93114848</v>
      </c>
      <c r="I136">
        <v>15820.396760160114</v>
      </c>
      <c r="J136">
        <v>11427.004320480099</v>
      </c>
      <c r="K136">
        <v>0</v>
      </c>
      <c r="L136">
        <v>0</v>
      </c>
      <c r="M136">
        <v>2444.0855311199998</v>
      </c>
      <c r="N136">
        <v>364.42277424000162</v>
      </c>
      <c r="O136">
        <v>0</v>
      </c>
      <c r="P136">
        <v>1130.0615999999952</v>
      </c>
      <c r="Q136">
        <v>0</v>
      </c>
      <c r="R136">
        <v>0</v>
      </c>
    </row>
    <row r="137" spans="1:18" x14ac:dyDescent="0.25">
      <c r="A137" t="s">
        <v>1</v>
      </c>
      <c r="B137" t="s">
        <v>59</v>
      </c>
      <c r="C137" t="s">
        <v>60</v>
      </c>
      <c r="D137">
        <v>1</v>
      </c>
      <c r="E137" t="s">
        <v>65</v>
      </c>
      <c r="F137">
        <v>2037</v>
      </c>
      <c r="G137" t="s">
        <v>2</v>
      </c>
      <c r="H137">
        <v>11375.39992536</v>
      </c>
      <c r="I137">
        <v>15777.171632400114</v>
      </c>
      <c r="J137">
        <v>11395.782997200098</v>
      </c>
      <c r="K137">
        <v>0</v>
      </c>
      <c r="L137">
        <v>0</v>
      </c>
      <c r="M137">
        <v>2299.6822080000002</v>
      </c>
      <c r="N137">
        <v>401.69891039999777</v>
      </c>
      <c r="O137">
        <v>0</v>
      </c>
      <c r="P137">
        <v>1126.9739999999952</v>
      </c>
      <c r="Q137">
        <v>0</v>
      </c>
      <c r="R137">
        <v>0</v>
      </c>
    </row>
    <row r="138" spans="1:18" x14ac:dyDescent="0.25">
      <c r="A138" t="s">
        <v>1</v>
      </c>
      <c r="B138" t="s">
        <v>59</v>
      </c>
      <c r="C138" t="s">
        <v>60</v>
      </c>
      <c r="D138">
        <v>1</v>
      </c>
      <c r="E138" t="s">
        <v>65</v>
      </c>
      <c r="F138">
        <v>2038</v>
      </c>
      <c r="G138" t="s">
        <v>2</v>
      </c>
      <c r="H138">
        <v>7423.1614499999996</v>
      </c>
      <c r="I138">
        <v>15777.171632400114</v>
      </c>
      <c r="J138">
        <v>11395.782997200098</v>
      </c>
      <c r="K138">
        <v>0</v>
      </c>
      <c r="L138">
        <v>5861.6183951999501</v>
      </c>
      <c r="M138">
        <v>2202.3766058400001</v>
      </c>
      <c r="N138">
        <v>443.11802999999998</v>
      </c>
      <c r="O138">
        <v>0</v>
      </c>
      <c r="P138">
        <v>1126.9739999999952</v>
      </c>
      <c r="Q138">
        <v>0</v>
      </c>
      <c r="R138">
        <v>0</v>
      </c>
    </row>
    <row r="139" spans="1:18" x14ac:dyDescent="0.25">
      <c r="A139" t="s">
        <v>1</v>
      </c>
      <c r="B139" t="s">
        <v>59</v>
      </c>
      <c r="C139" t="s">
        <v>60</v>
      </c>
      <c r="D139">
        <v>1</v>
      </c>
      <c r="E139" t="s">
        <v>65</v>
      </c>
      <c r="F139">
        <v>2039</v>
      </c>
      <c r="G139" t="s">
        <v>2</v>
      </c>
      <c r="H139">
        <v>9372.8966246399996</v>
      </c>
      <c r="I139">
        <v>15777.171632400114</v>
      </c>
      <c r="J139">
        <v>11395.782997200098</v>
      </c>
      <c r="K139">
        <v>0</v>
      </c>
      <c r="L139">
        <v>5861.6183951999501</v>
      </c>
      <c r="M139">
        <v>192.839742</v>
      </c>
      <c r="N139">
        <v>481.7225616000012</v>
      </c>
      <c r="O139">
        <v>1912.5845999999999</v>
      </c>
      <c r="P139">
        <v>1126.9739999999952</v>
      </c>
      <c r="Q139">
        <v>0</v>
      </c>
      <c r="R139">
        <v>0</v>
      </c>
    </row>
    <row r="140" spans="1:18" x14ac:dyDescent="0.25">
      <c r="A140" t="s">
        <v>1</v>
      </c>
      <c r="B140" t="s">
        <v>59</v>
      </c>
      <c r="C140" t="s">
        <v>60</v>
      </c>
      <c r="D140">
        <v>1</v>
      </c>
      <c r="E140" t="s">
        <v>65</v>
      </c>
      <c r="F140">
        <v>2040</v>
      </c>
      <c r="G140" t="s">
        <v>2</v>
      </c>
      <c r="H140">
        <v>11781.75679632</v>
      </c>
      <c r="I140">
        <v>15820.396760160114</v>
      </c>
      <c r="J140">
        <v>11427.004320480099</v>
      </c>
      <c r="K140">
        <v>0</v>
      </c>
      <c r="L140">
        <v>5877.6776236799496</v>
      </c>
      <c r="M140">
        <v>2056.7046007200001</v>
      </c>
      <c r="N140">
        <v>527.39021807999723</v>
      </c>
      <c r="O140">
        <v>0</v>
      </c>
      <c r="P140">
        <v>1130.0615999999952</v>
      </c>
      <c r="Q140">
        <v>0</v>
      </c>
      <c r="R140">
        <v>0</v>
      </c>
    </row>
    <row r="141" spans="1:18" x14ac:dyDescent="0.25">
      <c r="A141" t="s">
        <v>1</v>
      </c>
      <c r="B141" t="s">
        <v>59</v>
      </c>
      <c r="C141" t="s">
        <v>60</v>
      </c>
      <c r="D141">
        <v>1</v>
      </c>
      <c r="E141" t="s">
        <v>65</v>
      </c>
      <c r="F141">
        <v>2041</v>
      </c>
      <c r="G141" t="s">
        <v>2</v>
      </c>
      <c r="H141">
        <v>4467.9152700000004</v>
      </c>
      <c r="I141">
        <v>15777.171632400114</v>
      </c>
      <c r="J141">
        <v>11395.782997200098</v>
      </c>
      <c r="K141">
        <v>0</v>
      </c>
      <c r="L141">
        <v>14761.158450000019</v>
      </c>
      <c r="M141">
        <v>1932.17690472</v>
      </c>
      <c r="N141">
        <v>557.27589720000265</v>
      </c>
      <c r="O141">
        <v>0</v>
      </c>
      <c r="P141">
        <v>1126.9739999999952</v>
      </c>
      <c r="Q141">
        <v>0</v>
      </c>
      <c r="R141">
        <v>0</v>
      </c>
    </row>
    <row r="142" spans="1:18" x14ac:dyDescent="0.25">
      <c r="A142" t="s">
        <v>1</v>
      </c>
      <c r="B142" t="s">
        <v>59</v>
      </c>
      <c r="C142" t="s">
        <v>60</v>
      </c>
      <c r="D142">
        <v>1</v>
      </c>
      <c r="E142" t="s">
        <v>65</v>
      </c>
      <c r="F142">
        <v>2042</v>
      </c>
      <c r="G142" t="s">
        <v>2</v>
      </c>
      <c r="H142">
        <v>6555.7939336799991</v>
      </c>
      <c r="I142">
        <v>15777.171632400114</v>
      </c>
      <c r="J142">
        <v>11395.782997200098</v>
      </c>
      <c r="K142">
        <v>0</v>
      </c>
      <c r="L142">
        <v>14761.158450000019</v>
      </c>
      <c r="M142">
        <v>1064.5415642400001</v>
      </c>
      <c r="N142">
        <v>1385.3656176000052</v>
      </c>
      <c r="O142">
        <v>0</v>
      </c>
      <c r="P142">
        <v>1126.9739999999952</v>
      </c>
      <c r="Q142">
        <v>0</v>
      </c>
      <c r="R142">
        <v>0</v>
      </c>
    </row>
    <row r="143" spans="1:18" x14ac:dyDescent="0.25">
      <c r="A143" t="s">
        <v>1</v>
      </c>
      <c r="B143" t="s">
        <v>59</v>
      </c>
      <c r="C143" t="s">
        <v>60</v>
      </c>
      <c r="D143">
        <v>1</v>
      </c>
      <c r="E143" t="s">
        <v>65</v>
      </c>
      <c r="F143">
        <v>2043</v>
      </c>
      <c r="G143" t="s">
        <v>2</v>
      </c>
      <c r="H143">
        <v>8627.3874031199994</v>
      </c>
      <c r="I143">
        <v>15777.171632400114</v>
      </c>
      <c r="J143">
        <v>11395.782997200098</v>
      </c>
      <c r="K143">
        <v>0</v>
      </c>
      <c r="L143">
        <v>14761.158450000019</v>
      </c>
      <c r="M143">
        <v>0</v>
      </c>
      <c r="N143">
        <v>1385.3656176000052</v>
      </c>
      <c r="O143">
        <v>1061.6060116799999</v>
      </c>
      <c r="P143">
        <v>1126.9739999999952</v>
      </c>
      <c r="Q143">
        <v>0</v>
      </c>
      <c r="R143">
        <v>0</v>
      </c>
    </row>
    <row r="144" spans="1:18" x14ac:dyDescent="0.25">
      <c r="A144" t="s">
        <v>1</v>
      </c>
      <c r="B144" t="s">
        <v>59</v>
      </c>
      <c r="C144" t="s">
        <v>60</v>
      </c>
      <c r="D144">
        <v>1</v>
      </c>
      <c r="E144" t="s">
        <v>65</v>
      </c>
      <c r="F144">
        <v>2044</v>
      </c>
      <c r="G144" t="s">
        <v>2</v>
      </c>
      <c r="H144">
        <v>6062.3314305599997</v>
      </c>
      <c r="I144">
        <v>15820.396760160114</v>
      </c>
      <c r="J144">
        <v>11427.004320480099</v>
      </c>
      <c r="K144">
        <v>0</v>
      </c>
      <c r="L144">
        <v>19862.330116320005</v>
      </c>
      <c r="M144">
        <v>360.57111911999999</v>
      </c>
      <c r="N144">
        <v>1389.1611398400053</v>
      </c>
      <c r="O144">
        <v>740.85902831999999</v>
      </c>
      <c r="P144">
        <v>1130.0615999999952</v>
      </c>
      <c r="Q144">
        <v>0</v>
      </c>
      <c r="R144">
        <v>0</v>
      </c>
    </row>
    <row r="145" spans="1:18" x14ac:dyDescent="0.25">
      <c r="A145" t="s">
        <v>1</v>
      </c>
      <c r="B145" t="s">
        <v>59</v>
      </c>
      <c r="C145" t="s">
        <v>60</v>
      </c>
      <c r="D145">
        <v>1</v>
      </c>
      <c r="E145" t="s">
        <v>65</v>
      </c>
      <c r="F145">
        <v>2045</v>
      </c>
      <c r="G145" t="s">
        <v>2</v>
      </c>
      <c r="H145">
        <v>2749.7551663200002</v>
      </c>
      <c r="I145">
        <v>15777.171632400114</v>
      </c>
      <c r="J145">
        <v>11395.782997200098</v>
      </c>
      <c r="K145">
        <v>0</v>
      </c>
      <c r="L145">
        <v>24815.208426000161</v>
      </c>
      <c r="M145">
        <v>1054.6783716</v>
      </c>
      <c r="N145">
        <v>1385.3656176000052</v>
      </c>
      <c r="O145">
        <v>0</v>
      </c>
      <c r="P145">
        <v>1126.9739999999952</v>
      </c>
      <c r="Q145">
        <v>0</v>
      </c>
      <c r="R145">
        <v>0</v>
      </c>
    </row>
    <row r="146" spans="1:18" x14ac:dyDescent="0.25">
      <c r="A146" t="s">
        <v>1</v>
      </c>
      <c r="B146" t="s">
        <v>59</v>
      </c>
      <c r="C146" t="s">
        <v>60</v>
      </c>
      <c r="D146">
        <v>1</v>
      </c>
      <c r="E146" t="s">
        <v>65</v>
      </c>
      <c r="F146">
        <v>2046</v>
      </c>
      <c r="G146" t="s">
        <v>2</v>
      </c>
      <c r="H146">
        <v>4938.0558552000002</v>
      </c>
      <c r="I146">
        <v>15777.171632400114</v>
      </c>
      <c r="J146">
        <v>11395.782997200098</v>
      </c>
      <c r="K146">
        <v>0</v>
      </c>
      <c r="L146">
        <v>24815.208426000161</v>
      </c>
      <c r="M146">
        <v>1044.8922184799999</v>
      </c>
      <c r="N146">
        <v>1385.3656176000052</v>
      </c>
      <c r="O146">
        <v>0</v>
      </c>
      <c r="P146">
        <v>1126.9739999999952</v>
      </c>
      <c r="Q146">
        <v>0</v>
      </c>
      <c r="R146">
        <v>0</v>
      </c>
    </row>
    <row r="147" spans="1:18" x14ac:dyDescent="0.25">
      <c r="A147" t="s">
        <v>1</v>
      </c>
      <c r="B147" t="s">
        <v>59</v>
      </c>
      <c r="C147" t="s">
        <v>60</v>
      </c>
      <c r="D147">
        <v>1</v>
      </c>
      <c r="E147" t="s">
        <v>65</v>
      </c>
      <c r="F147">
        <v>2047</v>
      </c>
      <c r="G147" t="s">
        <v>2</v>
      </c>
      <c r="H147">
        <v>7135.4261448000007</v>
      </c>
      <c r="I147">
        <v>15777.171632400114</v>
      </c>
      <c r="J147">
        <v>11395.782997200098</v>
      </c>
      <c r="K147">
        <v>0</v>
      </c>
      <c r="L147">
        <v>24815.208426000161</v>
      </c>
      <c r="M147">
        <v>0</v>
      </c>
      <c r="N147">
        <v>1385.3656176000052</v>
      </c>
      <c r="O147">
        <v>1033.4517009599999</v>
      </c>
      <c r="P147">
        <v>1126.9739999999952</v>
      </c>
      <c r="Q147">
        <v>0</v>
      </c>
      <c r="R147">
        <v>0</v>
      </c>
    </row>
    <row r="148" spans="1:18" x14ac:dyDescent="0.25">
      <c r="A148" t="s">
        <v>1</v>
      </c>
      <c r="B148" t="s">
        <v>59</v>
      </c>
      <c r="C148" t="s">
        <v>60</v>
      </c>
      <c r="D148">
        <v>1</v>
      </c>
      <c r="E148" t="s">
        <v>65</v>
      </c>
      <c r="F148">
        <v>2048</v>
      </c>
      <c r="G148" t="s">
        <v>2</v>
      </c>
      <c r="H148">
        <v>0</v>
      </c>
      <c r="I148">
        <v>15820.396760160114</v>
      </c>
      <c r="J148">
        <v>11427.004320480099</v>
      </c>
      <c r="K148">
        <v>0</v>
      </c>
      <c r="L148">
        <v>34605.105053760075</v>
      </c>
      <c r="M148">
        <v>397.43762375999995</v>
      </c>
      <c r="N148">
        <v>1389.1611398400053</v>
      </c>
      <c r="O148">
        <v>666.80501903999993</v>
      </c>
      <c r="P148">
        <v>1130.0615999999952</v>
      </c>
      <c r="Q148">
        <v>0</v>
      </c>
      <c r="R148">
        <v>0</v>
      </c>
    </row>
    <row r="149" spans="1:18" x14ac:dyDescent="0.25">
      <c r="A149" t="s">
        <v>1</v>
      </c>
      <c r="B149" t="s">
        <v>59</v>
      </c>
      <c r="C149" t="s">
        <v>60</v>
      </c>
      <c r="D149">
        <v>1</v>
      </c>
      <c r="E149" t="s">
        <v>65</v>
      </c>
      <c r="F149">
        <v>2049</v>
      </c>
      <c r="G149" t="s">
        <v>2</v>
      </c>
      <c r="H149">
        <v>0</v>
      </c>
      <c r="I149">
        <v>15777.171632400114</v>
      </c>
      <c r="J149">
        <v>11395.782997200098</v>
      </c>
      <c r="K149">
        <v>0</v>
      </c>
      <c r="L149">
        <v>36464.430487199788</v>
      </c>
      <c r="M149">
        <v>3.6757358399999998</v>
      </c>
      <c r="N149">
        <v>1385.3656176000052</v>
      </c>
      <c r="O149">
        <v>0</v>
      </c>
      <c r="P149">
        <v>1126.9739999999952</v>
      </c>
      <c r="Q149">
        <v>0</v>
      </c>
      <c r="R149">
        <v>1016.5162691999947</v>
      </c>
    </row>
    <row r="150" spans="1:18" x14ac:dyDescent="0.25">
      <c r="A150" t="s">
        <v>1</v>
      </c>
      <c r="B150" t="s">
        <v>59</v>
      </c>
      <c r="C150" t="s">
        <v>60</v>
      </c>
      <c r="D150">
        <v>1</v>
      </c>
      <c r="E150" t="s">
        <v>65</v>
      </c>
      <c r="F150">
        <v>2050</v>
      </c>
      <c r="G150" t="s">
        <v>2</v>
      </c>
      <c r="H150">
        <v>0</v>
      </c>
      <c r="I150">
        <v>15777.171632400114</v>
      </c>
      <c r="J150">
        <v>11395.782997200098</v>
      </c>
      <c r="K150">
        <v>0</v>
      </c>
      <c r="L150">
        <v>38864.362572960221</v>
      </c>
      <c r="M150">
        <v>0</v>
      </c>
      <c r="N150">
        <v>1385.3656176000052</v>
      </c>
      <c r="O150">
        <v>0</v>
      </c>
      <c r="P150">
        <v>1126.9739999999952</v>
      </c>
      <c r="Q150">
        <v>0</v>
      </c>
      <c r="R150">
        <v>1016.5162691999947</v>
      </c>
    </row>
    <row r="151" spans="1:18" x14ac:dyDescent="0.25">
      <c r="A151" t="s">
        <v>1</v>
      </c>
      <c r="B151" t="s">
        <v>59</v>
      </c>
      <c r="C151" t="s">
        <v>60</v>
      </c>
      <c r="D151">
        <v>1</v>
      </c>
      <c r="E151" t="s">
        <v>65</v>
      </c>
      <c r="F151">
        <v>2051</v>
      </c>
      <c r="G151" t="s">
        <v>2</v>
      </c>
      <c r="H151">
        <v>0</v>
      </c>
      <c r="I151">
        <v>15777.171632400114</v>
      </c>
      <c r="J151">
        <v>11395.782997200098</v>
      </c>
      <c r="K151">
        <v>0</v>
      </c>
      <c r="L151">
        <v>38864.362572960221</v>
      </c>
      <c r="M151">
        <v>0</v>
      </c>
      <c r="N151">
        <v>1385.3656176000052</v>
      </c>
      <c r="O151">
        <v>0</v>
      </c>
      <c r="P151">
        <v>1126.9739999999952</v>
      </c>
      <c r="Q151">
        <v>0</v>
      </c>
      <c r="R151">
        <v>1016.5162691999947</v>
      </c>
    </row>
    <row r="152" spans="1:18" x14ac:dyDescent="0.25">
      <c r="A152" t="s">
        <v>1</v>
      </c>
      <c r="B152" t="s">
        <v>59</v>
      </c>
      <c r="C152" t="s">
        <v>60</v>
      </c>
      <c r="D152">
        <v>1</v>
      </c>
      <c r="E152" t="s">
        <v>66</v>
      </c>
      <c r="F152">
        <v>2022</v>
      </c>
      <c r="G152" t="s">
        <v>2</v>
      </c>
      <c r="H152" s="3">
        <v>0</v>
      </c>
      <c r="I152" s="3">
        <v>0</v>
      </c>
      <c r="J152" s="2">
        <v>1801.964412</v>
      </c>
      <c r="K152" s="3">
        <v>0</v>
      </c>
      <c r="L152" s="3">
        <v>0</v>
      </c>
      <c r="M152" s="3">
        <v>0</v>
      </c>
      <c r="N152" s="3">
        <v>0</v>
      </c>
      <c r="O152" s="3">
        <v>0</v>
      </c>
      <c r="P152" s="3">
        <v>258.33432720000002</v>
      </c>
      <c r="Q152" s="3">
        <v>0</v>
      </c>
      <c r="R152" s="3">
        <v>0</v>
      </c>
    </row>
    <row r="153" spans="1:18" x14ac:dyDescent="0.25">
      <c r="A153" t="s">
        <v>1</v>
      </c>
      <c r="B153" t="s">
        <v>59</v>
      </c>
      <c r="C153" t="s">
        <v>60</v>
      </c>
      <c r="D153">
        <v>1</v>
      </c>
      <c r="E153" t="s">
        <v>66</v>
      </c>
      <c r="F153">
        <v>2023</v>
      </c>
      <c r="G153" t="s">
        <v>2</v>
      </c>
      <c r="H153" s="3">
        <v>0</v>
      </c>
      <c r="I153" s="3">
        <v>0</v>
      </c>
      <c r="J153" s="2">
        <v>4166.4454788000003</v>
      </c>
      <c r="K153" s="3">
        <v>0</v>
      </c>
      <c r="L153" s="3">
        <v>0</v>
      </c>
      <c r="M153" s="3">
        <v>0</v>
      </c>
      <c r="N153" s="3">
        <v>0</v>
      </c>
      <c r="O153" s="3">
        <v>897.83990519999998</v>
      </c>
      <c r="P153" s="3">
        <v>874.69721279999999</v>
      </c>
      <c r="Q153" s="3">
        <v>0</v>
      </c>
      <c r="R153" s="3">
        <v>0</v>
      </c>
    </row>
    <row r="154" spans="1:18" x14ac:dyDescent="0.25">
      <c r="A154" t="s">
        <v>1</v>
      </c>
      <c r="B154" t="s">
        <v>59</v>
      </c>
      <c r="C154" t="s">
        <v>60</v>
      </c>
      <c r="D154">
        <v>1</v>
      </c>
      <c r="E154" t="s">
        <v>66</v>
      </c>
      <c r="F154">
        <v>2024</v>
      </c>
      <c r="G154" t="s">
        <v>2</v>
      </c>
      <c r="H154" s="3">
        <v>0</v>
      </c>
      <c r="I154" s="3">
        <v>0</v>
      </c>
      <c r="J154" s="2">
        <v>4177.8603979199997</v>
      </c>
      <c r="K154" s="3">
        <v>0</v>
      </c>
      <c r="L154" s="3">
        <v>0</v>
      </c>
      <c r="M154" s="3">
        <v>0</v>
      </c>
      <c r="N154" s="3">
        <v>0</v>
      </c>
      <c r="O154" s="2">
        <v>1566.29260776</v>
      </c>
      <c r="P154" s="3">
        <v>877.09364352</v>
      </c>
      <c r="Q154" s="3">
        <v>0</v>
      </c>
      <c r="R154" s="3">
        <v>0</v>
      </c>
    </row>
    <row r="155" spans="1:18" x14ac:dyDescent="0.25">
      <c r="A155" t="s">
        <v>1</v>
      </c>
      <c r="B155" t="s">
        <v>59</v>
      </c>
      <c r="C155" t="s">
        <v>60</v>
      </c>
      <c r="D155">
        <v>1</v>
      </c>
      <c r="E155" t="s">
        <v>66</v>
      </c>
      <c r="F155">
        <v>2025</v>
      </c>
      <c r="G155" t="s">
        <v>2</v>
      </c>
      <c r="H155" s="3">
        <v>0</v>
      </c>
      <c r="I155" s="3">
        <v>0</v>
      </c>
      <c r="J155" s="2">
        <v>5360.8231236000001</v>
      </c>
      <c r="K155" s="3">
        <v>0</v>
      </c>
      <c r="L155" s="3">
        <v>0</v>
      </c>
      <c r="M155" s="2">
        <v>1102.05355872</v>
      </c>
      <c r="N155" s="3">
        <v>0</v>
      </c>
      <c r="O155" s="3">
        <v>847.34612712000001</v>
      </c>
      <c r="P155" s="3">
        <v>874.69721279999999</v>
      </c>
      <c r="Q155" s="3">
        <v>0</v>
      </c>
      <c r="R155" s="3">
        <v>0</v>
      </c>
    </row>
    <row r="156" spans="1:18" x14ac:dyDescent="0.25">
      <c r="A156" t="s">
        <v>1</v>
      </c>
      <c r="B156" t="s">
        <v>59</v>
      </c>
      <c r="C156" t="s">
        <v>60</v>
      </c>
      <c r="D156">
        <v>1</v>
      </c>
      <c r="E156" t="s">
        <v>66</v>
      </c>
      <c r="F156">
        <v>2026</v>
      </c>
      <c r="G156" t="s">
        <v>2</v>
      </c>
      <c r="H156" s="3">
        <v>205.83872400000001</v>
      </c>
      <c r="I156" s="3">
        <v>0</v>
      </c>
      <c r="J156" s="2">
        <v>5888.5245599999998</v>
      </c>
      <c r="K156" s="3">
        <v>0</v>
      </c>
      <c r="L156" s="3">
        <v>0</v>
      </c>
      <c r="M156" s="2">
        <v>2158.7293872</v>
      </c>
      <c r="N156" s="3">
        <v>0</v>
      </c>
      <c r="O156" s="3">
        <v>0</v>
      </c>
      <c r="P156" s="3">
        <v>940.1958204</v>
      </c>
      <c r="Q156" s="3">
        <v>0</v>
      </c>
      <c r="R156" s="3">
        <v>0</v>
      </c>
    </row>
    <row r="157" spans="1:18" x14ac:dyDescent="0.25">
      <c r="A157" t="s">
        <v>1</v>
      </c>
      <c r="B157" t="s">
        <v>59</v>
      </c>
      <c r="C157" t="s">
        <v>60</v>
      </c>
      <c r="D157">
        <v>1</v>
      </c>
      <c r="E157" t="s">
        <v>66</v>
      </c>
      <c r="F157">
        <v>2027</v>
      </c>
      <c r="G157" t="s">
        <v>2</v>
      </c>
      <c r="H157" s="2">
        <v>1265.7635560799999</v>
      </c>
      <c r="I157" s="3">
        <v>0</v>
      </c>
      <c r="J157" s="2">
        <v>6388.9870392000003</v>
      </c>
      <c r="K157" s="3">
        <v>0</v>
      </c>
      <c r="L157" s="3">
        <v>0</v>
      </c>
      <c r="M157" s="3">
        <v>62.134259759999999</v>
      </c>
      <c r="N157" s="3">
        <v>0</v>
      </c>
      <c r="O157" s="2">
        <v>2273.65416</v>
      </c>
      <c r="P157" s="2">
        <v>1001.8508028</v>
      </c>
      <c r="Q157" s="3">
        <v>0</v>
      </c>
      <c r="R157" s="3">
        <v>0</v>
      </c>
    </row>
    <row r="158" spans="1:18" x14ac:dyDescent="0.25">
      <c r="A158" t="s">
        <v>1</v>
      </c>
      <c r="B158" t="s">
        <v>59</v>
      </c>
      <c r="C158" t="s">
        <v>60</v>
      </c>
      <c r="D158">
        <v>1</v>
      </c>
      <c r="E158" t="s">
        <v>66</v>
      </c>
      <c r="F158">
        <v>2028</v>
      </c>
      <c r="G158" t="s">
        <v>2</v>
      </c>
      <c r="H158" s="2">
        <v>2123.4794436000002</v>
      </c>
      <c r="I158" s="3">
        <v>0</v>
      </c>
      <c r="J158" s="2">
        <v>7732.57048416</v>
      </c>
      <c r="K158" s="3">
        <v>0</v>
      </c>
      <c r="L158" s="3">
        <v>0</v>
      </c>
      <c r="M158" s="2">
        <v>2536.6095883200001</v>
      </c>
      <c r="N158" s="3">
        <v>0</v>
      </c>
      <c r="O158" s="3">
        <v>0</v>
      </c>
      <c r="P158" s="2">
        <v>1066.241448</v>
      </c>
      <c r="Q158" s="3">
        <v>0</v>
      </c>
      <c r="R158" s="3">
        <v>0</v>
      </c>
    </row>
    <row r="159" spans="1:18" x14ac:dyDescent="0.25">
      <c r="A159" t="s">
        <v>1</v>
      </c>
      <c r="B159" t="s">
        <v>59</v>
      </c>
      <c r="C159" t="s">
        <v>60</v>
      </c>
      <c r="D159">
        <v>1</v>
      </c>
      <c r="E159" t="s">
        <v>66</v>
      </c>
      <c r="F159">
        <v>2029</v>
      </c>
      <c r="G159" t="s">
        <v>2</v>
      </c>
      <c r="H159" s="2">
        <v>3175.53789336</v>
      </c>
      <c r="I159" s="3">
        <v>0</v>
      </c>
      <c r="J159" s="2">
        <v>7711.4432423999997</v>
      </c>
      <c r="K159" s="3">
        <v>0</v>
      </c>
      <c r="L159" s="3">
        <v>0</v>
      </c>
      <c r="M159" s="2">
        <v>2606.0283194399999</v>
      </c>
      <c r="N159" s="3">
        <v>50.431144799999998</v>
      </c>
      <c r="O159" s="3">
        <v>0</v>
      </c>
      <c r="P159" s="2">
        <v>1063.3282200000001</v>
      </c>
      <c r="Q159" s="3">
        <v>0</v>
      </c>
      <c r="R159" s="3">
        <v>0</v>
      </c>
    </row>
    <row r="160" spans="1:18" x14ac:dyDescent="0.25">
      <c r="A160" t="s">
        <v>1</v>
      </c>
      <c r="B160" t="s">
        <v>59</v>
      </c>
      <c r="C160" t="s">
        <v>60</v>
      </c>
      <c r="D160">
        <v>1</v>
      </c>
      <c r="E160" t="s">
        <v>66</v>
      </c>
      <c r="F160">
        <v>2030</v>
      </c>
      <c r="G160" t="s">
        <v>2</v>
      </c>
      <c r="H160" s="2">
        <v>4876.3696972799999</v>
      </c>
      <c r="I160" s="3">
        <v>0</v>
      </c>
      <c r="J160" s="2">
        <v>7711.4432423999997</v>
      </c>
      <c r="K160" s="3">
        <v>0</v>
      </c>
      <c r="L160" s="3">
        <v>0</v>
      </c>
      <c r="M160" s="2">
        <v>2704.8629292000001</v>
      </c>
      <c r="N160" s="3">
        <v>100.7618124</v>
      </c>
      <c r="O160" s="3">
        <v>0</v>
      </c>
      <c r="P160" s="2">
        <v>1063.3282200000001</v>
      </c>
      <c r="Q160" s="3">
        <v>0</v>
      </c>
      <c r="R160" s="3">
        <v>0</v>
      </c>
    </row>
    <row r="161" spans="1:18" x14ac:dyDescent="0.25">
      <c r="A161" t="s">
        <v>1</v>
      </c>
      <c r="B161" t="s">
        <v>59</v>
      </c>
      <c r="C161" t="s">
        <v>60</v>
      </c>
      <c r="D161">
        <v>1</v>
      </c>
      <c r="E161" t="s">
        <v>66</v>
      </c>
      <c r="F161">
        <v>2031</v>
      </c>
      <c r="G161" t="s">
        <v>2</v>
      </c>
      <c r="H161" s="2">
        <v>6210.4992103200002</v>
      </c>
      <c r="I161" s="3">
        <v>384.53982239999999</v>
      </c>
      <c r="J161" s="2">
        <v>7711.4432423999997</v>
      </c>
      <c r="K161" s="3">
        <v>0</v>
      </c>
      <c r="L161" s="3">
        <v>0</v>
      </c>
      <c r="M161" s="3">
        <v>468.82192343999998</v>
      </c>
      <c r="N161" s="3">
        <v>147.3720204</v>
      </c>
      <c r="O161" s="2">
        <v>2039.83944</v>
      </c>
      <c r="P161" s="2">
        <v>1063.3282200000001</v>
      </c>
      <c r="Q161" s="3">
        <v>0</v>
      </c>
      <c r="R161" s="3">
        <v>0</v>
      </c>
    </row>
    <row r="162" spans="1:18" x14ac:dyDescent="0.25">
      <c r="A162" t="s">
        <v>1</v>
      </c>
      <c r="B162" t="s">
        <v>59</v>
      </c>
      <c r="C162" t="s">
        <v>60</v>
      </c>
      <c r="D162">
        <v>1</v>
      </c>
      <c r="E162" t="s">
        <v>66</v>
      </c>
      <c r="F162">
        <v>2032</v>
      </c>
      <c r="G162" t="s">
        <v>2</v>
      </c>
      <c r="H162" s="2">
        <v>8114.6876172000002</v>
      </c>
      <c r="I162" s="3">
        <v>782.8208568</v>
      </c>
      <c r="J162" s="2">
        <v>7732.57048416</v>
      </c>
      <c r="K162" s="3">
        <v>0</v>
      </c>
      <c r="L162" s="3">
        <v>0</v>
      </c>
      <c r="M162" s="2">
        <v>2361.6988214399998</v>
      </c>
      <c r="N162" s="3">
        <v>195.0412536</v>
      </c>
      <c r="O162" s="3">
        <v>0</v>
      </c>
      <c r="P162" s="2">
        <v>1066.241448</v>
      </c>
      <c r="Q162" s="3">
        <v>0</v>
      </c>
      <c r="R162" s="3">
        <v>0</v>
      </c>
    </row>
    <row r="163" spans="1:18" x14ac:dyDescent="0.25">
      <c r="A163" t="s">
        <v>1</v>
      </c>
      <c r="B163" t="s">
        <v>59</v>
      </c>
      <c r="C163" t="s">
        <v>60</v>
      </c>
      <c r="D163">
        <v>1</v>
      </c>
      <c r="E163" t="s">
        <v>66</v>
      </c>
      <c r="F163">
        <v>2033</v>
      </c>
      <c r="G163" t="s">
        <v>2</v>
      </c>
      <c r="H163" s="2">
        <v>9104.0511871199997</v>
      </c>
      <c r="I163" s="2">
        <v>1074.2008691999999</v>
      </c>
      <c r="J163" s="2">
        <v>7711.4432423999997</v>
      </c>
      <c r="K163" s="3">
        <v>0</v>
      </c>
      <c r="L163" s="3">
        <v>0</v>
      </c>
      <c r="M163" s="2">
        <v>2128.5148999200001</v>
      </c>
      <c r="N163" s="3">
        <v>229.5594792</v>
      </c>
      <c r="O163" s="3">
        <v>0</v>
      </c>
      <c r="P163" s="2">
        <v>1063.3282200000001</v>
      </c>
      <c r="Q163" s="3">
        <v>0</v>
      </c>
      <c r="R163" s="3">
        <v>0</v>
      </c>
    </row>
    <row r="164" spans="1:18" x14ac:dyDescent="0.25">
      <c r="A164" t="s">
        <v>1</v>
      </c>
      <c r="B164" t="s">
        <v>59</v>
      </c>
      <c r="C164" t="s">
        <v>60</v>
      </c>
      <c r="D164">
        <v>1</v>
      </c>
      <c r="E164" t="s">
        <v>66</v>
      </c>
      <c r="F164">
        <v>2034</v>
      </c>
      <c r="G164" t="s">
        <v>2</v>
      </c>
      <c r="H164" s="2">
        <v>10635.82697448</v>
      </c>
      <c r="I164" s="2">
        <v>1374.1959168000001</v>
      </c>
      <c r="J164" s="2">
        <v>7711.4432423999997</v>
      </c>
      <c r="K164" s="3">
        <v>0</v>
      </c>
      <c r="L164" s="3">
        <v>0</v>
      </c>
      <c r="M164" s="2">
        <v>1945.19608296</v>
      </c>
      <c r="N164" s="3">
        <v>265.352664</v>
      </c>
      <c r="O164" s="3">
        <v>0</v>
      </c>
      <c r="P164" s="2">
        <v>1063.3282200000001</v>
      </c>
      <c r="Q164" s="3">
        <v>0</v>
      </c>
      <c r="R164" s="3">
        <v>0</v>
      </c>
    </row>
    <row r="165" spans="1:18" x14ac:dyDescent="0.25">
      <c r="A165" t="s">
        <v>1</v>
      </c>
      <c r="B165" t="s">
        <v>59</v>
      </c>
      <c r="C165" t="s">
        <v>60</v>
      </c>
      <c r="D165">
        <v>1</v>
      </c>
      <c r="E165" t="s">
        <v>66</v>
      </c>
      <c r="F165">
        <v>2035</v>
      </c>
      <c r="G165" t="s">
        <v>2</v>
      </c>
      <c r="H165" s="2">
        <v>12241.036278240001</v>
      </c>
      <c r="I165" s="2">
        <v>1648.5997632000001</v>
      </c>
      <c r="J165" s="2">
        <v>7711.4432423999997</v>
      </c>
      <c r="K165" s="3">
        <v>0</v>
      </c>
      <c r="L165" s="3">
        <v>0</v>
      </c>
      <c r="M165" s="3">
        <v>0</v>
      </c>
      <c r="N165" s="3">
        <v>297.6002388</v>
      </c>
      <c r="O165" s="2">
        <v>1766.12004744</v>
      </c>
      <c r="P165" s="2">
        <v>1063.3282200000001</v>
      </c>
      <c r="Q165" s="3">
        <v>0</v>
      </c>
      <c r="R165" s="3">
        <v>0</v>
      </c>
    </row>
    <row r="166" spans="1:18" x14ac:dyDescent="0.25">
      <c r="A166" t="s">
        <v>1</v>
      </c>
      <c r="B166" t="s">
        <v>59</v>
      </c>
      <c r="C166" t="s">
        <v>60</v>
      </c>
      <c r="D166">
        <v>1</v>
      </c>
      <c r="E166" t="s">
        <v>66</v>
      </c>
      <c r="F166">
        <v>2036</v>
      </c>
      <c r="G166" t="s">
        <v>2</v>
      </c>
      <c r="H166" s="2">
        <v>10924.299747360001</v>
      </c>
      <c r="I166" s="2">
        <v>4027.8193127999998</v>
      </c>
      <c r="J166" s="2">
        <v>7732.57048416</v>
      </c>
      <c r="K166" s="3">
        <v>0</v>
      </c>
      <c r="L166" s="3">
        <v>0</v>
      </c>
      <c r="M166" s="2">
        <v>1581.6762960000001</v>
      </c>
      <c r="N166" s="3">
        <v>332.06269392000002</v>
      </c>
      <c r="O166" s="3">
        <v>48.699052559999998</v>
      </c>
      <c r="P166" s="2">
        <v>1066.241448</v>
      </c>
      <c r="Q166" s="3">
        <v>0</v>
      </c>
      <c r="R166" s="3">
        <v>0</v>
      </c>
    </row>
    <row r="167" spans="1:18" x14ac:dyDescent="0.25">
      <c r="A167" t="s">
        <v>1</v>
      </c>
      <c r="B167" t="s">
        <v>59</v>
      </c>
      <c r="C167" t="s">
        <v>60</v>
      </c>
      <c r="D167">
        <v>1</v>
      </c>
      <c r="E167" t="s">
        <v>66</v>
      </c>
      <c r="F167">
        <v>2037</v>
      </c>
      <c r="G167" t="s">
        <v>2</v>
      </c>
      <c r="H167" s="2">
        <v>11100.5089032</v>
      </c>
      <c r="I167" s="2">
        <v>4016.8143420000001</v>
      </c>
      <c r="J167" s="2">
        <v>7711.4432423999997</v>
      </c>
      <c r="K167" s="3">
        <v>0</v>
      </c>
      <c r="L167" s="3">
        <v>0</v>
      </c>
      <c r="M167" s="2">
        <v>1420.96332192</v>
      </c>
      <c r="N167" s="3">
        <v>351.66389279999999</v>
      </c>
      <c r="O167" s="3">
        <v>0</v>
      </c>
      <c r="P167" s="2">
        <v>1063.3282200000001</v>
      </c>
      <c r="Q167" s="3">
        <v>0</v>
      </c>
      <c r="R167" s="3">
        <v>0</v>
      </c>
    </row>
    <row r="168" spans="1:18" x14ac:dyDescent="0.25">
      <c r="A168" t="s">
        <v>1</v>
      </c>
      <c r="B168" t="s">
        <v>59</v>
      </c>
      <c r="C168" t="s">
        <v>60</v>
      </c>
      <c r="D168">
        <v>1</v>
      </c>
      <c r="E168" t="s">
        <v>66</v>
      </c>
      <c r="F168">
        <v>2038</v>
      </c>
      <c r="G168" t="s">
        <v>2</v>
      </c>
      <c r="H168" s="2">
        <v>8198.6022525600001</v>
      </c>
      <c r="I168" s="2">
        <v>7573.3442076000001</v>
      </c>
      <c r="J168" s="2">
        <v>7711.4432423999997</v>
      </c>
      <c r="K168" s="3">
        <v>0</v>
      </c>
      <c r="L168" s="3">
        <v>0</v>
      </c>
      <c r="M168" s="2">
        <v>1254.5556048000001</v>
      </c>
      <c r="N168" s="3">
        <v>373.52552400000002</v>
      </c>
      <c r="O168" s="3">
        <v>0</v>
      </c>
      <c r="P168" s="2">
        <v>1063.3282200000001</v>
      </c>
      <c r="Q168" s="3">
        <v>0</v>
      </c>
      <c r="R168" s="3">
        <v>0</v>
      </c>
    </row>
    <row r="169" spans="1:18" x14ac:dyDescent="0.25">
      <c r="A169" t="s">
        <v>1</v>
      </c>
      <c r="B169" t="s">
        <v>59</v>
      </c>
      <c r="C169" t="s">
        <v>60</v>
      </c>
      <c r="D169">
        <v>1</v>
      </c>
      <c r="E169" t="s">
        <v>66</v>
      </c>
      <c r="F169">
        <v>2039</v>
      </c>
      <c r="G169" t="s">
        <v>2</v>
      </c>
      <c r="H169" s="2">
        <v>8872.3468439999997</v>
      </c>
      <c r="I169" s="2">
        <v>7573.3442076000001</v>
      </c>
      <c r="J169" s="2">
        <v>7711.4432423999997</v>
      </c>
      <c r="K169" s="3">
        <v>0</v>
      </c>
      <c r="L169" s="3">
        <v>0</v>
      </c>
      <c r="M169" s="3">
        <v>0</v>
      </c>
      <c r="N169" s="3">
        <v>392.04258720000001</v>
      </c>
      <c r="O169" s="2">
        <v>1092.4705387199999</v>
      </c>
      <c r="P169" s="2">
        <v>1063.3282200000001</v>
      </c>
      <c r="Q169" s="3">
        <v>0</v>
      </c>
      <c r="R169" s="3">
        <v>0</v>
      </c>
    </row>
    <row r="170" spans="1:18" x14ac:dyDescent="0.25">
      <c r="A170" t="s">
        <v>1</v>
      </c>
      <c r="B170" t="s">
        <v>59</v>
      </c>
      <c r="C170" t="s">
        <v>60</v>
      </c>
      <c r="D170">
        <v>1</v>
      </c>
      <c r="E170" t="s">
        <v>66</v>
      </c>
      <c r="F170">
        <v>2040</v>
      </c>
      <c r="G170" t="s">
        <v>2</v>
      </c>
      <c r="H170" s="2">
        <v>8386.00295568</v>
      </c>
      <c r="I170" s="2">
        <v>9160.6221691200008</v>
      </c>
      <c r="J170" s="2">
        <v>7732.57048416</v>
      </c>
      <c r="K170" s="3">
        <v>0</v>
      </c>
      <c r="L170" s="3">
        <v>0</v>
      </c>
      <c r="M170" s="3">
        <v>460.38552743999998</v>
      </c>
      <c r="N170" s="3">
        <v>413.05784976000001</v>
      </c>
      <c r="O170" s="3">
        <v>506.01928127999997</v>
      </c>
      <c r="P170" s="2">
        <v>1066.241448</v>
      </c>
      <c r="Q170" s="3">
        <v>0</v>
      </c>
      <c r="R170" s="3">
        <v>0</v>
      </c>
    </row>
    <row r="171" spans="1:18" x14ac:dyDescent="0.25">
      <c r="A171" t="s">
        <v>1</v>
      </c>
      <c r="B171" t="s">
        <v>59</v>
      </c>
      <c r="C171" t="s">
        <v>60</v>
      </c>
      <c r="D171">
        <v>1</v>
      </c>
      <c r="E171" t="s">
        <v>66</v>
      </c>
      <c r="F171">
        <v>2041</v>
      </c>
      <c r="G171" t="s">
        <v>2</v>
      </c>
      <c r="H171" s="2">
        <v>6874.0905290399996</v>
      </c>
      <c r="I171" s="2">
        <v>9135.5931467999999</v>
      </c>
      <c r="J171" s="2">
        <v>7711.4432423999997</v>
      </c>
      <c r="K171" s="3">
        <v>0</v>
      </c>
      <c r="L171" s="2">
        <v>1852.8913728</v>
      </c>
      <c r="M171" s="3">
        <v>779.52485999999999</v>
      </c>
      <c r="N171" s="3">
        <v>418.65152519999998</v>
      </c>
      <c r="O171" s="3">
        <v>0</v>
      </c>
      <c r="P171" s="2">
        <v>1063.3282200000001</v>
      </c>
      <c r="Q171" s="3">
        <v>0</v>
      </c>
      <c r="R171" s="3">
        <v>0</v>
      </c>
    </row>
    <row r="172" spans="1:18" x14ac:dyDescent="0.25">
      <c r="A172" t="s">
        <v>1</v>
      </c>
      <c r="B172" t="s">
        <v>59</v>
      </c>
      <c r="C172" t="s">
        <v>60</v>
      </c>
      <c r="D172">
        <v>1</v>
      </c>
      <c r="E172" t="s">
        <v>66</v>
      </c>
      <c r="F172">
        <v>2042</v>
      </c>
      <c r="G172" t="s">
        <v>2</v>
      </c>
      <c r="H172" s="2">
        <v>7545.3725152799998</v>
      </c>
      <c r="I172" s="2">
        <v>9135.5931467999999</v>
      </c>
      <c r="J172" s="2">
        <v>7711.4432423999997</v>
      </c>
      <c r="K172" s="3">
        <v>0</v>
      </c>
      <c r="L172" s="2">
        <v>1914.6270348</v>
      </c>
      <c r="M172" s="3">
        <v>624.3545676</v>
      </c>
      <c r="N172" s="3">
        <v>432.60147480000001</v>
      </c>
      <c r="O172" s="3">
        <v>0</v>
      </c>
      <c r="P172" s="2">
        <v>1063.3282200000001</v>
      </c>
      <c r="Q172" s="3">
        <v>0</v>
      </c>
      <c r="R172" s="3">
        <v>0</v>
      </c>
    </row>
    <row r="173" spans="1:18" x14ac:dyDescent="0.25">
      <c r="A173" t="s">
        <v>1</v>
      </c>
      <c r="B173" t="s">
        <v>59</v>
      </c>
      <c r="C173" t="s">
        <v>60</v>
      </c>
      <c r="D173">
        <v>1</v>
      </c>
      <c r="E173" t="s">
        <v>66</v>
      </c>
      <c r="F173">
        <v>2043</v>
      </c>
      <c r="G173" t="s">
        <v>2</v>
      </c>
      <c r="H173" s="2">
        <v>8284.8160336799992</v>
      </c>
      <c r="I173" s="2">
        <v>9135.5931467999999</v>
      </c>
      <c r="J173" s="2">
        <v>7711.4432423999997</v>
      </c>
      <c r="K173" s="3">
        <v>0</v>
      </c>
      <c r="L173" s="2">
        <v>1914.6270348</v>
      </c>
      <c r="M173" s="3">
        <v>0</v>
      </c>
      <c r="N173" s="3">
        <v>432.60147480000001</v>
      </c>
      <c r="O173" s="3">
        <v>517.49241624000001</v>
      </c>
      <c r="P173" s="2">
        <v>1063.3282200000001</v>
      </c>
      <c r="Q173" s="3">
        <v>0</v>
      </c>
      <c r="R173" s="3">
        <v>0</v>
      </c>
    </row>
    <row r="174" spans="1:18" x14ac:dyDescent="0.25">
      <c r="A174" t="s">
        <v>1</v>
      </c>
      <c r="B174" t="s">
        <v>59</v>
      </c>
      <c r="C174" t="s">
        <v>60</v>
      </c>
      <c r="D174">
        <v>1</v>
      </c>
      <c r="E174" t="s">
        <v>66</v>
      </c>
      <c r="F174">
        <v>2044</v>
      </c>
      <c r="G174" t="s">
        <v>2</v>
      </c>
      <c r="H174" s="2">
        <v>4332.3026387999998</v>
      </c>
      <c r="I174" s="2">
        <v>9160.6221691200008</v>
      </c>
      <c r="J174" s="2">
        <v>7732.57048416</v>
      </c>
      <c r="K174" s="3">
        <v>0</v>
      </c>
      <c r="L174" s="2">
        <v>6955.6848004800004</v>
      </c>
      <c r="M174" s="3">
        <v>0</v>
      </c>
      <c r="N174" s="3">
        <v>455.55694992000002</v>
      </c>
      <c r="O174" s="3">
        <v>420.44023872000002</v>
      </c>
      <c r="P174" s="2">
        <v>1066.241448</v>
      </c>
      <c r="Q174" s="3">
        <v>0</v>
      </c>
      <c r="R174" s="3">
        <v>0</v>
      </c>
    </row>
    <row r="175" spans="1:18" x14ac:dyDescent="0.25">
      <c r="A175" t="s">
        <v>1</v>
      </c>
      <c r="B175" t="s">
        <v>59</v>
      </c>
      <c r="C175" t="s">
        <v>60</v>
      </c>
      <c r="D175">
        <v>1</v>
      </c>
      <c r="E175" t="s">
        <v>66</v>
      </c>
      <c r="F175">
        <v>2045</v>
      </c>
      <c r="G175" t="s">
        <v>2</v>
      </c>
      <c r="H175" s="2">
        <v>4822.3553275200002</v>
      </c>
      <c r="I175" s="2">
        <v>9135.5931467999999</v>
      </c>
      <c r="J175" s="2">
        <v>7711.4432423999997</v>
      </c>
      <c r="K175" s="3">
        <v>0</v>
      </c>
      <c r="L175" s="2">
        <v>6936.6801972000003</v>
      </c>
      <c r="M175" s="3">
        <v>0</v>
      </c>
      <c r="N175" s="3">
        <v>454.3122588</v>
      </c>
      <c r="O175" s="3">
        <v>280.50176040000002</v>
      </c>
      <c r="P175" s="2">
        <v>1063.3282200000001</v>
      </c>
      <c r="Q175" s="3">
        <v>0</v>
      </c>
      <c r="R175" s="3">
        <v>0</v>
      </c>
    </row>
    <row r="176" spans="1:18" x14ac:dyDescent="0.25">
      <c r="A176" t="s">
        <v>1</v>
      </c>
      <c r="B176" t="s">
        <v>59</v>
      </c>
      <c r="C176" t="s">
        <v>60</v>
      </c>
      <c r="D176">
        <v>1</v>
      </c>
      <c r="E176" t="s">
        <v>66</v>
      </c>
      <c r="F176">
        <v>2046</v>
      </c>
      <c r="G176" t="s">
        <v>2</v>
      </c>
      <c r="H176" s="2">
        <v>5628.8016475200002</v>
      </c>
      <c r="I176" s="2">
        <v>9135.5931467999999</v>
      </c>
      <c r="J176" s="2">
        <v>7711.4432423999997</v>
      </c>
      <c r="K176" s="3">
        <v>0</v>
      </c>
      <c r="L176" s="2">
        <v>6936.6801972000003</v>
      </c>
      <c r="M176" s="3">
        <v>0</v>
      </c>
      <c r="N176" s="3">
        <v>454.3122588</v>
      </c>
      <c r="O176" s="3">
        <v>172.42318463999999</v>
      </c>
      <c r="P176" s="2">
        <v>1063.3282200000001</v>
      </c>
      <c r="Q176" s="3">
        <v>0</v>
      </c>
      <c r="R176" s="3">
        <v>0</v>
      </c>
    </row>
    <row r="177" spans="1:18" x14ac:dyDescent="0.25">
      <c r="A177" t="s">
        <v>1</v>
      </c>
      <c r="B177" t="s">
        <v>59</v>
      </c>
      <c r="C177" t="s">
        <v>60</v>
      </c>
      <c r="D177">
        <v>1</v>
      </c>
      <c r="E177" t="s">
        <v>66</v>
      </c>
      <c r="F177">
        <v>2047</v>
      </c>
      <c r="G177" t="s">
        <v>2</v>
      </c>
      <c r="H177" s="2">
        <v>6444.6803524799998</v>
      </c>
      <c r="I177" s="2">
        <v>9135.5931467999999</v>
      </c>
      <c r="J177" s="2">
        <v>7711.4432423999997</v>
      </c>
      <c r="K177" s="3">
        <v>0</v>
      </c>
      <c r="L177" s="2">
        <v>6936.6801972000003</v>
      </c>
      <c r="M177" s="3">
        <v>0</v>
      </c>
      <c r="N177" s="3">
        <v>454.3122588</v>
      </c>
      <c r="O177" s="3">
        <v>63.07808232</v>
      </c>
      <c r="P177" s="2">
        <v>1063.3282200000001</v>
      </c>
      <c r="Q177" s="3">
        <v>0</v>
      </c>
      <c r="R177" s="3">
        <v>0</v>
      </c>
    </row>
    <row r="178" spans="1:18" x14ac:dyDescent="0.25">
      <c r="A178" t="s">
        <v>1</v>
      </c>
      <c r="B178" t="s">
        <v>59</v>
      </c>
      <c r="C178" t="s">
        <v>60</v>
      </c>
      <c r="D178">
        <v>1</v>
      </c>
      <c r="E178" t="s">
        <v>66</v>
      </c>
      <c r="F178">
        <v>2048</v>
      </c>
      <c r="G178" t="s">
        <v>2</v>
      </c>
      <c r="H178" s="3">
        <v>0</v>
      </c>
      <c r="I178" s="2">
        <v>9160.6221691200008</v>
      </c>
      <c r="J178" s="2">
        <v>7732.57048416</v>
      </c>
      <c r="K178" s="3">
        <v>0</v>
      </c>
      <c r="L178" s="2">
        <v>14484.260939039999</v>
      </c>
      <c r="M178" s="3">
        <v>0</v>
      </c>
      <c r="N178" s="3">
        <v>455.55694992000002</v>
      </c>
      <c r="O178" s="3">
        <v>0</v>
      </c>
      <c r="P178" s="2">
        <v>1066.241448</v>
      </c>
      <c r="Q178" s="3">
        <v>0</v>
      </c>
      <c r="R178" s="3">
        <v>0</v>
      </c>
    </row>
    <row r="179" spans="1:18" x14ac:dyDescent="0.25">
      <c r="A179" t="s">
        <v>1</v>
      </c>
      <c r="B179" t="s">
        <v>59</v>
      </c>
      <c r="C179" t="s">
        <v>60</v>
      </c>
      <c r="D179">
        <v>1</v>
      </c>
      <c r="E179" t="s">
        <v>66</v>
      </c>
      <c r="F179">
        <v>2049</v>
      </c>
      <c r="G179" t="s">
        <v>2</v>
      </c>
      <c r="H179" s="3">
        <v>0</v>
      </c>
      <c r="I179" s="2">
        <v>9135.5931467999999</v>
      </c>
      <c r="J179" s="2">
        <v>7711.4432423999997</v>
      </c>
      <c r="K179" s="3">
        <v>0</v>
      </c>
      <c r="L179" s="2">
        <v>15056.821414800001</v>
      </c>
      <c r="M179" s="3">
        <v>0</v>
      </c>
      <c r="N179" s="3">
        <v>454.3122588</v>
      </c>
      <c r="O179" s="3">
        <v>0</v>
      </c>
      <c r="P179" s="2">
        <v>1063.3282200000001</v>
      </c>
      <c r="Q179" s="3">
        <v>0</v>
      </c>
      <c r="R179" s="3">
        <v>0</v>
      </c>
    </row>
    <row r="180" spans="1:18" x14ac:dyDescent="0.25">
      <c r="A180" t="s">
        <v>1</v>
      </c>
      <c r="B180" t="s">
        <v>59</v>
      </c>
      <c r="C180" t="s">
        <v>60</v>
      </c>
      <c r="D180">
        <v>1</v>
      </c>
      <c r="E180" t="s">
        <v>66</v>
      </c>
      <c r="F180">
        <v>2050</v>
      </c>
      <c r="G180" t="s">
        <v>2</v>
      </c>
      <c r="H180" s="3">
        <v>0</v>
      </c>
      <c r="I180" s="2">
        <v>9135.5931467999999</v>
      </c>
      <c r="J180" s="2">
        <v>7711.4432423999997</v>
      </c>
      <c r="K180" s="3">
        <v>0</v>
      </c>
      <c r="L180" s="2">
        <v>15910.4667708</v>
      </c>
      <c r="M180" s="3">
        <v>0</v>
      </c>
      <c r="N180" s="3">
        <v>454.3122588</v>
      </c>
      <c r="O180" s="3">
        <v>0</v>
      </c>
      <c r="P180" s="2">
        <v>1063.3282200000001</v>
      </c>
      <c r="Q180" s="3">
        <v>0</v>
      </c>
      <c r="R180" s="3">
        <v>0</v>
      </c>
    </row>
    <row r="181" spans="1:18" x14ac:dyDescent="0.25">
      <c r="A181" t="s">
        <v>1</v>
      </c>
      <c r="B181" t="s">
        <v>59</v>
      </c>
      <c r="C181" t="s">
        <v>60</v>
      </c>
      <c r="D181">
        <v>1</v>
      </c>
      <c r="E181" t="s">
        <v>66</v>
      </c>
      <c r="F181">
        <v>2051</v>
      </c>
      <c r="G181" t="s">
        <v>2</v>
      </c>
      <c r="H181" s="3">
        <v>0</v>
      </c>
      <c r="I181" s="2">
        <v>9135.5931467999999</v>
      </c>
      <c r="J181" s="2">
        <v>7711.4432423999997</v>
      </c>
      <c r="K181" s="3">
        <v>0</v>
      </c>
      <c r="L181" s="2">
        <v>15910.4667708</v>
      </c>
      <c r="M181" s="3">
        <v>0</v>
      </c>
      <c r="N181" s="3">
        <v>454.3122588</v>
      </c>
      <c r="O181" s="3">
        <v>0</v>
      </c>
      <c r="P181" s="2">
        <v>1063.3282200000001</v>
      </c>
      <c r="Q181" s="3">
        <v>0</v>
      </c>
      <c r="R181" s="3">
        <v>0</v>
      </c>
    </row>
    <row r="182" spans="1:18" x14ac:dyDescent="0.25">
      <c r="A182" t="s">
        <v>1</v>
      </c>
      <c r="B182" t="s">
        <v>59</v>
      </c>
      <c r="C182" t="s">
        <v>60</v>
      </c>
      <c r="D182">
        <v>1</v>
      </c>
      <c r="E182" t="s">
        <v>67</v>
      </c>
      <c r="F182">
        <v>2022</v>
      </c>
      <c r="G182" t="s">
        <v>2</v>
      </c>
      <c r="H182">
        <v>0</v>
      </c>
      <c r="I182">
        <v>0</v>
      </c>
      <c r="J182">
        <v>1801.964411999988</v>
      </c>
      <c r="K182">
        <v>0</v>
      </c>
      <c r="L182">
        <v>0</v>
      </c>
      <c r="M182">
        <v>0</v>
      </c>
      <c r="N182">
        <v>0</v>
      </c>
      <c r="O182">
        <v>0</v>
      </c>
      <c r="P182">
        <v>258.33432719999831</v>
      </c>
      <c r="Q182">
        <v>0</v>
      </c>
      <c r="R182">
        <v>0</v>
      </c>
    </row>
    <row r="183" spans="1:18" x14ac:dyDescent="0.25">
      <c r="A183" t="s">
        <v>1</v>
      </c>
      <c r="B183" t="s">
        <v>59</v>
      </c>
      <c r="C183" t="s">
        <v>60</v>
      </c>
      <c r="D183">
        <v>1</v>
      </c>
      <c r="E183" t="s">
        <v>67</v>
      </c>
      <c r="F183">
        <v>2023</v>
      </c>
      <c r="G183" t="s">
        <v>2</v>
      </c>
      <c r="H183">
        <v>0</v>
      </c>
      <c r="I183">
        <v>0</v>
      </c>
      <c r="J183">
        <v>3910.5027192000157</v>
      </c>
      <c r="K183">
        <v>0</v>
      </c>
      <c r="L183">
        <v>0</v>
      </c>
      <c r="M183">
        <v>0</v>
      </c>
      <c r="N183">
        <v>0</v>
      </c>
      <c r="O183">
        <v>800.13205175999997</v>
      </c>
      <c r="P183">
        <v>806.63376479999806</v>
      </c>
      <c r="Q183">
        <v>0</v>
      </c>
      <c r="R183">
        <v>0</v>
      </c>
    </row>
    <row r="184" spans="1:18" x14ac:dyDescent="0.25">
      <c r="A184" t="s">
        <v>1</v>
      </c>
      <c r="B184" t="s">
        <v>59</v>
      </c>
      <c r="C184" t="s">
        <v>60</v>
      </c>
      <c r="D184">
        <v>1</v>
      </c>
      <c r="E184" t="s">
        <v>67</v>
      </c>
      <c r="F184">
        <v>2024</v>
      </c>
      <c r="G184" t="s">
        <v>2</v>
      </c>
      <c r="H184">
        <v>0</v>
      </c>
      <c r="I184">
        <v>0</v>
      </c>
      <c r="J184">
        <v>3921.2164252800158</v>
      </c>
      <c r="K184">
        <v>0</v>
      </c>
      <c r="L184">
        <v>0</v>
      </c>
      <c r="M184">
        <v>0</v>
      </c>
      <c r="N184">
        <v>0</v>
      </c>
      <c r="O184">
        <v>1145.6549325599999</v>
      </c>
      <c r="P184">
        <v>808.84372031999806</v>
      </c>
      <c r="Q184">
        <v>0</v>
      </c>
      <c r="R184">
        <v>0</v>
      </c>
    </row>
    <row r="185" spans="1:18" x14ac:dyDescent="0.25">
      <c r="A185" t="s">
        <v>1</v>
      </c>
      <c r="B185" t="s">
        <v>59</v>
      </c>
      <c r="C185" t="s">
        <v>60</v>
      </c>
      <c r="D185">
        <v>1</v>
      </c>
      <c r="E185" t="s">
        <v>67</v>
      </c>
      <c r="F185">
        <v>2025</v>
      </c>
      <c r="G185" t="s">
        <v>2</v>
      </c>
      <c r="H185">
        <v>0</v>
      </c>
      <c r="I185">
        <v>0</v>
      </c>
      <c r="J185">
        <v>4843.5368015999829</v>
      </c>
      <c r="K185">
        <v>0</v>
      </c>
      <c r="L185">
        <v>0</v>
      </c>
      <c r="M185">
        <v>98.969124480000005</v>
      </c>
      <c r="N185">
        <v>0</v>
      </c>
      <c r="O185">
        <v>1181.8309358399999</v>
      </c>
      <c r="P185">
        <v>806.63376479999806</v>
      </c>
      <c r="Q185">
        <v>0</v>
      </c>
      <c r="R185">
        <v>0</v>
      </c>
    </row>
    <row r="186" spans="1:18" x14ac:dyDescent="0.25">
      <c r="A186" t="s">
        <v>1</v>
      </c>
      <c r="B186" t="s">
        <v>59</v>
      </c>
      <c r="C186" t="s">
        <v>60</v>
      </c>
      <c r="D186">
        <v>1</v>
      </c>
      <c r="E186" t="s">
        <v>67</v>
      </c>
      <c r="F186">
        <v>2026</v>
      </c>
      <c r="G186" t="s">
        <v>2</v>
      </c>
      <c r="H186">
        <v>0</v>
      </c>
      <c r="I186">
        <v>0</v>
      </c>
      <c r="J186">
        <v>5181.1028760000045</v>
      </c>
      <c r="K186">
        <v>0</v>
      </c>
      <c r="L186">
        <v>0</v>
      </c>
      <c r="M186">
        <v>1339.0152995999999</v>
      </c>
      <c r="N186">
        <v>0</v>
      </c>
      <c r="O186">
        <v>0</v>
      </c>
      <c r="P186">
        <v>847.99515599999268</v>
      </c>
      <c r="Q186">
        <v>0</v>
      </c>
      <c r="R186">
        <v>0</v>
      </c>
    </row>
    <row r="187" spans="1:18" x14ac:dyDescent="0.25">
      <c r="A187" t="s">
        <v>1</v>
      </c>
      <c r="B187" t="s">
        <v>59</v>
      </c>
      <c r="C187" t="s">
        <v>60</v>
      </c>
      <c r="D187">
        <v>1</v>
      </c>
      <c r="E187" t="s">
        <v>67</v>
      </c>
      <c r="F187">
        <v>2027</v>
      </c>
      <c r="G187" t="s">
        <v>2</v>
      </c>
      <c r="H187">
        <v>0</v>
      </c>
      <c r="I187">
        <v>0</v>
      </c>
      <c r="J187">
        <v>5467.2749939999749</v>
      </c>
      <c r="K187">
        <v>0</v>
      </c>
      <c r="L187">
        <v>0</v>
      </c>
      <c r="M187">
        <v>0</v>
      </c>
      <c r="N187">
        <v>0</v>
      </c>
      <c r="O187">
        <v>1369.31951712</v>
      </c>
      <c r="P187">
        <v>882.48914520000426</v>
      </c>
      <c r="Q187">
        <v>0</v>
      </c>
      <c r="R187">
        <v>0</v>
      </c>
    </row>
    <row r="188" spans="1:18" x14ac:dyDescent="0.25">
      <c r="A188" t="s">
        <v>1</v>
      </c>
      <c r="B188" t="s">
        <v>59</v>
      </c>
      <c r="C188" t="s">
        <v>60</v>
      </c>
      <c r="D188">
        <v>1</v>
      </c>
      <c r="E188" t="s">
        <v>67</v>
      </c>
      <c r="F188">
        <v>2028</v>
      </c>
      <c r="G188" t="s">
        <v>2</v>
      </c>
      <c r="H188">
        <v>0</v>
      </c>
      <c r="I188">
        <v>0</v>
      </c>
      <c r="J188">
        <v>5740.7509627200179</v>
      </c>
      <c r="K188">
        <v>0</v>
      </c>
      <c r="L188">
        <v>0</v>
      </c>
      <c r="M188">
        <v>839.09813495999992</v>
      </c>
      <c r="N188">
        <v>0</v>
      </c>
      <c r="O188">
        <v>582.30654288000005</v>
      </c>
      <c r="P188">
        <v>915.84522576000677</v>
      </c>
      <c r="Q188">
        <v>0</v>
      </c>
      <c r="R188">
        <v>0</v>
      </c>
    </row>
    <row r="189" spans="1:18" x14ac:dyDescent="0.25">
      <c r="A189" t="s">
        <v>1</v>
      </c>
      <c r="B189" t="s">
        <v>59</v>
      </c>
      <c r="C189" t="s">
        <v>60</v>
      </c>
      <c r="D189">
        <v>1</v>
      </c>
      <c r="E189" t="s">
        <v>67</v>
      </c>
      <c r="F189">
        <v>2029</v>
      </c>
      <c r="G189" t="s">
        <v>2</v>
      </c>
      <c r="H189">
        <v>0</v>
      </c>
      <c r="I189">
        <v>151.22659536000077</v>
      </c>
      <c r="J189">
        <v>5725.0658508000179</v>
      </c>
      <c r="K189">
        <v>0</v>
      </c>
      <c r="L189">
        <v>0</v>
      </c>
      <c r="M189">
        <v>1359.63807144</v>
      </c>
      <c r="N189">
        <v>17.80145879999996</v>
      </c>
      <c r="O189">
        <v>0</v>
      </c>
      <c r="P189">
        <v>913.34291640000674</v>
      </c>
      <c r="Q189">
        <v>0</v>
      </c>
      <c r="R189">
        <v>0</v>
      </c>
    </row>
    <row r="190" spans="1:18" x14ac:dyDescent="0.25">
      <c r="A190" t="s">
        <v>1</v>
      </c>
      <c r="B190" t="s">
        <v>59</v>
      </c>
      <c r="C190" t="s">
        <v>60</v>
      </c>
      <c r="D190">
        <v>1</v>
      </c>
      <c r="E190" t="s">
        <v>67</v>
      </c>
      <c r="F190">
        <v>2030</v>
      </c>
      <c r="G190" t="s">
        <v>2</v>
      </c>
      <c r="H190">
        <v>0</v>
      </c>
      <c r="I190">
        <v>278.61197520000115</v>
      </c>
      <c r="J190">
        <v>5725.0658508000179</v>
      </c>
      <c r="K190">
        <v>0</v>
      </c>
      <c r="L190">
        <v>0</v>
      </c>
      <c r="M190">
        <v>1325.1808951200001</v>
      </c>
      <c r="N190">
        <v>32.106976800000147</v>
      </c>
      <c r="O190">
        <v>0</v>
      </c>
      <c r="P190">
        <v>913.34291640000674</v>
      </c>
      <c r="Q190">
        <v>0</v>
      </c>
      <c r="R190">
        <v>0</v>
      </c>
    </row>
    <row r="191" spans="1:18" x14ac:dyDescent="0.25">
      <c r="A191" t="s">
        <v>1</v>
      </c>
      <c r="B191" t="s">
        <v>59</v>
      </c>
      <c r="C191" t="s">
        <v>60</v>
      </c>
      <c r="D191">
        <v>1</v>
      </c>
      <c r="E191" t="s">
        <v>67</v>
      </c>
      <c r="F191">
        <v>2031</v>
      </c>
      <c r="G191" t="s">
        <v>2</v>
      </c>
      <c r="H191">
        <v>0</v>
      </c>
      <c r="I191">
        <v>353.66984520000216</v>
      </c>
      <c r="J191">
        <v>5725.0658508000179</v>
      </c>
      <c r="K191">
        <v>0</v>
      </c>
      <c r="L191">
        <v>0</v>
      </c>
      <c r="M191">
        <v>0</v>
      </c>
      <c r="N191">
        <v>39.805440000000061</v>
      </c>
      <c r="O191">
        <v>1000.1144320799999</v>
      </c>
      <c r="P191">
        <v>913.34291640000674</v>
      </c>
      <c r="Q191">
        <v>0</v>
      </c>
      <c r="R191">
        <v>0</v>
      </c>
    </row>
    <row r="192" spans="1:18" x14ac:dyDescent="0.25">
      <c r="A192" t="s">
        <v>1</v>
      </c>
      <c r="B192" t="s">
        <v>59</v>
      </c>
      <c r="C192" t="s">
        <v>60</v>
      </c>
      <c r="D192">
        <v>1</v>
      </c>
      <c r="E192" t="s">
        <v>67</v>
      </c>
      <c r="F192">
        <v>2032</v>
      </c>
      <c r="G192" t="s">
        <v>2</v>
      </c>
      <c r="H192">
        <v>0</v>
      </c>
      <c r="I192">
        <v>409.38631343999788</v>
      </c>
      <c r="J192">
        <v>5740.7509627200179</v>
      </c>
      <c r="K192">
        <v>0</v>
      </c>
      <c r="L192">
        <v>0</v>
      </c>
      <c r="M192">
        <v>162.32362055999999</v>
      </c>
      <c r="N192">
        <v>44.359375679999765</v>
      </c>
      <c r="O192">
        <v>556.72470792000001</v>
      </c>
      <c r="P192">
        <v>915.84522576000677</v>
      </c>
      <c r="Q192">
        <v>0</v>
      </c>
      <c r="R192">
        <v>0</v>
      </c>
    </row>
    <row r="193" spans="1:18" x14ac:dyDescent="0.25">
      <c r="A193" t="s">
        <v>1</v>
      </c>
      <c r="B193" t="s">
        <v>59</v>
      </c>
      <c r="C193" t="s">
        <v>60</v>
      </c>
      <c r="D193">
        <v>1</v>
      </c>
      <c r="E193" t="s">
        <v>67</v>
      </c>
      <c r="F193">
        <v>2033</v>
      </c>
      <c r="G193" t="s">
        <v>2</v>
      </c>
      <c r="H193">
        <v>0</v>
      </c>
      <c r="I193">
        <v>408.2677715999979</v>
      </c>
      <c r="J193">
        <v>5725.0658508000179</v>
      </c>
      <c r="K193">
        <v>0</v>
      </c>
      <c r="L193">
        <v>0</v>
      </c>
      <c r="M193">
        <v>366.74643503999999</v>
      </c>
      <c r="N193">
        <v>44.238175199999766</v>
      </c>
      <c r="O193">
        <v>0</v>
      </c>
      <c r="P193">
        <v>913.34291640000674</v>
      </c>
      <c r="Q193">
        <v>0</v>
      </c>
      <c r="R193">
        <v>0</v>
      </c>
    </row>
    <row r="194" spans="1:18" x14ac:dyDescent="0.25">
      <c r="A194" t="s">
        <v>1</v>
      </c>
      <c r="B194" t="s">
        <v>59</v>
      </c>
      <c r="C194" t="s">
        <v>60</v>
      </c>
      <c r="D194">
        <v>1</v>
      </c>
      <c r="E194" t="s">
        <v>67</v>
      </c>
      <c r="F194">
        <v>2034</v>
      </c>
      <c r="G194" t="s">
        <v>2</v>
      </c>
      <c r="H194">
        <v>0</v>
      </c>
      <c r="I194">
        <v>408.2677715999979</v>
      </c>
      <c r="J194">
        <v>5725.0658508000179</v>
      </c>
      <c r="K194">
        <v>0</v>
      </c>
      <c r="L194">
        <v>0</v>
      </c>
      <c r="M194">
        <v>55.758564479999997</v>
      </c>
      <c r="N194">
        <v>44.238175199999766</v>
      </c>
      <c r="O194">
        <v>0</v>
      </c>
      <c r="P194">
        <v>913.34291640000674</v>
      </c>
      <c r="Q194">
        <v>0</v>
      </c>
      <c r="R194">
        <v>0</v>
      </c>
    </row>
    <row r="195" spans="1:18" x14ac:dyDescent="0.25">
      <c r="A195" t="s">
        <v>1</v>
      </c>
      <c r="B195" t="s">
        <v>59</v>
      </c>
      <c r="C195" t="s">
        <v>60</v>
      </c>
      <c r="D195">
        <v>1</v>
      </c>
      <c r="E195" t="s">
        <v>67</v>
      </c>
      <c r="F195">
        <v>2035</v>
      </c>
      <c r="G195" t="s">
        <v>2</v>
      </c>
      <c r="H195">
        <v>0</v>
      </c>
      <c r="I195">
        <v>408.2677715999979</v>
      </c>
      <c r="J195">
        <v>5725.0658508000179</v>
      </c>
      <c r="K195">
        <v>0</v>
      </c>
      <c r="L195">
        <v>0</v>
      </c>
      <c r="M195">
        <v>0</v>
      </c>
      <c r="N195">
        <v>44.238175199999766</v>
      </c>
      <c r="O195">
        <v>0</v>
      </c>
      <c r="P195">
        <v>913.34291640000674</v>
      </c>
      <c r="Q195">
        <v>0</v>
      </c>
      <c r="R195">
        <v>0</v>
      </c>
    </row>
    <row r="196" spans="1:18" x14ac:dyDescent="0.25">
      <c r="A196" t="s">
        <v>1</v>
      </c>
      <c r="B196" t="s">
        <v>59</v>
      </c>
      <c r="C196" t="s">
        <v>60</v>
      </c>
      <c r="D196">
        <v>1</v>
      </c>
      <c r="E196" t="s">
        <v>67</v>
      </c>
      <c r="F196">
        <v>2036</v>
      </c>
      <c r="G196" t="s">
        <v>2</v>
      </c>
      <c r="H196">
        <v>0</v>
      </c>
      <c r="I196">
        <v>409.38631343999788</v>
      </c>
      <c r="J196">
        <v>5740.7509627200179</v>
      </c>
      <c r="K196">
        <v>0</v>
      </c>
      <c r="L196">
        <v>0</v>
      </c>
      <c r="M196">
        <v>0</v>
      </c>
      <c r="N196">
        <v>44.359375679999765</v>
      </c>
      <c r="O196">
        <v>0</v>
      </c>
      <c r="P196">
        <v>915.84522576000677</v>
      </c>
      <c r="Q196">
        <v>0</v>
      </c>
      <c r="R196">
        <v>0</v>
      </c>
    </row>
    <row r="197" spans="1:18" x14ac:dyDescent="0.25">
      <c r="A197" t="s">
        <v>1</v>
      </c>
      <c r="B197" t="s">
        <v>59</v>
      </c>
      <c r="C197" t="s">
        <v>60</v>
      </c>
      <c r="D197">
        <v>1</v>
      </c>
      <c r="E197" t="s">
        <v>67</v>
      </c>
      <c r="F197">
        <v>2037</v>
      </c>
      <c r="G197" t="s">
        <v>2</v>
      </c>
      <c r="H197">
        <v>0</v>
      </c>
      <c r="I197">
        <v>408.2677715999979</v>
      </c>
      <c r="J197">
        <v>5725.0658508000179</v>
      </c>
      <c r="K197">
        <v>0</v>
      </c>
      <c r="L197">
        <v>0</v>
      </c>
      <c r="M197">
        <v>0</v>
      </c>
      <c r="N197">
        <v>44.238175199999766</v>
      </c>
      <c r="O197">
        <v>0</v>
      </c>
      <c r="P197">
        <v>913.34291640000674</v>
      </c>
      <c r="Q197">
        <v>0</v>
      </c>
      <c r="R197">
        <v>0</v>
      </c>
    </row>
    <row r="198" spans="1:18" x14ac:dyDescent="0.25">
      <c r="A198" t="s">
        <v>1</v>
      </c>
      <c r="B198" t="s">
        <v>59</v>
      </c>
      <c r="C198" t="s">
        <v>60</v>
      </c>
      <c r="D198">
        <v>1</v>
      </c>
      <c r="E198" t="s">
        <v>67</v>
      </c>
      <c r="F198">
        <v>2038</v>
      </c>
      <c r="G198" t="s">
        <v>2</v>
      </c>
      <c r="H198">
        <v>0</v>
      </c>
      <c r="I198">
        <v>408.2677715999979</v>
      </c>
      <c r="J198">
        <v>5725.0658508000179</v>
      </c>
      <c r="K198">
        <v>0</v>
      </c>
      <c r="L198">
        <v>0</v>
      </c>
      <c r="M198">
        <v>0</v>
      </c>
      <c r="N198">
        <v>44.238175199999766</v>
      </c>
      <c r="O198">
        <v>0</v>
      </c>
      <c r="P198">
        <v>913.34291640000674</v>
      </c>
      <c r="Q198">
        <v>0</v>
      </c>
      <c r="R198">
        <v>0</v>
      </c>
    </row>
    <row r="199" spans="1:18" x14ac:dyDescent="0.25">
      <c r="A199" t="s">
        <v>1</v>
      </c>
      <c r="B199" t="s">
        <v>59</v>
      </c>
      <c r="C199" t="s">
        <v>60</v>
      </c>
      <c r="D199">
        <v>1</v>
      </c>
      <c r="E199" t="s">
        <v>67</v>
      </c>
      <c r="F199">
        <v>2039</v>
      </c>
      <c r="G199" t="s">
        <v>2</v>
      </c>
      <c r="H199">
        <v>0</v>
      </c>
      <c r="I199">
        <v>408.2677715999979</v>
      </c>
      <c r="J199">
        <v>5725.0658508000179</v>
      </c>
      <c r="K199">
        <v>0</v>
      </c>
      <c r="L199">
        <v>0</v>
      </c>
      <c r="M199">
        <v>0</v>
      </c>
      <c r="N199">
        <v>44.238175199999766</v>
      </c>
      <c r="O199">
        <v>0</v>
      </c>
      <c r="P199">
        <v>913.34291640000674</v>
      </c>
      <c r="Q199">
        <v>0</v>
      </c>
      <c r="R199">
        <v>0</v>
      </c>
    </row>
    <row r="200" spans="1:18" x14ac:dyDescent="0.25">
      <c r="A200" t="s">
        <v>1</v>
      </c>
      <c r="B200" t="s">
        <v>59</v>
      </c>
      <c r="C200" t="s">
        <v>60</v>
      </c>
      <c r="D200">
        <v>1</v>
      </c>
      <c r="E200" t="s">
        <v>67</v>
      </c>
      <c r="F200">
        <v>2040</v>
      </c>
      <c r="G200" t="s">
        <v>2</v>
      </c>
      <c r="H200">
        <v>0</v>
      </c>
      <c r="I200">
        <v>409.38631343999788</v>
      </c>
      <c r="J200">
        <v>5740.7509627200179</v>
      </c>
      <c r="K200">
        <v>0</v>
      </c>
      <c r="L200">
        <v>0</v>
      </c>
      <c r="M200">
        <v>0</v>
      </c>
      <c r="N200">
        <v>44.359375679999765</v>
      </c>
      <c r="O200">
        <v>0</v>
      </c>
      <c r="P200">
        <v>915.84522576000677</v>
      </c>
      <c r="Q200">
        <v>0</v>
      </c>
      <c r="R200">
        <v>0</v>
      </c>
    </row>
    <row r="201" spans="1:18" x14ac:dyDescent="0.25">
      <c r="A201" t="s">
        <v>1</v>
      </c>
      <c r="B201" t="s">
        <v>59</v>
      </c>
      <c r="C201" t="s">
        <v>60</v>
      </c>
      <c r="D201">
        <v>1</v>
      </c>
      <c r="E201" t="s">
        <v>67</v>
      </c>
      <c r="F201">
        <v>2041</v>
      </c>
      <c r="G201" t="s">
        <v>2</v>
      </c>
      <c r="H201">
        <v>0</v>
      </c>
      <c r="I201">
        <v>408.2677715999979</v>
      </c>
      <c r="J201">
        <v>5725.0658508000179</v>
      </c>
      <c r="K201">
        <v>0</v>
      </c>
      <c r="L201">
        <v>0</v>
      </c>
      <c r="M201">
        <v>0</v>
      </c>
      <c r="N201">
        <v>44.238175199999766</v>
      </c>
      <c r="O201">
        <v>0</v>
      </c>
      <c r="P201">
        <v>913.34291640000674</v>
      </c>
      <c r="Q201">
        <v>0</v>
      </c>
      <c r="R201">
        <v>0</v>
      </c>
    </row>
    <row r="202" spans="1:18" x14ac:dyDescent="0.25">
      <c r="A202" t="s">
        <v>1</v>
      </c>
      <c r="B202" t="s">
        <v>59</v>
      </c>
      <c r="C202" t="s">
        <v>60</v>
      </c>
      <c r="D202">
        <v>1</v>
      </c>
      <c r="E202" t="s">
        <v>67</v>
      </c>
      <c r="F202">
        <v>2042</v>
      </c>
      <c r="G202" t="s">
        <v>2</v>
      </c>
      <c r="H202">
        <v>0</v>
      </c>
      <c r="I202">
        <v>408.2677715999979</v>
      </c>
      <c r="J202">
        <v>5725.0658508000179</v>
      </c>
      <c r="K202">
        <v>0</v>
      </c>
      <c r="L202">
        <v>0</v>
      </c>
      <c r="M202">
        <v>0</v>
      </c>
      <c r="N202">
        <v>44.238175199999766</v>
      </c>
      <c r="O202">
        <v>0</v>
      </c>
      <c r="P202">
        <v>913.34291640000674</v>
      </c>
      <c r="Q202">
        <v>0</v>
      </c>
      <c r="R202">
        <v>0</v>
      </c>
    </row>
    <row r="203" spans="1:18" x14ac:dyDescent="0.25">
      <c r="A203" t="s">
        <v>1</v>
      </c>
      <c r="B203" t="s">
        <v>59</v>
      </c>
      <c r="C203" t="s">
        <v>60</v>
      </c>
      <c r="D203">
        <v>1</v>
      </c>
      <c r="E203" t="s">
        <v>67</v>
      </c>
      <c r="F203">
        <v>2043</v>
      </c>
      <c r="G203" t="s">
        <v>2</v>
      </c>
      <c r="H203">
        <v>0</v>
      </c>
      <c r="I203">
        <v>408.2677715999979</v>
      </c>
      <c r="J203">
        <v>5725.0658508000179</v>
      </c>
      <c r="K203">
        <v>0</v>
      </c>
      <c r="L203">
        <v>0</v>
      </c>
      <c r="M203">
        <v>0</v>
      </c>
      <c r="N203">
        <v>44.238175199999766</v>
      </c>
      <c r="O203">
        <v>0</v>
      </c>
      <c r="P203">
        <v>913.34291640000674</v>
      </c>
      <c r="Q203">
        <v>0</v>
      </c>
      <c r="R203">
        <v>0</v>
      </c>
    </row>
    <row r="204" spans="1:18" x14ac:dyDescent="0.25">
      <c r="A204" t="s">
        <v>1</v>
      </c>
      <c r="B204" t="s">
        <v>59</v>
      </c>
      <c r="C204" t="s">
        <v>60</v>
      </c>
      <c r="D204">
        <v>1</v>
      </c>
      <c r="E204" t="s">
        <v>67</v>
      </c>
      <c r="F204">
        <v>2044</v>
      </c>
      <c r="G204" t="s">
        <v>2</v>
      </c>
      <c r="H204">
        <v>0</v>
      </c>
      <c r="I204">
        <v>409.38631343999788</v>
      </c>
      <c r="J204">
        <v>5740.7509627200179</v>
      </c>
      <c r="K204">
        <v>0</v>
      </c>
      <c r="L204">
        <v>0</v>
      </c>
      <c r="M204">
        <v>0</v>
      </c>
      <c r="N204">
        <v>44.359375679999765</v>
      </c>
      <c r="O204">
        <v>0</v>
      </c>
      <c r="P204">
        <v>915.84522576000677</v>
      </c>
      <c r="Q204">
        <v>0</v>
      </c>
      <c r="R204">
        <v>0</v>
      </c>
    </row>
    <row r="205" spans="1:18" x14ac:dyDescent="0.25">
      <c r="A205" t="s">
        <v>1</v>
      </c>
      <c r="B205" t="s">
        <v>59</v>
      </c>
      <c r="C205" t="s">
        <v>60</v>
      </c>
      <c r="D205">
        <v>1</v>
      </c>
      <c r="E205" t="s">
        <v>67</v>
      </c>
      <c r="F205">
        <v>2045</v>
      </c>
      <c r="G205" t="s">
        <v>2</v>
      </c>
      <c r="H205">
        <v>0</v>
      </c>
      <c r="I205">
        <v>408.2677715999979</v>
      </c>
      <c r="J205">
        <v>5725.0658508000179</v>
      </c>
      <c r="K205">
        <v>0</v>
      </c>
      <c r="L205">
        <v>0</v>
      </c>
      <c r="M205">
        <v>0</v>
      </c>
      <c r="N205">
        <v>44.238175199999766</v>
      </c>
      <c r="O205">
        <v>0</v>
      </c>
      <c r="P205">
        <v>913.34291640000674</v>
      </c>
      <c r="Q205">
        <v>0</v>
      </c>
      <c r="R205">
        <v>0</v>
      </c>
    </row>
    <row r="206" spans="1:18" x14ac:dyDescent="0.25">
      <c r="A206" t="s">
        <v>1</v>
      </c>
      <c r="B206" t="s">
        <v>59</v>
      </c>
      <c r="C206" t="s">
        <v>60</v>
      </c>
      <c r="D206">
        <v>1</v>
      </c>
      <c r="E206" t="s">
        <v>67</v>
      </c>
      <c r="F206">
        <v>2046</v>
      </c>
      <c r="G206" t="s">
        <v>2</v>
      </c>
      <c r="H206">
        <v>0</v>
      </c>
      <c r="I206">
        <v>408.2677715999979</v>
      </c>
      <c r="J206">
        <v>5725.0658508000179</v>
      </c>
      <c r="K206">
        <v>0</v>
      </c>
      <c r="L206">
        <v>0</v>
      </c>
      <c r="M206">
        <v>0</v>
      </c>
      <c r="N206">
        <v>44.238175199999766</v>
      </c>
      <c r="O206">
        <v>0</v>
      </c>
      <c r="P206">
        <v>913.34291640000674</v>
      </c>
      <c r="Q206">
        <v>0</v>
      </c>
      <c r="R206">
        <v>0</v>
      </c>
    </row>
    <row r="207" spans="1:18" x14ac:dyDescent="0.25">
      <c r="A207" t="s">
        <v>1</v>
      </c>
      <c r="B207" t="s">
        <v>59</v>
      </c>
      <c r="C207" t="s">
        <v>60</v>
      </c>
      <c r="D207">
        <v>1</v>
      </c>
      <c r="E207" t="s">
        <v>67</v>
      </c>
      <c r="F207">
        <v>2047</v>
      </c>
      <c r="G207" t="s">
        <v>2</v>
      </c>
      <c r="H207">
        <v>0</v>
      </c>
      <c r="I207">
        <v>408.2677715999979</v>
      </c>
      <c r="J207">
        <v>5725.0658508000179</v>
      </c>
      <c r="K207">
        <v>0</v>
      </c>
      <c r="L207">
        <v>0</v>
      </c>
      <c r="M207">
        <v>0</v>
      </c>
      <c r="N207">
        <v>44.238175199999766</v>
      </c>
      <c r="O207">
        <v>0</v>
      </c>
      <c r="P207">
        <v>913.34291640000674</v>
      </c>
      <c r="Q207">
        <v>0</v>
      </c>
      <c r="R207">
        <v>0</v>
      </c>
    </row>
    <row r="208" spans="1:18" x14ac:dyDescent="0.25">
      <c r="A208" t="s">
        <v>1</v>
      </c>
      <c r="B208" t="s">
        <v>59</v>
      </c>
      <c r="C208" t="s">
        <v>60</v>
      </c>
      <c r="D208">
        <v>1</v>
      </c>
      <c r="E208" t="s">
        <v>67</v>
      </c>
      <c r="F208">
        <v>2048</v>
      </c>
      <c r="G208" t="s">
        <v>2</v>
      </c>
      <c r="H208">
        <v>0</v>
      </c>
      <c r="I208">
        <v>409.38631343999788</v>
      </c>
      <c r="J208">
        <v>5740.7509627200179</v>
      </c>
      <c r="K208">
        <v>0</v>
      </c>
      <c r="L208">
        <v>0</v>
      </c>
      <c r="M208">
        <v>0</v>
      </c>
      <c r="N208">
        <v>44.359375679999765</v>
      </c>
      <c r="O208">
        <v>0</v>
      </c>
      <c r="P208">
        <v>915.84522576000677</v>
      </c>
      <c r="Q208">
        <v>0</v>
      </c>
      <c r="R208">
        <v>0</v>
      </c>
    </row>
    <row r="209" spans="1:18" x14ac:dyDescent="0.25">
      <c r="A209" t="s">
        <v>1</v>
      </c>
      <c r="B209" t="s">
        <v>59</v>
      </c>
      <c r="C209" t="s">
        <v>60</v>
      </c>
      <c r="D209">
        <v>1</v>
      </c>
      <c r="E209" t="s">
        <v>67</v>
      </c>
      <c r="F209">
        <v>2049</v>
      </c>
      <c r="G209" t="s">
        <v>2</v>
      </c>
      <c r="H209">
        <v>0</v>
      </c>
      <c r="I209">
        <v>408.2677715999979</v>
      </c>
      <c r="J209">
        <v>5725.0658508000179</v>
      </c>
      <c r="K209">
        <v>0</v>
      </c>
      <c r="L209">
        <v>0</v>
      </c>
      <c r="M209">
        <v>0</v>
      </c>
      <c r="N209">
        <v>44.238175199999766</v>
      </c>
      <c r="O209">
        <v>0</v>
      </c>
      <c r="P209">
        <v>913.34291640000674</v>
      </c>
      <c r="Q209">
        <v>0</v>
      </c>
      <c r="R209">
        <v>0</v>
      </c>
    </row>
    <row r="210" spans="1:18" x14ac:dyDescent="0.25">
      <c r="A210" t="s">
        <v>1</v>
      </c>
      <c r="B210" t="s">
        <v>59</v>
      </c>
      <c r="C210" t="s">
        <v>60</v>
      </c>
      <c r="D210">
        <v>1</v>
      </c>
      <c r="E210" t="s">
        <v>67</v>
      </c>
      <c r="F210">
        <v>2050</v>
      </c>
      <c r="G210" t="s">
        <v>2</v>
      </c>
      <c r="H210">
        <v>0</v>
      </c>
      <c r="I210">
        <v>408.2677715999979</v>
      </c>
      <c r="J210">
        <v>5725.0658508000179</v>
      </c>
      <c r="K210">
        <v>0</v>
      </c>
      <c r="L210">
        <v>0</v>
      </c>
      <c r="M210">
        <v>0</v>
      </c>
      <c r="N210">
        <v>44.238175199999766</v>
      </c>
      <c r="O210">
        <v>0</v>
      </c>
      <c r="P210">
        <v>913.34291640000674</v>
      </c>
      <c r="Q210">
        <v>0</v>
      </c>
      <c r="R210">
        <v>0</v>
      </c>
    </row>
    <row r="211" spans="1:18" x14ac:dyDescent="0.25">
      <c r="A211" t="s">
        <v>1</v>
      </c>
      <c r="B211" t="s">
        <v>59</v>
      </c>
      <c r="C211" t="s">
        <v>60</v>
      </c>
      <c r="D211">
        <v>1</v>
      </c>
      <c r="E211" t="s">
        <v>67</v>
      </c>
      <c r="F211">
        <v>2051</v>
      </c>
      <c r="G211" t="s">
        <v>2</v>
      </c>
      <c r="H211">
        <v>0</v>
      </c>
      <c r="I211">
        <v>408.2677715999979</v>
      </c>
      <c r="J211">
        <v>5725.0658508000179</v>
      </c>
      <c r="K211">
        <v>0</v>
      </c>
      <c r="L211">
        <v>0</v>
      </c>
      <c r="M211">
        <v>0</v>
      </c>
      <c r="N211">
        <v>44.238175199999766</v>
      </c>
      <c r="O211">
        <v>0</v>
      </c>
      <c r="P211">
        <v>913.34291640000674</v>
      </c>
      <c r="Q211">
        <v>0</v>
      </c>
      <c r="R211">
        <v>0</v>
      </c>
    </row>
    <row r="212" spans="1:18" x14ac:dyDescent="0.25">
      <c r="A212" t="s">
        <v>1</v>
      </c>
      <c r="B212" t="s">
        <v>59</v>
      </c>
      <c r="C212" t="s">
        <v>60</v>
      </c>
      <c r="D212">
        <v>1</v>
      </c>
      <c r="E212" t="s">
        <v>95</v>
      </c>
      <c r="F212">
        <v>2022</v>
      </c>
      <c r="G212" t="s">
        <v>2</v>
      </c>
      <c r="H212">
        <v>0</v>
      </c>
      <c r="I212">
        <v>0</v>
      </c>
      <c r="J212">
        <v>5388.2772263999623</v>
      </c>
      <c r="K212">
        <v>0</v>
      </c>
      <c r="L212">
        <v>0</v>
      </c>
      <c r="M212">
        <v>0</v>
      </c>
      <c r="N212">
        <v>0</v>
      </c>
      <c r="O212">
        <v>0</v>
      </c>
      <c r="P212">
        <v>1248.9943176000027</v>
      </c>
      <c r="Q212">
        <v>0</v>
      </c>
      <c r="R212">
        <v>0</v>
      </c>
    </row>
    <row r="213" spans="1:18" x14ac:dyDescent="0.25">
      <c r="A213" t="s">
        <v>1</v>
      </c>
      <c r="B213" t="s">
        <v>59</v>
      </c>
      <c r="C213" t="s">
        <v>60</v>
      </c>
      <c r="D213">
        <v>1</v>
      </c>
      <c r="E213" t="s">
        <v>95</v>
      </c>
      <c r="F213">
        <v>2023</v>
      </c>
      <c r="G213" t="s">
        <v>2</v>
      </c>
      <c r="H213">
        <v>0</v>
      </c>
      <c r="I213">
        <v>0</v>
      </c>
      <c r="J213">
        <v>5388.2772263999623</v>
      </c>
      <c r="K213">
        <v>0</v>
      </c>
      <c r="L213">
        <v>0</v>
      </c>
      <c r="M213">
        <v>0</v>
      </c>
      <c r="N213">
        <v>0</v>
      </c>
      <c r="O213">
        <v>508.35392855999999</v>
      </c>
      <c r="P213">
        <v>1248.9943176000027</v>
      </c>
      <c r="Q213">
        <v>0</v>
      </c>
      <c r="R213">
        <v>0</v>
      </c>
    </row>
    <row r="214" spans="1:18" x14ac:dyDescent="0.25">
      <c r="A214" t="s">
        <v>1</v>
      </c>
      <c r="B214" t="s">
        <v>59</v>
      </c>
      <c r="C214" t="s">
        <v>60</v>
      </c>
      <c r="D214">
        <v>1</v>
      </c>
      <c r="E214" t="s">
        <v>95</v>
      </c>
      <c r="F214">
        <v>2024</v>
      </c>
      <c r="G214" t="s">
        <v>2</v>
      </c>
      <c r="H214">
        <v>0</v>
      </c>
      <c r="I214">
        <v>0</v>
      </c>
      <c r="J214">
        <v>5403.0396297599618</v>
      </c>
      <c r="K214">
        <v>0</v>
      </c>
      <c r="L214">
        <v>0</v>
      </c>
      <c r="M214">
        <v>0</v>
      </c>
      <c r="N214">
        <v>0</v>
      </c>
      <c r="O214">
        <v>1169.6819781600002</v>
      </c>
      <c r="P214">
        <v>1252.4162198400027</v>
      </c>
      <c r="Q214">
        <v>0</v>
      </c>
      <c r="R214">
        <v>0</v>
      </c>
    </row>
    <row r="215" spans="1:18" x14ac:dyDescent="0.25">
      <c r="A215" t="s">
        <v>1</v>
      </c>
      <c r="B215" t="s">
        <v>59</v>
      </c>
      <c r="C215" t="s">
        <v>60</v>
      </c>
      <c r="D215">
        <v>1</v>
      </c>
      <c r="E215" t="s">
        <v>95</v>
      </c>
      <c r="F215">
        <v>2025</v>
      </c>
      <c r="G215" t="s">
        <v>2</v>
      </c>
      <c r="H215">
        <v>1728.1962086399999</v>
      </c>
      <c r="I215">
        <v>0</v>
      </c>
      <c r="J215">
        <v>5388.2772263999623</v>
      </c>
      <c r="K215">
        <v>0</v>
      </c>
      <c r="L215">
        <v>0</v>
      </c>
      <c r="M215">
        <v>0</v>
      </c>
      <c r="N215">
        <v>0</v>
      </c>
      <c r="O215">
        <v>1662.7228932000003</v>
      </c>
      <c r="P215">
        <v>1248.9943176000027</v>
      </c>
      <c r="Q215">
        <v>0</v>
      </c>
      <c r="R215">
        <v>0</v>
      </c>
    </row>
    <row r="216" spans="1:18" x14ac:dyDescent="0.25">
      <c r="A216" t="s">
        <v>1</v>
      </c>
      <c r="B216" t="s">
        <v>59</v>
      </c>
      <c r="C216" t="s">
        <v>60</v>
      </c>
      <c r="D216">
        <v>1</v>
      </c>
      <c r="E216" t="s">
        <v>95</v>
      </c>
      <c r="F216">
        <v>2026</v>
      </c>
      <c r="G216" t="s">
        <v>2</v>
      </c>
      <c r="H216">
        <v>4822.8774883200003</v>
      </c>
      <c r="I216">
        <v>0</v>
      </c>
      <c r="J216">
        <v>6087.5438760000307</v>
      </c>
      <c r="K216">
        <v>0</v>
      </c>
      <c r="L216">
        <v>0</v>
      </c>
      <c r="M216">
        <v>2165.5820493599999</v>
      </c>
      <c r="N216">
        <v>0</v>
      </c>
      <c r="O216">
        <v>0</v>
      </c>
      <c r="P216">
        <v>1248.9943176000027</v>
      </c>
      <c r="Q216">
        <v>0</v>
      </c>
      <c r="R216">
        <v>0</v>
      </c>
    </row>
    <row r="217" spans="1:18" x14ac:dyDescent="0.25">
      <c r="A217" t="s">
        <v>1</v>
      </c>
      <c r="B217" t="s">
        <v>59</v>
      </c>
      <c r="C217" t="s">
        <v>60</v>
      </c>
      <c r="D217">
        <v>1</v>
      </c>
      <c r="E217" t="s">
        <v>95</v>
      </c>
      <c r="F217">
        <v>2027</v>
      </c>
      <c r="G217" t="s">
        <v>2</v>
      </c>
      <c r="H217">
        <v>0</v>
      </c>
      <c r="I217">
        <v>0</v>
      </c>
      <c r="J217">
        <v>14605.849869599901</v>
      </c>
      <c r="K217">
        <v>0</v>
      </c>
      <c r="L217">
        <v>0</v>
      </c>
      <c r="M217">
        <v>0</v>
      </c>
      <c r="N217">
        <v>0</v>
      </c>
      <c r="O217">
        <v>1857.0719481600001</v>
      </c>
      <c r="P217">
        <v>2006.1411779999826</v>
      </c>
      <c r="Q217">
        <v>0</v>
      </c>
      <c r="R217">
        <v>0</v>
      </c>
    </row>
    <row r="218" spans="1:18" x14ac:dyDescent="0.25">
      <c r="A218" t="s">
        <v>1</v>
      </c>
      <c r="B218" t="s">
        <v>59</v>
      </c>
      <c r="C218" t="s">
        <v>60</v>
      </c>
      <c r="D218">
        <v>1</v>
      </c>
      <c r="E218" t="s">
        <v>95</v>
      </c>
      <c r="F218">
        <v>2028</v>
      </c>
      <c r="G218" t="s">
        <v>2</v>
      </c>
      <c r="H218">
        <v>3891.5049009600002</v>
      </c>
      <c r="I218">
        <v>0</v>
      </c>
      <c r="J218">
        <v>14943.005602560099</v>
      </c>
      <c r="K218">
        <v>0</v>
      </c>
      <c r="L218">
        <v>0</v>
      </c>
      <c r="M218">
        <v>1706.3544165599999</v>
      </c>
      <c r="N218">
        <v>0</v>
      </c>
      <c r="O218">
        <v>608.24549184</v>
      </c>
      <c r="P218">
        <v>2011.6374551999825</v>
      </c>
      <c r="Q218">
        <v>0</v>
      </c>
      <c r="R218">
        <v>0</v>
      </c>
    </row>
    <row r="219" spans="1:18" x14ac:dyDescent="0.25">
      <c r="A219" t="s">
        <v>1</v>
      </c>
      <c r="B219" t="s">
        <v>59</v>
      </c>
      <c r="C219" t="s">
        <v>60</v>
      </c>
      <c r="D219">
        <v>1</v>
      </c>
      <c r="E219" t="s">
        <v>95</v>
      </c>
      <c r="F219">
        <v>2029</v>
      </c>
      <c r="G219" t="s">
        <v>2</v>
      </c>
      <c r="H219">
        <v>6720.5266689599994</v>
      </c>
      <c r="I219">
        <v>0</v>
      </c>
      <c r="J219">
        <v>14902.177718400098</v>
      </c>
      <c r="K219">
        <v>0</v>
      </c>
      <c r="L219">
        <v>0</v>
      </c>
      <c r="M219">
        <v>2608.5274891199997</v>
      </c>
      <c r="N219">
        <v>0</v>
      </c>
      <c r="O219">
        <v>0</v>
      </c>
      <c r="P219">
        <v>2006.1411779999826</v>
      </c>
      <c r="Q219">
        <v>0</v>
      </c>
      <c r="R219">
        <v>0</v>
      </c>
    </row>
    <row r="220" spans="1:18" x14ac:dyDescent="0.25">
      <c r="A220" t="s">
        <v>1</v>
      </c>
      <c r="B220" t="s">
        <v>59</v>
      </c>
      <c r="C220" t="s">
        <v>60</v>
      </c>
      <c r="D220">
        <v>1</v>
      </c>
      <c r="E220" t="s">
        <v>95</v>
      </c>
      <c r="F220">
        <v>2030</v>
      </c>
      <c r="G220" t="s">
        <v>2</v>
      </c>
      <c r="H220">
        <v>10101.75302616</v>
      </c>
      <c r="I220">
        <v>0</v>
      </c>
      <c r="J220">
        <v>14902.177718400098</v>
      </c>
      <c r="K220">
        <v>0</v>
      </c>
      <c r="L220">
        <v>0</v>
      </c>
      <c r="M220">
        <v>2920.2771050399997</v>
      </c>
      <c r="N220">
        <v>0</v>
      </c>
      <c r="O220">
        <v>0</v>
      </c>
      <c r="P220">
        <v>2006.1411779999826</v>
      </c>
      <c r="Q220">
        <v>0</v>
      </c>
      <c r="R220">
        <v>0</v>
      </c>
    </row>
    <row r="221" spans="1:18" x14ac:dyDescent="0.25">
      <c r="A221" t="s">
        <v>1</v>
      </c>
      <c r="B221" t="s">
        <v>59</v>
      </c>
      <c r="C221" t="s">
        <v>60</v>
      </c>
      <c r="D221">
        <v>1</v>
      </c>
      <c r="E221" t="s">
        <v>95</v>
      </c>
      <c r="F221">
        <v>2031</v>
      </c>
      <c r="G221" t="s">
        <v>2</v>
      </c>
      <c r="H221">
        <v>13416.53979696</v>
      </c>
      <c r="I221">
        <v>0</v>
      </c>
      <c r="J221">
        <v>14902.177718400098</v>
      </c>
      <c r="K221">
        <v>0</v>
      </c>
      <c r="L221">
        <v>0</v>
      </c>
      <c r="M221">
        <v>539.47107864000009</v>
      </c>
      <c r="N221">
        <v>0</v>
      </c>
      <c r="O221">
        <v>2385.8277600000001</v>
      </c>
      <c r="P221">
        <v>2006.1411779999826</v>
      </c>
      <c r="Q221">
        <v>0</v>
      </c>
      <c r="R221">
        <v>0</v>
      </c>
    </row>
    <row r="222" spans="1:18" x14ac:dyDescent="0.25">
      <c r="A222" t="s">
        <v>1</v>
      </c>
      <c r="B222" t="s">
        <v>59</v>
      </c>
      <c r="C222" t="s">
        <v>60</v>
      </c>
      <c r="D222">
        <v>1</v>
      </c>
      <c r="E222" t="s">
        <v>95</v>
      </c>
      <c r="F222">
        <v>2032</v>
      </c>
      <c r="G222" t="s">
        <v>2</v>
      </c>
      <c r="H222">
        <v>17369.28259296</v>
      </c>
      <c r="I222">
        <v>0</v>
      </c>
      <c r="J222">
        <v>14943.005602560099</v>
      </c>
      <c r="K222">
        <v>0</v>
      </c>
      <c r="L222">
        <v>0</v>
      </c>
      <c r="M222">
        <v>2987.5141828800001</v>
      </c>
      <c r="N222">
        <v>0</v>
      </c>
      <c r="O222">
        <v>0</v>
      </c>
      <c r="P222">
        <v>2011.6374551999825</v>
      </c>
      <c r="Q222">
        <v>0</v>
      </c>
      <c r="R222">
        <v>0</v>
      </c>
    </row>
    <row r="223" spans="1:18" x14ac:dyDescent="0.25">
      <c r="A223" t="s">
        <v>1</v>
      </c>
      <c r="B223" t="s">
        <v>59</v>
      </c>
      <c r="C223" t="s">
        <v>60</v>
      </c>
      <c r="D223">
        <v>1</v>
      </c>
      <c r="E223" t="s">
        <v>95</v>
      </c>
      <c r="F223">
        <v>2033</v>
      </c>
      <c r="G223" t="s">
        <v>2</v>
      </c>
      <c r="H223">
        <v>10491.039610079999</v>
      </c>
      <c r="I223">
        <v>9564.1032636000546</v>
      </c>
      <c r="J223">
        <v>14902.177718400098</v>
      </c>
      <c r="K223">
        <v>0</v>
      </c>
      <c r="L223">
        <v>0</v>
      </c>
      <c r="M223">
        <v>2932.4742705600001</v>
      </c>
      <c r="N223">
        <v>0</v>
      </c>
      <c r="O223">
        <v>0</v>
      </c>
      <c r="P223">
        <v>2006.1411779999826</v>
      </c>
      <c r="Q223">
        <v>0</v>
      </c>
      <c r="R223">
        <v>0</v>
      </c>
    </row>
    <row r="224" spans="1:18" x14ac:dyDescent="0.25">
      <c r="A224" t="s">
        <v>1</v>
      </c>
      <c r="B224" t="s">
        <v>59</v>
      </c>
      <c r="C224" t="s">
        <v>60</v>
      </c>
      <c r="D224">
        <v>1</v>
      </c>
      <c r="E224" t="s">
        <v>95</v>
      </c>
      <c r="F224">
        <v>2034</v>
      </c>
      <c r="G224" t="s">
        <v>2</v>
      </c>
      <c r="H224">
        <v>12310.208948399999</v>
      </c>
      <c r="I224">
        <v>11073.587744399929</v>
      </c>
      <c r="J224">
        <v>14902.177718400098</v>
      </c>
      <c r="K224">
        <v>0</v>
      </c>
      <c r="L224">
        <v>0</v>
      </c>
      <c r="M224">
        <v>2941.2354199199999</v>
      </c>
      <c r="N224">
        <v>0</v>
      </c>
      <c r="O224">
        <v>0</v>
      </c>
      <c r="P224">
        <v>2006.1411779999826</v>
      </c>
      <c r="Q224">
        <v>0</v>
      </c>
      <c r="R224">
        <v>0</v>
      </c>
    </row>
    <row r="225" spans="1:18" x14ac:dyDescent="0.25">
      <c r="A225" t="s">
        <v>1</v>
      </c>
      <c r="B225" t="s">
        <v>59</v>
      </c>
      <c r="C225" t="s">
        <v>60</v>
      </c>
      <c r="D225">
        <v>1</v>
      </c>
      <c r="E225" t="s">
        <v>95</v>
      </c>
      <c r="F225">
        <v>2035</v>
      </c>
      <c r="G225" t="s">
        <v>2</v>
      </c>
      <c r="H225">
        <v>15723.39437328</v>
      </c>
      <c r="I225">
        <v>11073.587744399929</v>
      </c>
      <c r="J225">
        <v>14902.177718400098</v>
      </c>
      <c r="K225">
        <v>0</v>
      </c>
      <c r="L225">
        <v>0</v>
      </c>
      <c r="M225">
        <v>644.06711712000003</v>
      </c>
      <c r="N225">
        <v>0</v>
      </c>
      <c r="O225">
        <v>2311.2105000000001</v>
      </c>
      <c r="P225">
        <v>2006.1411779999826</v>
      </c>
      <c r="Q225">
        <v>0</v>
      </c>
      <c r="R225">
        <v>0</v>
      </c>
    </row>
    <row r="226" spans="1:18" x14ac:dyDescent="0.25">
      <c r="A226" t="s">
        <v>1</v>
      </c>
      <c r="B226" t="s">
        <v>59</v>
      </c>
      <c r="C226" t="s">
        <v>60</v>
      </c>
      <c r="D226">
        <v>1</v>
      </c>
      <c r="E226" t="s">
        <v>95</v>
      </c>
      <c r="F226">
        <v>2036</v>
      </c>
      <c r="G226" t="s">
        <v>2</v>
      </c>
      <c r="H226">
        <v>5767.5596783999999</v>
      </c>
      <c r="I226">
        <v>23730.744072960122</v>
      </c>
      <c r="J226">
        <v>14943.005602560099</v>
      </c>
      <c r="K226">
        <v>0</v>
      </c>
      <c r="L226">
        <v>0</v>
      </c>
      <c r="M226">
        <v>3025.5266347199999</v>
      </c>
      <c r="N226">
        <v>0</v>
      </c>
      <c r="O226">
        <v>0</v>
      </c>
      <c r="P226">
        <v>2011.6374551999825</v>
      </c>
      <c r="Q226">
        <v>0</v>
      </c>
      <c r="R226">
        <v>0</v>
      </c>
    </row>
    <row r="227" spans="1:18" x14ac:dyDescent="0.25">
      <c r="A227" t="s">
        <v>1</v>
      </c>
      <c r="B227" t="s">
        <v>59</v>
      </c>
      <c r="C227" t="s">
        <v>60</v>
      </c>
      <c r="D227">
        <v>1</v>
      </c>
      <c r="E227" t="s">
        <v>95</v>
      </c>
      <c r="F227">
        <v>2037</v>
      </c>
      <c r="G227" t="s">
        <v>2</v>
      </c>
      <c r="H227">
        <v>7296.5251728000003</v>
      </c>
      <c r="I227">
        <v>23665.905974400121</v>
      </c>
      <c r="J227">
        <v>14902.177718400098</v>
      </c>
      <c r="K227">
        <v>0</v>
      </c>
      <c r="L227">
        <v>0</v>
      </c>
      <c r="M227">
        <v>2978.9167089600001</v>
      </c>
      <c r="N227">
        <v>0</v>
      </c>
      <c r="O227">
        <v>0</v>
      </c>
      <c r="P227">
        <v>2006.1411779999826</v>
      </c>
      <c r="Q227">
        <v>0</v>
      </c>
      <c r="R227">
        <v>0</v>
      </c>
    </row>
    <row r="228" spans="1:18" x14ac:dyDescent="0.25">
      <c r="A228" t="s">
        <v>1</v>
      </c>
      <c r="B228" t="s">
        <v>59</v>
      </c>
      <c r="C228" t="s">
        <v>60</v>
      </c>
      <c r="D228">
        <v>1</v>
      </c>
      <c r="E228" t="s">
        <v>95</v>
      </c>
      <c r="F228">
        <v>2038</v>
      </c>
      <c r="G228" t="s">
        <v>2</v>
      </c>
      <c r="H228">
        <v>9376.659099120001</v>
      </c>
      <c r="I228">
        <v>23665.905974400121</v>
      </c>
      <c r="J228">
        <v>14902.177718400098</v>
      </c>
      <c r="K228">
        <v>0</v>
      </c>
      <c r="L228">
        <v>0</v>
      </c>
      <c r="M228">
        <v>2984.4189259200002</v>
      </c>
      <c r="N228">
        <v>0</v>
      </c>
      <c r="O228">
        <v>0</v>
      </c>
      <c r="P228">
        <v>2006.1411779999826</v>
      </c>
      <c r="Q228">
        <v>0</v>
      </c>
      <c r="R228">
        <v>0</v>
      </c>
    </row>
    <row r="229" spans="1:18" x14ac:dyDescent="0.25">
      <c r="A229" t="s">
        <v>1</v>
      </c>
      <c r="B229" t="s">
        <v>59</v>
      </c>
      <c r="C229" t="s">
        <v>60</v>
      </c>
      <c r="D229">
        <v>1</v>
      </c>
      <c r="E229" t="s">
        <v>95</v>
      </c>
      <c r="F229">
        <v>2039</v>
      </c>
      <c r="G229" t="s">
        <v>2</v>
      </c>
      <c r="H229">
        <v>11498.27372784</v>
      </c>
      <c r="I229">
        <v>23665.905974400121</v>
      </c>
      <c r="J229">
        <v>14902.177718400098</v>
      </c>
      <c r="K229">
        <v>0</v>
      </c>
      <c r="L229">
        <v>0</v>
      </c>
      <c r="M229">
        <v>745.15289255999994</v>
      </c>
      <c r="N229">
        <v>0</v>
      </c>
      <c r="O229">
        <v>2241.9421199999997</v>
      </c>
      <c r="P229">
        <v>2006.1411779999826</v>
      </c>
      <c r="Q229">
        <v>0</v>
      </c>
      <c r="R229">
        <v>0</v>
      </c>
    </row>
    <row r="230" spans="1:18" x14ac:dyDescent="0.25">
      <c r="A230" t="s">
        <v>1</v>
      </c>
      <c r="B230" t="s">
        <v>59</v>
      </c>
      <c r="C230" t="s">
        <v>60</v>
      </c>
      <c r="D230">
        <v>1</v>
      </c>
      <c r="E230" t="s">
        <v>95</v>
      </c>
      <c r="F230">
        <v>2040</v>
      </c>
      <c r="G230" t="s">
        <v>2</v>
      </c>
      <c r="H230">
        <v>11242.262208959999</v>
      </c>
      <c r="I230">
        <v>26588.118312000151</v>
      </c>
      <c r="J230">
        <v>14943.005602560099</v>
      </c>
      <c r="K230">
        <v>0</v>
      </c>
      <c r="L230">
        <v>0</v>
      </c>
      <c r="M230">
        <v>382.17702048000001</v>
      </c>
      <c r="N230">
        <v>2669.138828639992</v>
      </c>
      <c r="O230">
        <v>0</v>
      </c>
      <c r="P230">
        <v>2011.6374551999825</v>
      </c>
      <c r="Q230">
        <v>0</v>
      </c>
      <c r="R230">
        <v>0</v>
      </c>
    </row>
    <row r="231" spans="1:18" x14ac:dyDescent="0.25">
      <c r="A231" t="s">
        <v>1</v>
      </c>
      <c r="B231" t="s">
        <v>59</v>
      </c>
      <c r="C231" t="s">
        <v>60</v>
      </c>
      <c r="D231">
        <v>1</v>
      </c>
      <c r="E231" t="s">
        <v>95</v>
      </c>
      <c r="F231">
        <v>2041</v>
      </c>
      <c r="G231" t="s">
        <v>2</v>
      </c>
      <c r="H231">
        <v>4621.2449699999997</v>
      </c>
      <c r="I231">
        <v>26515.47318000015</v>
      </c>
      <c r="J231">
        <v>14902.177718400098</v>
      </c>
      <c r="K231">
        <v>0</v>
      </c>
      <c r="L231">
        <v>8358.0916379999453</v>
      </c>
      <c r="M231">
        <v>351.73419744</v>
      </c>
      <c r="N231">
        <v>2661.8460995999922</v>
      </c>
      <c r="O231">
        <v>0</v>
      </c>
      <c r="P231">
        <v>2006.1411779999826</v>
      </c>
      <c r="Q231">
        <v>0</v>
      </c>
      <c r="R231">
        <v>0</v>
      </c>
    </row>
    <row r="232" spans="1:18" x14ac:dyDescent="0.25">
      <c r="A232" t="s">
        <v>1</v>
      </c>
      <c r="B232" t="s">
        <v>59</v>
      </c>
      <c r="C232" t="s">
        <v>60</v>
      </c>
      <c r="D232">
        <v>1</v>
      </c>
      <c r="E232" t="s">
        <v>95</v>
      </c>
      <c r="F232">
        <v>2042</v>
      </c>
      <c r="G232" t="s">
        <v>2</v>
      </c>
      <c r="H232">
        <v>6941.9588210399997</v>
      </c>
      <c r="I232">
        <v>26515.47318000015</v>
      </c>
      <c r="J232">
        <v>14902.177718400098</v>
      </c>
      <c r="K232">
        <v>0</v>
      </c>
      <c r="L232">
        <v>8358.0916379999453</v>
      </c>
      <c r="M232">
        <v>378.86769984</v>
      </c>
      <c r="N232">
        <v>2661.8460995999922</v>
      </c>
      <c r="O232">
        <v>0</v>
      </c>
      <c r="P232">
        <v>2006.1411779999826</v>
      </c>
      <c r="Q232">
        <v>0</v>
      </c>
      <c r="R232">
        <v>0</v>
      </c>
    </row>
    <row r="233" spans="1:18" x14ac:dyDescent="0.25">
      <c r="A233" t="s">
        <v>1</v>
      </c>
      <c r="B233" t="s">
        <v>59</v>
      </c>
      <c r="C233" t="s">
        <v>60</v>
      </c>
      <c r="D233">
        <v>1</v>
      </c>
      <c r="E233" t="s">
        <v>95</v>
      </c>
      <c r="F233">
        <v>2043</v>
      </c>
      <c r="G233" t="s">
        <v>2</v>
      </c>
      <c r="H233">
        <v>9278.4387448800007</v>
      </c>
      <c r="I233">
        <v>26515.47318000015</v>
      </c>
      <c r="J233">
        <v>14902.177718400098</v>
      </c>
      <c r="K233">
        <v>0</v>
      </c>
      <c r="L233">
        <v>8358.0916379999453</v>
      </c>
      <c r="M233">
        <v>0</v>
      </c>
      <c r="N233">
        <v>2661.8460995999922</v>
      </c>
      <c r="O233">
        <v>445.24494096000001</v>
      </c>
      <c r="P233">
        <v>2006.1411779999826</v>
      </c>
      <c r="Q233">
        <v>0</v>
      </c>
      <c r="R233">
        <v>0</v>
      </c>
    </row>
    <row r="234" spans="1:18" x14ac:dyDescent="0.25">
      <c r="A234" t="s">
        <v>1</v>
      </c>
      <c r="B234" t="s">
        <v>59</v>
      </c>
      <c r="C234" t="s">
        <v>60</v>
      </c>
      <c r="D234">
        <v>1</v>
      </c>
      <c r="E234" t="s">
        <v>95</v>
      </c>
      <c r="F234">
        <v>2044</v>
      </c>
      <c r="G234" t="s">
        <v>2</v>
      </c>
      <c r="H234">
        <v>8161.0352551199994</v>
      </c>
      <c r="I234">
        <v>26588.118312000151</v>
      </c>
      <c r="J234">
        <v>14943.005602560099</v>
      </c>
      <c r="K234">
        <v>0</v>
      </c>
      <c r="L234">
        <v>12254.832285119908</v>
      </c>
      <c r="M234">
        <v>0</v>
      </c>
      <c r="N234">
        <v>2669.138828639992</v>
      </c>
      <c r="O234">
        <v>556.38107063999996</v>
      </c>
      <c r="P234">
        <v>2011.6374551999825</v>
      </c>
      <c r="Q234">
        <v>0</v>
      </c>
      <c r="R234">
        <v>0</v>
      </c>
    </row>
    <row r="235" spans="1:18" x14ac:dyDescent="0.25">
      <c r="A235" t="s">
        <v>1</v>
      </c>
      <c r="B235" t="s">
        <v>59</v>
      </c>
      <c r="C235" t="s">
        <v>60</v>
      </c>
      <c r="D235">
        <v>1</v>
      </c>
      <c r="E235" t="s">
        <v>95</v>
      </c>
      <c r="F235">
        <v>2045</v>
      </c>
      <c r="G235" t="s">
        <v>2</v>
      </c>
      <c r="H235">
        <v>0</v>
      </c>
      <c r="I235">
        <v>26515.47318000015</v>
      </c>
      <c r="J235">
        <v>14902.177718400098</v>
      </c>
      <c r="K235">
        <v>0</v>
      </c>
      <c r="L235">
        <v>22249.038608400144</v>
      </c>
      <c r="M235">
        <v>0</v>
      </c>
      <c r="N235">
        <v>2661.8460995999922</v>
      </c>
      <c r="O235">
        <v>570.70240223999997</v>
      </c>
      <c r="P235">
        <v>2006.1411779999826</v>
      </c>
      <c r="Q235">
        <v>0</v>
      </c>
      <c r="R235">
        <v>0</v>
      </c>
    </row>
    <row r="236" spans="1:18" x14ac:dyDescent="0.25">
      <c r="A236" t="s">
        <v>1</v>
      </c>
      <c r="B236" t="s">
        <v>59</v>
      </c>
      <c r="C236" t="s">
        <v>60</v>
      </c>
      <c r="D236">
        <v>1</v>
      </c>
      <c r="E236" t="s">
        <v>95</v>
      </c>
      <c r="F236">
        <v>2046</v>
      </c>
      <c r="G236" t="s">
        <v>2</v>
      </c>
      <c r="H236">
        <v>0</v>
      </c>
      <c r="I236">
        <v>26515.47318000015</v>
      </c>
      <c r="J236">
        <v>14902.177718400098</v>
      </c>
      <c r="K236">
        <v>0</v>
      </c>
      <c r="L236">
        <v>24624.064788000131</v>
      </c>
      <c r="M236">
        <v>0</v>
      </c>
      <c r="N236">
        <v>2661.8460995999922</v>
      </c>
      <c r="O236">
        <v>622.95632616</v>
      </c>
      <c r="P236">
        <v>2006.1411779999826</v>
      </c>
      <c r="Q236">
        <v>0</v>
      </c>
      <c r="R236">
        <v>0</v>
      </c>
    </row>
    <row r="237" spans="1:18" x14ac:dyDescent="0.25">
      <c r="A237" t="s">
        <v>1</v>
      </c>
      <c r="B237" t="s">
        <v>59</v>
      </c>
      <c r="C237" t="s">
        <v>60</v>
      </c>
      <c r="D237">
        <v>1</v>
      </c>
      <c r="E237" t="s">
        <v>95</v>
      </c>
      <c r="F237">
        <v>2047</v>
      </c>
      <c r="G237" t="s">
        <v>2</v>
      </c>
      <c r="H237">
        <v>0</v>
      </c>
      <c r="I237">
        <v>26515.47318000015</v>
      </c>
      <c r="J237">
        <v>14902.177718400098</v>
      </c>
      <c r="K237">
        <v>0</v>
      </c>
      <c r="L237">
        <v>26997.294203999871</v>
      </c>
      <c r="M237">
        <v>0</v>
      </c>
      <c r="N237">
        <v>2661.8460995999922</v>
      </c>
      <c r="O237">
        <v>672.27110856000002</v>
      </c>
      <c r="P237">
        <v>2006.1411779999826</v>
      </c>
      <c r="Q237">
        <v>0</v>
      </c>
      <c r="R237">
        <v>0</v>
      </c>
    </row>
    <row r="238" spans="1:18" x14ac:dyDescent="0.25">
      <c r="A238" t="s">
        <v>1</v>
      </c>
      <c r="B238" t="s">
        <v>59</v>
      </c>
      <c r="C238" t="s">
        <v>60</v>
      </c>
      <c r="D238">
        <v>1</v>
      </c>
      <c r="E238" t="s">
        <v>95</v>
      </c>
      <c r="F238">
        <v>2048</v>
      </c>
      <c r="G238" t="s">
        <v>2</v>
      </c>
      <c r="H238">
        <v>0</v>
      </c>
      <c r="I238">
        <v>26588.118312000151</v>
      </c>
      <c r="J238">
        <v>14943.005602560099</v>
      </c>
      <c r="K238">
        <v>0</v>
      </c>
      <c r="L238">
        <v>29830.054753439836</v>
      </c>
      <c r="M238">
        <v>0</v>
      </c>
      <c r="N238">
        <v>2669.138828639992</v>
      </c>
      <c r="O238">
        <v>768.57551328</v>
      </c>
      <c r="P238">
        <v>2011.6374551999825</v>
      </c>
      <c r="Q238">
        <v>0</v>
      </c>
      <c r="R238">
        <v>0</v>
      </c>
    </row>
    <row r="239" spans="1:18" x14ac:dyDescent="0.25">
      <c r="A239" t="s">
        <v>1</v>
      </c>
      <c r="B239" t="s">
        <v>59</v>
      </c>
      <c r="C239" t="s">
        <v>60</v>
      </c>
      <c r="D239">
        <v>1</v>
      </c>
      <c r="E239" t="s">
        <v>95</v>
      </c>
      <c r="F239">
        <v>2049</v>
      </c>
      <c r="G239" t="s">
        <v>2</v>
      </c>
      <c r="H239">
        <v>0</v>
      </c>
      <c r="I239">
        <v>26515.47318000015</v>
      </c>
      <c r="J239">
        <v>14902.177718400098</v>
      </c>
      <c r="K239">
        <v>0</v>
      </c>
      <c r="L239">
        <v>31775.979499200246</v>
      </c>
      <c r="M239">
        <v>0</v>
      </c>
      <c r="N239">
        <v>2661.8460995999922</v>
      </c>
      <c r="O239">
        <v>0</v>
      </c>
      <c r="P239">
        <v>2006.1411779999826</v>
      </c>
      <c r="Q239">
        <v>0</v>
      </c>
      <c r="R239">
        <v>775.34383319999711</v>
      </c>
    </row>
    <row r="240" spans="1:18" x14ac:dyDescent="0.25">
      <c r="A240" t="s">
        <v>1</v>
      </c>
      <c r="B240" t="s">
        <v>59</v>
      </c>
      <c r="C240" t="s">
        <v>60</v>
      </c>
      <c r="D240">
        <v>1</v>
      </c>
      <c r="E240" t="s">
        <v>95</v>
      </c>
      <c r="F240">
        <v>2050</v>
      </c>
      <c r="G240" t="s">
        <v>2</v>
      </c>
      <c r="H240">
        <v>0</v>
      </c>
      <c r="I240">
        <v>26515.47318000015</v>
      </c>
      <c r="J240">
        <v>14902.177718400098</v>
      </c>
      <c r="K240">
        <v>0</v>
      </c>
      <c r="L240">
        <v>34139.289441600165</v>
      </c>
      <c r="M240">
        <v>0</v>
      </c>
      <c r="N240">
        <v>2661.8460995999922</v>
      </c>
      <c r="O240">
        <v>0</v>
      </c>
      <c r="P240">
        <v>2006.1411779999826</v>
      </c>
      <c r="Q240">
        <v>0</v>
      </c>
      <c r="R240">
        <v>811.07526000000223</v>
      </c>
    </row>
    <row r="241" spans="1:18" x14ac:dyDescent="0.25">
      <c r="A241" t="s">
        <v>1</v>
      </c>
      <c r="B241" t="s">
        <v>59</v>
      </c>
      <c r="C241" t="s">
        <v>60</v>
      </c>
      <c r="D241">
        <v>1</v>
      </c>
      <c r="E241" t="s">
        <v>95</v>
      </c>
      <c r="F241">
        <v>2051</v>
      </c>
      <c r="G241" t="s">
        <v>2</v>
      </c>
      <c r="H241">
        <v>0</v>
      </c>
      <c r="I241">
        <v>26515.47318000015</v>
      </c>
      <c r="J241">
        <v>14902.177718400098</v>
      </c>
      <c r="K241">
        <v>0</v>
      </c>
      <c r="L241">
        <v>34139.289441600165</v>
      </c>
      <c r="M241">
        <v>0</v>
      </c>
      <c r="N241">
        <v>2661.8460995999922</v>
      </c>
      <c r="O241">
        <v>0</v>
      </c>
      <c r="P241">
        <v>2006.1411779999826</v>
      </c>
      <c r="Q241">
        <v>0</v>
      </c>
      <c r="R241">
        <v>811.07526000000223</v>
      </c>
    </row>
    <row r="242" spans="1:18" x14ac:dyDescent="0.25">
      <c r="A242" t="s">
        <v>1</v>
      </c>
      <c r="B242" t="s">
        <v>59</v>
      </c>
      <c r="C242" t="s">
        <v>60</v>
      </c>
      <c r="D242">
        <v>1</v>
      </c>
      <c r="E242" t="s">
        <v>96</v>
      </c>
      <c r="F242">
        <v>2022</v>
      </c>
      <c r="G242" t="s">
        <v>2</v>
      </c>
      <c r="H242">
        <v>0</v>
      </c>
      <c r="I242">
        <v>0</v>
      </c>
      <c r="J242">
        <v>1796.9999448000067</v>
      </c>
      <c r="K242">
        <v>0</v>
      </c>
      <c r="L242">
        <v>0</v>
      </c>
      <c r="M242">
        <v>0</v>
      </c>
      <c r="N242">
        <v>0</v>
      </c>
      <c r="O242">
        <v>0</v>
      </c>
      <c r="P242">
        <v>257.69957760000005</v>
      </c>
      <c r="Q242">
        <v>0</v>
      </c>
      <c r="R242">
        <v>0</v>
      </c>
    </row>
    <row r="243" spans="1:18" x14ac:dyDescent="0.25">
      <c r="A243" t="s">
        <v>1</v>
      </c>
      <c r="B243" t="s">
        <v>59</v>
      </c>
      <c r="C243" t="s">
        <v>60</v>
      </c>
      <c r="D243">
        <v>1</v>
      </c>
      <c r="E243" t="s">
        <v>96</v>
      </c>
      <c r="F243">
        <v>2023</v>
      </c>
      <c r="G243" t="s">
        <v>2</v>
      </c>
      <c r="H243">
        <v>0</v>
      </c>
      <c r="I243">
        <v>0</v>
      </c>
      <c r="J243">
        <v>2423.7231947999881</v>
      </c>
      <c r="K243">
        <v>0</v>
      </c>
      <c r="L243">
        <v>0</v>
      </c>
      <c r="M243">
        <v>0</v>
      </c>
      <c r="N243">
        <v>0</v>
      </c>
      <c r="O243">
        <v>1101.17850552</v>
      </c>
      <c r="P243">
        <v>656.16981479999379</v>
      </c>
      <c r="Q243">
        <v>0</v>
      </c>
      <c r="R243">
        <v>0</v>
      </c>
    </row>
    <row r="244" spans="1:18" x14ac:dyDescent="0.25">
      <c r="A244" t="s">
        <v>1</v>
      </c>
      <c r="B244" t="s">
        <v>59</v>
      </c>
      <c r="C244" t="s">
        <v>60</v>
      </c>
      <c r="D244">
        <v>1</v>
      </c>
      <c r="E244" t="s">
        <v>96</v>
      </c>
      <c r="F244">
        <v>2024</v>
      </c>
      <c r="G244" t="s">
        <v>2</v>
      </c>
      <c r="H244">
        <v>372.25076688000001</v>
      </c>
      <c r="I244">
        <v>0</v>
      </c>
      <c r="J244">
        <v>4148.7742900800113</v>
      </c>
      <c r="K244">
        <v>0</v>
      </c>
      <c r="L244">
        <v>0</v>
      </c>
      <c r="M244">
        <v>0</v>
      </c>
      <c r="N244">
        <v>0</v>
      </c>
      <c r="O244">
        <v>1764.1307320799999</v>
      </c>
      <c r="P244">
        <v>657.96754031999376</v>
      </c>
      <c r="Q244">
        <v>0</v>
      </c>
      <c r="R244">
        <v>0</v>
      </c>
    </row>
    <row r="245" spans="1:18" x14ac:dyDescent="0.25">
      <c r="A245" t="s">
        <v>1</v>
      </c>
      <c r="B245" t="s">
        <v>59</v>
      </c>
      <c r="C245" t="s">
        <v>60</v>
      </c>
      <c r="D245">
        <v>1</v>
      </c>
      <c r="E245" t="s">
        <v>96</v>
      </c>
      <c r="F245">
        <v>2025</v>
      </c>
      <c r="G245" t="s">
        <v>2</v>
      </c>
      <c r="H245">
        <v>1728.1962086399999</v>
      </c>
      <c r="I245">
        <v>0</v>
      </c>
      <c r="J245">
        <v>5388.2772263999623</v>
      </c>
      <c r="K245">
        <v>0</v>
      </c>
      <c r="L245">
        <v>0</v>
      </c>
      <c r="M245">
        <v>1563.7211827199999</v>
      </c>
      <c r="N245">
        <v>0</v>
      </c>
      <c r="O245">
        <v>475.44956231999998</v>
      </c>
      <c r="P245">
        <v>872.54645759999516</v>
      </c>
      <c r="Q245">
        <v>0</v>
      </c>
      <c r="R245">
        <v>0</v>
      </c>
    </row>
    <row r="246" spans="1:18" x14ac:dyDescent="0.25">
      <c r="A246" t="s">
        <v>1</v>
      </c>
      <c r="B246" t="s">
        <v>59</v>
      </c>
      <c r="C246" t="s">
        <v>60</v>
      </c>
      <c r="D246">
        <v>1</v>
      </c>
      <c r="E246" t="s">
        <v>96</v>
      </c>
      <c r="F246">
        <v>2026</v>
      </c>
      <c r="G246" t="s">
        <v>2</v>
      </c>
      <c r="H246">
        <v>4822.8774883200003</v>
      </c>
      <c r="I246">
        <v>0</v>
      </c>
      <c r="J246">
        <v>6087.5438760000307</v>
      </c>
      <c r="K246">
        <v>0</v>
      </c>
      <c r="L246">
        <v>0</v>
      </c>
      <c r="M246">
        <v>2455.5404109599999</v>
      </c>
      <c r="N246">
        <v>0</v>
      </c>
      <c r="O246">
        <v>0</v>
      </c>
      <c r="P246">
        <v>959.03595239999629</v>
      </c>
      <c r="Q246">
        <v>0</v>
      </c>
      <c r="R246">
        <v>0</v>
      </c>
    </row>
    <row r="247" spans="1:18" x14ac:dyDescent="0.25">
      <c r="A247" t="s">
        <v>1</v>
      </c>
      <c r="B247" t="s">
        <v>59</v>
      </c>
      <c r="C247" t="s">
        <v>60</v>
      </c>
      <c r="D247">
        <v>1</v>
      </c>
      <c r="E247" t="s">
        <v>96</v>
      </c>
      <c r="F247">
        <v>2027</v>
      </c>
      <c r="G247" t="s">
        <v>2</v>
      </c>
      <c r="H247">
        <v>7829.6670746399996</v>
      </c>
      <c r="I247">
        <v>0</v>
      </c>
      <c r="J247">
        <v>6776.1827183999412</v>
      </c>
      <c r="K247">
        <v>0</v>
      </c>
      <c r="L247">
        <v>0</v>
      </c>
      <c r="M247">
        <v>354.42797375999999</v>
      </c>
      <c r="N247">
        <v>78.112482000000455</v>
      </c>
      <c r="O247">
        <v>2465.3174399999998</v>
      </c>
      <c r="P247">
        <v>965.3551535999926</v>
      </c>
      <c r="Q247">
        <v>0</v>
      </c>
      <c r="R247">
        <v>0</v>
      </c>
    </row>
    <row r="248" spans="1:18" x14ac:dyDescent="0.25">
      <c r="A248" t="s">
        <v>1</v>
      </c>
      <c r="B248" t="s">
        <v>59</v>
      </c>
      <c r="C248" t="s">
        <v>60</v>
      </c>
      <c r="D248">
        <v>1</v>
      </c>
      <c r="E248" t="s">
        <v>96</v>
      </c>
      <c r="F248">
        <v>2028</v>
      </c>
      <c r="G248" t="s">
        <v>2</v>
      </c>
      <c r="H248">
        <v>11339.065097999999</v>
      </c>
      <c r="I248">
        <v>0</v>
      </c>
      <c r="J248">
        <v>7032.0026520000347</v>
      </c>
      <c r="K248">
        <v>463.4427859200045</v>
      </c>
      <c r="L248">
        <v>0</v>
      </c>
      <c r="M248">
        <v>3193.7154211200004</v>
      </c>
      <c r="N248">
        <v>164.52194832000012</v>
      </c>
      <c r="O248">
        <v>0</v>
      </c>
      <c r="P248">
        <v>967.99996223999256</v>
      </c>
      <c r="Q248">
        <v>0</v>
      </c>
      <c r="R248">
        <v>0</v>
      </c>
    </row>
    <row r="249" spans="1:18" x14ac:dyDescent="0.25">
      <c r="A249" t="s">
        <v>1</v>
      </c>
      <c r="B249" t="s">
        <v>59</v>
      </c>
      <c r="C249" t="s">
        <v>60</v>
      </c>
      <c r="D249">
        <v>1</v>
      </c>
      <c r="E249" t="s">
        <v>96</v>
      </c>
      <c r="F249">
        <v>2029</v>
      </c>
      <c r="G249" t="s">
        <v>2</v>
      </c>
      <c r="H249">
        <v>13537.84330176</v>
      </c>
      <c r="I249">
        <v>603.74629559999687</v>
      </c>
      <c r="J249">
        <v>7012.7895300000346</v>
      </c>
      <c r="K249">
        <v>468.32528040000051</v>
      </c>
      <c r="L249">
        <v>0</v>
      </c>
      <c r="M249">
        <v>3409.8905148000003</v>
      </c>
      <c r="N249">
        <v>239.42288879999933</v>
      </c>
      <c r="O249">
        <v>0</v>
      </c>
      <c r="P249">
        <v>965.3551535999926</v>
      </c>
      <c r="Q249">
        <v>0</v>
      </c>
      <c r="R249">
        <v>0</v>
      </c>
    </row>
    <row r="250" spans="1:18" x14ac:dyDescent="0.25">
      <c r="A250" t="s">
        <v>1</v>
      </c>
      <c r="B250" t="s">
        <v>59</v>
      </c>
      <c r="C250" t="s">
        <v>60</v>
      </c>
      <c r="D250">
        <v>1</v>
      </c>
      <c r="E250" t="s">
        <v>96</v>
      </c>
      <c r="F250">
        <v>2030</v>
      </c>
      <c r="G250" t="s">
        <v>2</v>
      </c>
      <c r="H250">
        <v>16298.8323588</v>
      </c>
      <c r="I250">
        <v>1223.9836415999939</v>
      </c>
      <c r="J250">
        <v>7012.7895300000346</v>
      </c>
      <c r="K250">
        <v>468.32528040000051</v>
      </c>
      <c r="L250">
        <v>0</v>
      </c>
      <c r="M250">
        <v>3645.2040506399999</v>
      </c>
      <c r="N250">
        <v>315.85896960000071</v>
      </c>
      <c r="O250">
        <v>0</v>
      </c>
      <c r="P250">
        <v>965.3551535999926</v>
      </c>
      <c r="Q250">
        <v>0</v>
      </c>
      <c r="R250">
        <v>0</v>
      </c>
    </row>
    <row r="251" spans="1:18" x14ac:dyDescent="0.25">
      <c r="A251" t="s">
        <v>1</v>
      </c>
      <c r="B251" t="s">
        <v>59</v>
      </c>
      <c r="C251" t="s">
        <v>60</v>
      </c>
      <c r="D251">
        <v>1</v>
      </c>
      <c r="E251" t="s">
        <v>96</v>
      </c>
      <c r="F251">
        <v>2031</v>
      </c>
      <c r="G251" t="s">
        <v>2</v>
      </c>
      <c r="H251">
        <v>10231.414153199999</v>
      </c>
      <c r="I251">
        <v>10606.188571199995</v>
      </c>
      <c r="J251">
        <v>7012.7895300000346</v>
      </c>
      <c r="K251">
        <v>468.32528040000051</v>
      </c>
      <c r="L251">
        <v>0</v>
      </c>
      <c r="M251">
        <v>1190.2010244000001</v>
      </c>
      <c r="N251">
        <v>390.05599439999793</v>
      </c>
      <c r="O251">
        <v>2385.8277600000001</v>
      </c>
      <c r="P251">
        <v>965.3551535999926</v>
      </c>
      <c r="Q251">
        <v>0</v>
      </c>
      <c r="R251">
        <v>0</v>
      </c>
    </row>
    <row r="252" spans="1:18" x14ac:dyDescent="0.25">
      <c r="A252" t="s">
        <v>1</v>
      </c>
      <c r="B252" t="s">
        <v>59</v>
      </c>
      <c r="C252" t="s">
        <v>60</v>
      </c>
      <c r="D252">
        <v>1</v>
      </c>
      <c r="E252" t="s">
        <v>96</v>
      </c>
      <c r="F252">
        <v>2032</v>
      </c>
      <c r="G252" t="s">
        <v>2</v>
      </c>
      <c r="H252">
        <v>14175.430577520001</v>
      </c>
      <c r="I252">
        <v>10635.246622079994</v>
      </c>
      <c r="J252">
        <v>7032.0026520000347</v>
      </c>
      <c r="K252">
        <v>469.60836336000051</v>
      </c>
      <c r="L252">
        <v>0</v>
      </c>
      <c r="M252">
        <v>3561.7026657599999</v>
      </c>
      <c r="N252">
        <v>469.44893375999953</v>
      </c>
      <c r="O252">
        <v>0</v>
      </c>
      <c r="P252">
        <v>967.99996223999256</v>
      </c>
      <c r="Q252">
        <v>0</v>
      </c>
      <c r="R252">
        <v>0</v>
      </c>
    </row>
    <row r="253" spans="1:18" x14ac:dyDescent="0.25">
      <c r="A253" t="s">
        <v>1</v>
      </c>
      <c r="B253" t="s">
        <v>59</v>
      </c>
      <c r="C253" t="s">
        <v>60</v>
      </c>
      <c r="D253">
        <v>1</v>
      </c>
      <c r="E253" t="s">
        <v>96</v>
      </c>
      <c r="F253">
        <v>2033</v>
      </c>
      <c r="G253" t="s">
        <v>2</v>
      </c>
      <c r="H253">
        <v>16870.017269280001</v>
      </c>
      <c r="I253">
        <v>10606.188571199995</v>
      </c>
      <c r="J253">
        <v>7012.7895300000346</v>
      </c>
      <c r="K253">
        <v>468.32528040000051</v>
      </c>
      <c r="L253">
        <v>0</v>
      </c>
      <c r="M253">
        <v>3438.7241964000004</v>
      </c>
      <c r="N253">
        <v>534.53598839999711</v>
      </c>
      <c r="O253">
        <v>0</v>
      </c>
      <c r="P253">
        <v>965.3551535999926</v>
      </c>
      <c r="Q253">
        <v>0</v>
      </c>
      <c r="R253">
        <v>0</v>
      </c>
    </row>
    <row r="254" spans="1:18" x14ac:dyDescent="0.25">
      <c r="A254" t="s">
        <v>1</v>
      </c>
      <c r="B254" t="s">
        <v>59</v>
      </c>
      <c r="C254" t="s">
        <v>60</v>
      </c>
      <c r="D254">
        <v>1</v>
      </c>
      <c r="E254" t="s">
        <v>96</v>
      </c>
      <c r="F254">
        <v>2034</v>
      </c>
      <c r="G254" t="s">
        <v>2</v>
      </c>
      <c r="H254">
        <v>20198.67106728</v>
      </c>
      <c r="I254">
        <v>10606.188571199995</v>
      </c>
      <c r="J254">
        <v>7012.7895300000346</v>
      </c>
      <c r="K254">
        <v>468.32528040000051</v>
      </c>
      <c r="L254">
        <v>0</v>
      </c>
      <c r="M254">
        <v>3375.9439454399999</v>
      </c>
      <c r="N254">
        <v>606.07741920000262</v>
      </c>
      <c r="O254">
        <v>0</v>
      </c>
      <c r="P254">
        <v>965.3551535999926</v>
      </c>
      <c r="Q254">
        <v>0</v>
      </c>
      <c r="R254">
        <v>0</v>
      </c>
    </row>
    <row r="255" spans="1:18" x14ac:dyDescent="0.25">
      <c r="A255" t="s">
        <v>1</v>
      </c>
      <c r="B255" t="s">
        <v>59</v>
      </c>
      <c r="C255" t="s">
        <v>60</v>
      </c>
      <c r="D255">
        <v>1</v>
      </c>
      <c r="E255" t="s">
        <v>96</v>
      </c>
      <c r="F255">
        <v>2035</v>
      </c>
      <c r="G255" t="s">
        <v>2</v>
      </c>
      <c r="H255">
        <v>7834.9322541600004</v>
      </c>
      <c r="I255">
        <v>10606.188571199995</v>
      </c>
      <c r="J255">
        <v>7012.7895300000346</v>
      </c>
      <c r="K255">
        <v>468.32528040000051</v>
      </c>
      <c r="L255">
        <v>15776.924249999927</v>
      </c>
      <c r="M255">
        <v>1007.20366272</v>
      </c>
      <c r="N255">
        <v>677.64942239999607</v>
      </c>
      <c r="O255">
        <v>2311.2105000000001</v>
      </c>
      <c r="P255">
        <v>965.3551535999926</v>
      </c>
      <c r="Q255">
        <v>0</v>
      </c>
      <c r="R255">
        <v>0</v>
      </c>
    </row>
    <row r="256" spans="1:18" x14ac:dyDescent="0.25">
      <c r="A256" t="s">
        <v>1</v>
      </c>
      <c r="B256" t="s">
        <v>59</v>
      </c>
      <c r="C256" t="s">
        <v>60</v>
      </c>
      <c r="D256">
        <v>1</v>
      </c>
      <c r="E256" t="s">
        <v>96</v>
      </c>
      <c r="F256">
        <v>2036</v>
      </c>
      <c r="G256" t="s">
        <v>2</v>
      </c>
      <c r="H256">
        <v>5767.5596783999999</v>
      </c>
      <c r="I256">
        <v>10635.246622079994</v>
      </c>
      <c r="J256">
        <v>7032.0026520000347</v>
      </c>
      <c r="K256">
        <v>469.60836336000051</v>
      </c>
      <c r="L256">
        <v>20536.892125919887</v>
      </c>
      <c r="M256">
        <v>3312.4735375199998</v>
      </c>
      <c r="N256">
        <v>756.69047712000258</v>
      </c>
      <c r="O256">
        <v>0</v>
      </c>
      <c r="P256">
        <v>967.99996223999256</v>
      </c>
      <c r="Q256">
        <v>0</v>
      </c>
      <c r="R256">
        <v>0</v>
      </c>
    </row>
    <row r="257" spans="1:18" x14ac:dyDescent="0.25">
      <c r="A257" t="s">
        <v>1</v>
      </c>
      <c r="B257" t="s">
        <v>59</v>
      </c>
      <c r="C257" t="s">
        <v>60</v>
      </c>
      <c r="D257">
        <v>1</v>
      </c>
      <c r="E257" t="s">
        <v>96</v>
      </c>
      <c r="F257">
        <v>2037</v>
      </c>
      <c r="G257" t="s">
        <v>2</v>
      </c>
      <c r="H257">
        <v>7296.5251728000003</v>
      </c>
      <c r="I257">
        <v>10606.188571199995</v>
      </c>
      <c r="J257">
        <v>7012.7895300000346</v>
      </c>
      <c r="K257">
        <v>468.32528040000051</v>
      </c>
      <c r="L257">
        <v>20480.780398799889</v>
      </c>
      <c r="M257">
        <v>3202.46033472</v>
      </c>
      <c r="N257">
        <v>817.24229999999602</v>
      </c>
      <c r="O257">
        <v>0</v>
      </c>
      <c r="P257">
        <v>965.3551535999926</v>
      </c>
      <c r="Q257">
        <v>0</v>
      </c>
      <c r="R257">
        <v>0</v>
      </c>
    </row>
    <row r="258" spans="1:18" x14ac:dyDescent="0.25">
      <c r="A258" t="s">
        <v>1</v>
      </c>
      <c r="B258" t="s">
        <v>59</v>
      </c>
      <c r="C258" t="s">
        <v>60</v>
      </c>
      <c r="D258">
        <v>1</v>
      </c>
      <c r="E258" t="s">
        <v>96</v>
      </c>
      <c r="F258">
        <v>2038</v>
      </c>
      <c r="G258" t="s">
        <v>2</v>
      </c>
      <c r="H258">
        <v>9376.659099120001</v>
      </c>
      <c r="I258">
        <v>10606.188571199995</v>
      </c>
      <c r="J258">
        <v>7012.7895300000346</v>
      </c>
      <c r="K258">
        <v>468.32528040000051</v>
      </c>
      <c r="L258">
        <v>20480.780398799889</v>
      </c>
      <c r="M258">
        <v>3140.9124916800001</v>
      </c>
      <c r="N258">
        <v>884.29239120000602</v>
      </c>
      <c r="O258">
        <v>0</v>
      </c>
      <c r="P258">
        <v>965.3551535999926</v>
      </c>
      <c r="Q258">
        <v>0</v>
      </c>
      <c r="R258">
        <v>0</v>
      </c>
    </row>
    <row r="259" spans="1:18" x14ac:dyDescent="0.25">
      <c r="A259" t="s">
        <v>1</v>
      </c>
      <c r="B259" t="s">
        <v>59</v>
      </c>
      <c r="C259" t="s">
        <v>60</v>
      </c>
      <c r="D259">
        <v>1</v>
      </c>
      <c r="E259" t="s">
        <v>96</v>
      </c>
      <c r="F259">
        <v>2039</v>
      </c>
      <c r="G259" t="s">
        <v>2</v>
      </c>
      <c r="H259">
        <v>11498.27372784</v>
      </c>
      <c r="I259">
        <v>10606.188571199995</v>
      </c>
      <c r="J259">
        <v>7012.7895300000346</v>
      </c>
      <c r="K259">
        <v>468.32528040000051</v>
      </c>
      <c r="L259">
        <v>20480.780398799889</v>
      </c>
      <c r="M259">
        <v>836.27331815999992</v>
      </c>
      <c r="N259">
        <v>949.66555559999381</v>
      </c>
      <c r="O259">
        <v>2241.9421199999997</v>
      </c>
      <c r="P259">
        <v>965.3551535999926</v>
      </c>
      <c r="Q259">
        <v>0</v>
      </c>
      <c r="R259">
        <v>0</v>
      </c>
    </row>
    <row r="260" spans="1:18" x14ac:dyDescent="0.25">
      <c r="A260" t="s">
        <v>1</v>
      </c>
      <c r="B260" t="s">
        <v>59</v>
      </c>
      <c r="C260" t="s">
        <v>60</v>
      </c>
      <c r="D260">
        <v>1</v>
      </c>
      <c r="E260" t="s">
        <v>96</v>
      </c>
      <c r="F260">
        <v>2040</v>
      </c>
      <c r="G260" t="s">
        <v>2</v>
      </c>
      <c r="H260">
        <v>14099.63638272</v>
      </c>
      <c r="I260">
        <v>10635.246622079994</v>
      </c>
      <c r="J260">
        <v>7032.0026520000347</v>
      </c>
      <c r="K260">
        <v>469.60836336000051</v>
      </c>
      <c r="L260">
        <v>20536.892125919887</v>
      </c>
      <c r="M260">
        <v>3069.0310279199998</v>
      </c>
      <c r="N260">
        <v>1025.9222731199973</v>
      </c>
      <c r="O260">
        <v>0</v>
      </c>
      <c r="P260">
        <v>967.99996223999256</v>
      </c>
      <c r="Q260">
        <v>0</v>
      </c>
      <c r="R260">
        <v>0</v>
      </c>
    </row>
    <row r="261" spans="1:18" x14ac:dyDescent="0.25">
      <c r="A261" t="s">
        <v>1</v>
      </c>
      <c r="B261" t="s">
        <v>59</v>
      </c>
      <c r="C261" t="s">
        <v>60</v>
      </c>
      <c r="D261">
        <v>1</v>
      </c>
      <c r="E261" t="s">
        <v>96</v>
      </c>
      <c r="F261">
        <v>2041</v>
      </c>
      <c r="G261" t="s">
        <v>2</v>
      </c>
      <c r="H261">
        <v>3192.55788312</v>
      </c>
      <c r="I261">
        <v>10606.188571199995</v>
      </c>
      <c r="J261">
        <v>7012.7895300000346</v>
      </c>
      <c r="K261">
        <v>468.32528040000051</v>
      </c>
      <c r="L261">
        <v>33117.126213600197</v>
      </c>
      <c r="M261">
        <v>2971.4034890399998</v>
      </c>
      <c r="N261">
        <v>1064.7384047999967</v>
      </c>
      <c r="O261">
        <v>0</v>
      </c>
      <c r="P261">
        <v>965.3551535999926</v>
      </c>
      <c r="Q261">
        <v>0</v>
      </c>
      <c r="R261">
        <v>18.224391600000143</v>
      </c>
    </row>
    <row r="262" spans="1:18" x14ac:dyDescent="0.25">
      <c r="A262" t="s">
        <v>1</v>
      </c>
      <c r="B262" t="s">
        <v>59</v>
      </c>
      <c r="C262" t="s">
        <v>60</v>
      </c>
      <c r="D262">
        <v>1</v>
      </c>
      <c r="E262" t="s">
        <v>96</v>
      </c>
      <c r="F262">
        <v>2042</v>
      </c>
      <c r="G262" t="s">
        <v>2</v>
      </c>
      <c r="H262">
        <v>5513.2717344000002</v>
      </c>
      <c r="I262">
        <v>10606.188571199995</v>
      </c>
      <c r="J262">
        <v>7012.7895300000346</v>
      </c>
      <c r="K262">
        <v>468.32528040000051</v>
      </c>
      <c r="L262">
        <v>33117.126213600197</v>
      </c>
      <c r="M262">
        <v>2929.2233515200001</v>
      </c>
      <c r="N262">
        <v>1064.7384047999967</v>
      </c>
      <c r="O262">
        <v>0</v>
      </c>
      <c r="P262">
        <v>965.3551535999926</v>
      </c>
      <c r="Q262">
        <v>0</v>
      </c>
      <c r="R262">
        <v>87.538066799999925</v>
      </c>
    </row>
    <row r="263" spans="1:18" x14ac:dyDescent="0.25">
      <c r="A263" t="s">
        <v>1</v>
      </c>
      <c r="B263" t="s">
        <v>59</v>
      </c>
      <c r="C263" t="s">
        <v>60</v>
      </c>
      <c r="D263">
        <v>1</v>
      </c>
      <c r="E263" t="s">
        <v>96</v>
      </c>
      <c r="F263">
        <v>2043</v>
      </c>
      <c r="G263" t="s">
        <v>2</v>
      </c>
      <c r="H263">
        <v>7849.7516579999992</v>
      </c>
      <c r="I263">
        <v>10606.188571199995</v>
      </c>
      <c r="J263">
        <v>7012.7895300000346</v>
      </c>
      <c r="K263">
        <v>468.32528040000051</v>
      </c>
      <c r="L263">
        <v>33117.126213600197</v>
      </c>
      <c r="M263">
        <v>729.89809295999999</v>
      </c>
      <c r="N263">
        <v>1064.7384047999967</v>
      </c>
      <c r="O263">
        <v>2195.2847400000001</v>
      </c>
      <c r="P263">
        <v>965.3551535999926</v>
      </c>
      <c r="Q263">
        <v>0</v>
      </c>
      <c r="R263">
        <v>157.9557648000002</v>
      </c>
    </row>
    <row r="264" spans="1:18" x14ac:dyDescent="0.25">
      <c r="A264" t="s">
        <v>1</v>
      </c>
      <c r="B264" t="s">
        <v>59</v>
      </c>
      <c r="C264" t="s">
        <v>60</v>
      </c>
      <c r="D264">
        <v>1</v>
      </c>
      <c r="E264" t="s">
        <v>96</v>
      </c>
      <c r="F264">
        <v>2044</v>
      </c>
      <c r="G264" t="s">
        <v>2</v>
      </c>
      <c r="H264">
        <v>9589.7223420000009</v>
      </c>
      <c r="I264">
        <v>10635.246622079994</v>
      </c>
      <c r="J264">
        <v>7032.0026520000347</v>
      </c>
      <c r="K264">
        <v>469.60836336000051</v>
      </c>
      <c r="L264">
        <v>34220.411442719822</v>
      </c>
      <c r="M264">
        <v>2964.3409087199998</v>
      </c>
      <c r="N264">
        <v>1067.6554963199967</v>
      </c>
      <c r="O264">
        <v>0</v>
      </c>
      <c r="P264">
        <v>967.99996223999256</v>
      </c>
      <c r="Q264">
        <v>0</v>
      </c>
      <c r="R264">
        <v>237.16097279999971</v>
      </c>
    </row>
    <row r="265" spans="1:18" x14ac:dyDescent="0.25">
      <c r="A265" t="s">
        <v>1</v>
      </c>
      <c r="B265" t="s">
        <v>59</v>
      </c>
      <c r="C265" t="s">
        <v>60</v>
      </c>
      <c r="D265">
        <v>1</v>
      </c>
      <c r="E265" t="s">
        <v>96</v>
      </c>
      <c r="F265">
        <v>2045</v>
      </c>
      <c r="G265" t="s">
        <v>2</v>
      </c>
      <c r="H265">
        <v>0</v>
      </c>
      <c r="I265">
        <v>10606.188571199995</v>
      </c>
      <c r="J265">
        <v>7012.7895300000346</v>
      </c>
      <c r="K265">
        <v>468.32528040000051</v>
      </c>
      <c r="L265">
        <v>45579.386125199926</v>
      </c>
      <c r="M265">
        <v>2912.2475541600002</v>
      </c>
      <c r="N265">
        <v>1064.7384047999967</v>
      </c>
      <c r="O265">
        <v>0</v>
      </c>
      <c r="P265">
        <v>965.3551535999926</v>
      </c>
      <c r="Q265">
        <v>0</v>
      </c>
      <c r="R265">
        <v>296.34852240000049</v>
      </c>
    </row>
    <row r="266" spans="1:18" x14ac:dyDescent="0.25">
      <c r="A266" t="s">
        <v>1</v>
      </c>
      <c r="B266" t="s">
        <v>59</v>
      </c>
      <c r="C266" t="s">
        <v>60</v>
      </c>
      <c r="D266">
        <v>1</v>
      </c>
      <c r="E266" t="s">
        <v>96</v>
      </c>
      <c r="F266">
        <v>2046</v>
      </c>
      <c r="G266" t="s">
        <v>2</v>
      </c>
      <c r="H266">
        <v>2375.0262273600001</v>
      </c>
      <c r="I266">
        <v>10606.188571199995</v>
      </c>
      <c r="J266">
        <v>7012.7895300000346</v>
      </c>
      <c r="K266">
        <v>468.32528040000051</v>
      </c>
      <c r="L266">
        <v>45579.386125199926</v>
      </c>
      <c r="M266">
        <v>2898.7368179999999</v>
      </c>
      <c r="N266">
        <v>1064.7384047999967</v>
      </c>
      <c r="O266">
        <v>0</v>
      </c>
      <c r="P266">
        <v>965.3551535999926</v>
      </c>
      <c r="Q266">
        <v>0</v>
      </c>
      <c r="R266">
        <v>362.11317119999882</v>
      </c>
    </row>
    <row r="267" spans="1:18" x14ac:dyDescent="0.25">
      <c r="A267" t="s">
        <v>1</v>
      </c>
      <c r="B267" t="s">
        <v>59</v>
      </c>
      <c r="C267" t="s">
        <v>60</v>
      </c>
      <c r="D267">
        <v>1</v>
      </c>
      <c r="E267" t="s">
        <v>96</v>
      </c>
      <c r="F267">
        <v>2047</v>
      </c>
      <c r="G267" t="s">
        <v>2</v>
      </c>
      <c r="H267">
        <v>4748.2555713600004</v>
      </c>
      <c r="I267">
        <v>10606.188571199995</v>
      </c>
      <c r="J267">
        <v>7012.7895300000346</v>
      </c>
      <c r="K267">
        <v>468.32528040000051</v>
      </c>
      <c r="L267">
        <v>45579.386125199926</v>
      </c>
      <c r="M267">
        <v>732.64126056000009</v>
      </c>
      <c r="N267">
        <v>1064.7384047999967</v>
      </c>
      <c r="O267">
        <v>2150.5630200000001</v>
      </c>
      <c r="P267">
        <v>965.3551535999926</v>
      </c>
      <c r="Q267">
        <v>0</v>
      </c>
      <c r="R267">
        <v>426.96047280000062</v>
      </c>
    </row>
    <row r="268" spans="1:18" x14ac:dyDescent="0.25">
      <c r="A268" t="s">
        <v>1</v>
      </c>
      <c r="B268" t="s">
        <v>59</v>
      </c>
      <c r="C268" t="s">
        <v>60</v>
      </c>
      <c r="D268">
        <v>1</v>
      </c>
      <c r="E268" t="s">
        <v>96</v>
      </c>
      <c r="F268">
        <v>2048</v>
      </c>
      <c r="G268" t="s">
        <v>2</v>
      </c>
      <c r="H268">
        <v>4950.2002012800003</v>
      </c>
      <c r="I268">
        <v>10635.246622079994</v>
      </c>
      <c r="J268">
        <v>7032.0026520000347</v>
      </c>
      <c r="K268">
        <v>469.60836336000051</v>
      </c>
      <c r="L268">
        <v>48274.120844640063</v>
      </c>
      <c r="M268">
        <v>2910.5244911999998</v>
      </c>
      <c r="N268">
        <v>1067.6554963199967</v>
      </c>
      <c r="O268">
        <v>0</v>
      </c>
      <c r="P268">
        <v>967.99996223999256</v>
      </c>
      <c r="Q268">
        <v>0</v>
      </c>
      <c r="R268">
        <v>503.17185168000299</v>
      </c>
    </row>
    <row r="269" spans="1:18" x14ac:dyDescent="0.25">
      <c r="A269" t="s">
        <v>1</v>
      </c>
      <c r="B269" t="s">
        <v>59</v>
      </c>
      <c r="C269" t="s">
        <v>60</v>
      </c>
      <c r="D269">
        <v>1</v>
      </c>
      <c r="E269" t="s">
        <v>96</v>
      </c>
      <c r="F269">
        <v>2049</v>
      </c>
      <c r="G269" t="s">
        <v>2</v>
      </c>
      <c r="H269">
        <v>6964.1027051999999</v>
      </c>
      <c r="I269">
        <v>10606.188571199995</v>
      </c>
      <c r="J269">
        <v>7012.7895300000346</v>
      </c>
      <c r="K269">
        <v>468.32528040000051</v>
      </c>
      <c r="L269">
        <v>48142.224339600063</v>
      </c>
      <c r="M269">
        <v>2855.0083123200002</v>
      </c>
      <c r="N269">
        <v>1064.7384047999967</v>
      </c>
      <c r="O269">
        <v>0</v>
      </c>
      <c r="P269">
        <v>965.3551535999926</v>
      </c>
      <c r="Q269">
        <v>0</v>
      </c>
      <c r="R269">
        <v>558.22916039999757</v>
      </c>
    </row>
    <row r="270" spans="1:18" x14ac:dyDescent="0.25">
      <c r="A270" t="s">
        <v>1</v>
      </c>
      <c r="B270" t="s">
        <v>59</v>
      </c>
      <c r="C270" t="s">
        <v>60</v>
      </c>
      <c r="D270">
        <v>1</v>
      </c>
      <c r="E270" t="s">
        <v>96</v>
      </c>
      <c r="F270">
        <v>2050</v>
      </c>
      <c r="G270" t="s">
        <v>2</v>
      </c>
      <c r="H270">
        <v>0</v>
      </c>
      <c r="I270">
        <v>10606.188571199995</v>
      </c>
      <c r="J270">
        <v>7012.7895300000346</v>
      </c>
      <c r="K270">
        <v>468.32528040000051</v>
      </c>
      <c r="L270">
        <v>57469.636958399751</v>
      </c>
      <c r="M270">
        <v>0</v>
      </c>
      <c r="N270">
        <v>1064.7384047999967</v>
      </c>
      <c r="O270">
        <v>0</v>
      </c>
      <c r="P270">
        <v>965.3551535999926</v>
      </c>
      <c r="Q270">
        <v>0</v>
      </c>
      <c r="R270">
        <v>3448.9688916000127</v>
      </c>
    </row>
    <row r="271" spans="1:18" x14ac:dyDescent="0.25">
      <c r="A271" t="s">
        <v>1</v>
      </c>
      <c r="B271" t="s">
        <v>59</v>
      </c>
      <c r="C271" t="s">
        <v>60</v>
      </c>
      <c r="D271">
        <v>1</v>
      </c>
      <c r="E271" t="s">
        <v>96</v>
      </c>
      <c r="F271">
        <v>2051</v>
      </c>
      <c r="G271" t="s">
        <v>2</v>
      </c>
      <c r="H271">
        <v>0</v>
      </c>
      <c r="I271">
        <v>10606.188571199995</v>
      </c>
      <c r="J271">
        <v>7012.7895300000346</v>
      </c>
      <c r="K271">
        <v>468.32528040000051</v>
      </c>
      <c r="L271">
        <v>57469.636958399751</v>
      </c>
      <c r="M271">
        <v>0</v>
      </c>
      <c r="N271">
        <v>1064.7384047999967</v>
      </c>
      <c r="O271">
        <v>0</v>
      </c>
      <c r="P271">
        <v>965.3551535999926</v>
      </c>
      <c r="Q271">
        <v>0</v>
      </c>
      <c r="R271">
        <v>3448.9688916000127</v>
      </c>
    </row>
    <row r="272" spans="1:18" x14ac:dyDescent="0.25">
      <c r="A272" t="s">
        <v>1</v>
      </c>
      <c r="B272" t="s">
        <v>59</v>
      </c>
      <c r="C272" t="s">
        <v>60</v>
      </c>
      <c r="D272">
        <v>1</v>
      </c>
      <c r="E272" t="s">
        <v>97</v>
      </c>
      <c r="F272">
        <v>2022</v>
      </c>
      <c r="G272" t="s">
        <v>2</v>
      </c>
      <c r="H272">
        <v>0</v>
      </c>
      <c r="I272">
        <v>0</v>
      </c>
      <c r="J272">
        <v>1796.9999448000067</v>
      </c>
      <c r="K272">
        <v>0</v>
      </c>
      <c r="L272">
        <v>0</v>
      </c>
      <c r="M272">
        <v>0</v>
      </c>
      <c r="N272">
        <v>0</v>
      </c>
      <c r="O272">
        <v>0</v>
      </c>
      <c r="P272">
        <v>257.69957760000005</v>
      </c>
      <c r="Q272">
        <v>0</v>
      </c>
      <c r="R272">
        <v>0</v>
      </c>
    </row>
    <row r="273" spans="1:18" x14ac:dyDescent="0.25">
      <c r="A273" t="s">
        <v>1</v>
      </c>
      <c r="B273" t="s">
        <v>59</v>
      </c>
      <c r="C273" t="s">
        <v>60</v>
      </c>
      <c r="D273">
        <v>1</v>
      </c>
      <c r="E273" t="s">
        <v>97</v>
      </c>
      <c r="F273">
        <v>2023</v>
      </c>
      <c r="G273" t="s">
        <v>2</v>
      </c>
      <c r="H273">
        <v>0</v>
      </c>
      <c r="I273">
        <v>0</v>
      </c>
      <c r="J273">
        <v>4137.4388412000117</v>
      </c>
      <c r="K273">
        <v>0</v>
      </c>
      <c r="L273">
        <v>0</v>
      </c>
      <c r="M273">
        <v>0</v>
      </c>
      <c r="N273">
        <v>0</v>
      </c>
      <c r="O273">
        <v>885.00528024000005</v>
      </c>
      <c r="P273">
        <v>872.34296280000456</v>
      </c>
      <c r="Q273">
        <v>0</v>
      </c>
      <c r="R273">
        <v>0</v>
      </c>
    </row>
    <row r="274" spans="1:18" x14ac:dyDescent="0.25">
      <c r="A274" t="s">
        <v>1</v>
      </c>
      <c r="B274" t="s">
        <v>59</v>
      </c>
      <c r="C274" t="s">
        <v>60</v>
      </c>
      <c r="D274">
        <v>1</v>
      </c>
      <c r="E274" t="s">
        <v>97</v>
      </c>
      <c r="F274">
        <v>2024</v>
      </c>
      <c r="G274" t="s">
        <v>2</v>
      </c>
      <c r="H274">
        <v>372.25076688000001</v>
      </c>
      <c r="I274">
        <v>0</v>
      </c>
      <c r="J274">
        <v>4148.7742900800113</v>
      </c>
      <c r="K274">
        <v>0</v>
      </c>
      <c r="L274">
        <v>0</v>
      </c>
      <c r="M274">
        <v>0</v>
      </c>
      <c r="N274">
        <v>0</v>
      </c>
      <c r="O274">
        <v>1547.1808528799997</v>
      </c>
      <c r="P274">
        <v>874.7329435200046</v>
      </c>
      <c r="Q274">
        <v>0</v>
      </c>
      <c r="R274">
        <v>0</v>
      </c>
    </row>
    <row r="275" spans="1:18" x14ac:dyDescent="0.25">
      <c r="A275" t="s">
        <v>1</v>
      </c>
      <c r="B275" t="s">
        <v>59</v>
      </c>
      <c r="C275" t="s">
        <v>60</v>
      </c>
      <c r="D275">
        <v>1</v>
      </c>
      <c r="E275" t="s">
        <v>97</v>
      </c>
      <c r="F275">
        <v>2025</v>
      </c>
      <c r="G275" t="s">
        <v>2</v>
      </c>
      <c r="H275">
        <v>1794.0075688799998</v>
      </c>
      <c r="I275">
        <v>0</v>
      </c>
      <c r="J275">
        <v>5387.0894580000258</v>
      </c>
      <c r="K275">
        <v>0</v>
      </c>
      <c r="L275">
        <v>0</v>
      </c>
      <c r="M275">
        <v>1132.15810104</v>
      </c>
      <c r="N275">
        <v>0</v>
      </c>
      <c r="O275">
        <v>908.97594695999987</v>
      </c>
      <c r="P275">
        <v>872.34296280000456</v>
      </c>
      <c r="Q275">
        <v>0</v>
      </c>
      <c r="R275">
        <v>0</v>
      </c>
    </row>
    <row r="276" spans="1:18" x14ac:dyDescent="0.25">
      <c r="A276" t="s">
        <v>1</v>
      </c>
      <c r="B276" t="s">
        <v>59</v>
      </c>
      <c r="C276" t="s">
        <v>60</v>
      </c>
      <c r="D276">
        <v>1</v>
      </c>
      <c r="E276" t="s">
        <v>97</v>
      </c>
      <c r="F276">
        <v>2026</v>
      </c>
      <c r="G276" t="s">
        <v>2</v>
      </c>
      <c r="H276">
        <v>4940.9188068000003</v>
      </c>
      <c r="I276">
        <v>0</v>
      </c>
      <c r="J276">
        <v>6084.3537468000268</v>
      </c>
      <c r="K276">
        <v>0</v>
      </c>
      <c r="L276">
        <v>0</v>
      </c>
      <c r="M276">
        <v>2459.4963040800003</v>
      </c>
      <c r="N276">
        <v>0</v>
      </c>
      <c r="O276">
        <v>0</v>
      </c>
      <c r="P276">
        <v>958.55660520000345</v>
      </c>
      <c r="Q276">
        <v>0</v>
      </c>
      <c r="R276">
        <v>0</v>
      </c>
    </row>
    <row r="277" spans="1:18" x14ac:dyDescent="0.25">
      <c r="A277" t="s">
        <v>1</v>
      </c>
      <c r="B277" t="s">
        <v>59</v>
      </c>
      <c r="C277" t="s">
        <v>60</v>
      </c>
      <c r="D277">
        <v>1</v>
      </c>
      <c r="E277" t="s">
        <v>97</v>
      </c>
      <c r="F277">
        <v>2027</v>
      </c>
      <c r="G277" t="s">
        <v>2</v>
      </c>
      <c r="H277">
        <v>8029.2171076800005</v>
      </c>
      <c r="I277">
        <v>0</v>
      </c>
      <c r="J277">
        <v>6775.0996320000258</v>
      </c>
      <c r="K277">
        <v>0</v>
      </c>
      <c r="L277">
        <v>0</v>
      </c>
      <c r="M277">
        <v>356.79112008000004</v>
      </c>
      <c r="N277">
        <v>0</v>
      </c>
      <c r="O277">
        <v>2473.19598</v>
      </c>
      <c r="P277">
        <v>1043.2606368000031</v>
      </c>
      <c r="Q277">
        <v>0</v>
      </c>
      <c r="R277">
        <v>0</v>
      </c>
    </row>
    <row r="278" spans="1:18" x14ac:dyDescent="0.25">
      <c r="A278" t="s">
        <v>1</v>
      </c>
      <c r="B278" t="s">
        <v>59</v>
      </c>
      <c r="C278" t="s">
        <v>60</v>
      </c>
      <c r="D278">
        <v>1</v>
      </c>
      <c r="E278" t="s">
        <v>97</v>
      </c>
      <c r="F278">
        <v>2028</v>
      </c>
      <c r="G278" t="s">
        <v>2</v>
      </c>
      <c r="H278">
        <v>10382.09448408</v>
      </c>
      <c r="I278">
        <v>0</v>
      </c>
      <c r="J278">
        <v>8772.4967371200128</v>
      </c>
      <c r="K278">
        <v>0</v>
      </c>
      <c r="L278">
        <v>0</v>
      </c>
      <c r="M278">
        <v>3137.59994448</v>
      </c>
      <c r="N278">
        <v>0</v>
      </c>
      <c r="O278">
        <v>0</v>
      </c>
      <c r="P278">
        <v>1210.5658180799976</v>
      </c>
      <c r="Q278">
        <v>0</v>
      </c>
      <c r="R278">
        <v>0</v>
      </c>
    </row>
    <row r="279" spans="1:18" x14ac:dyDescent="0.25">
      <c r="A279" t="s">
        <v>1</v>
      </c>
      <c r="B279" t="s">
        <v>59</v>
      </c>
      <c r="C279" t="s">
        <v>60</v>
      </c>
      <c r="D279">
        <v>1</v>
      </c>
      <c r="E279" t="s">
        <v>97</v>
      </c>
      <c r="F279">
        <v>2029</v>
      </c>
      <c r="G279" t="s">
        <v>2</v>
      </c>
      <c r="H279">
        <v>13348.1745744</v>
      </c>
      <c r="I279">
        <v>0</v>
      </c>
      <c r="J279">
        <v>8748.5281668000134</v>
      </c>
      <c r="K279">
        <v>0</v>
      </c>
      <c r="L279">
        <v>0</v>
      </c>
      <c r="M279">
        <v>3445.0397366399998</v>
      </c>
      <c r="N279">
        <v>0</v>
      </c>
      <c r="O279">
        <v>0</v>
      </c>
      <c r="P279">
        <v>1207.2582611999976</v>
      </c>
      <c r="Q279">
        <v>0</v>
      </c>
      <c r="R279">
        <v>0</v>
      </c>
    </row>
    <row r="280" spans="1:18" x14ac:dyDescent="0.25">
      <c r="A280" t="s">
        <v>1</v>
      </c>
      <c r="B280" t="s">
        <v>59</v>
      </c>
      <c r="C280" t="s">
        <v>60</v>
      </c>
      <c r="D280">
        <v>1</v>
      </c>
      <c r="E280" t="s">
        <v>97</v>
      </c>
      <c r="F280">
        <v>2030</v>
      </c>
      <c r="G280" t="s">
        <v>2</v>
      </c>
      <c r="H280">
        <v>16950.085860719999</v>
      </c>
      <c r="I280">
        <v>0</v>
      </c>
      <c r="J280">
        <v>8748.5281668000134</v>
      </c>
      <c r="K280">
        <v>0</v>
      </c>
      <c r="L280">
        <v>0</v>
      </c>
      <c r="M280">
        <v>3701.5096929599999</v>
      </c>
      <c r="N280">
        <v>79.651351199999738</v>
      </c>
      <c r="O280">
        <v>0</v>
      </c>
      <c r="P280">
        <v>1207.2582611999976</v>
      </c>
      <c r="Q280">
        <v>0</v>
      </c>
      <c r="R280">
        <v>0</v>
      </c>
    </row>
    <row r="281" spans="1:18" x14ac:dyDescent="0.25">
      <c r="A281" t="s">
        <v>1</v>
      </c>
      <c r="B281" t="s">
        <v>59</v>
      </c>
      <c r="C281" t="s">
        <v>60</v>
      </c>
      <c r="D281">
        <v>1</v>
      </c>
      <c r="E281" t="s">
        <v>97</v>
      </c>
      <c r="F281">
        <v>2031</v>
      </c>
      <c r="G281" t="s">
        <v>2</v>
      </c>
      <c r="H281">
        <v>19905.592856160001</v>
      </c>
      <c r="I281">
        <v>448.4673240000036</v>
      </c>
      <c r="J281">
        <v>8936.6690520000138</v>
      </c>
      <c r="K281">
        <v>0</v>
      </c>
      <c r="L281">
        <v>0</v>
      </c>
      <c r="M281">
        <v>1240.1235655200001</v>
      </c>
      <c r="N281">
        <v>158.59874880000012</v>
      </c>
      <c r="O281">
        <v>2419.00362</v>
      </c>
      <c r="P281">
        <v>1207.2582611999976</v>
      </c>
      <c r="Q281">
        <v>0</v>
      </c>
      <c r="R281">
        <v>0</v>
      </c>
    </row>
    <row r="282" spans="1:18" x14ac:dyDescent="0.25">
      <c r="A282" t="s">
        <v>1</v>
      </c>
      <c r="B282" t="s">
        <v>59</v>
      </c>
      <c r="C282" t="s">
        <v>60</v>
      </c>
      <c r="D282">
        <v>1</v>
      </c>
      <c r="E282" t="s">
        <v>97</v>
      </c>
      <c r="F282">
        <v>2032</v>
      </c>
      <c r="G282" t="s">
        <v>2</v>
      </c>
      <c r="H282">
        <v>12574.308829919999</v>
      </c>
      <c r="I282">
        <v>12023.767144799947</v>
      </c>
      <c r="J282">
        <v>8961.1530768000139</v>
      </c>
      <c r="K282">
        <v>0</v>
      </c>
      <c r="L282">
        <v>0</v>
      </c>
      <c r="M282">
        <v>3671.0473159200001</v>
      </c>
      <c r="N282">
        <v>242.62585055999875</v>
      </c>
      <c r="O282">
        <v>0</v>
      </c>
      <c r="P282">
        <v>1210.5658180799976</v>
      </c>
      <c r="Q282">
        <v>0</v>
      </c>
      <c r="R282">
        <v>0</v>
      </c>
    </row>
    <row r="283" spans="1:18" x14ac:dyDescent="0.25">
      <c r="A283" t="s">
        <v>1</v>
      </c>
      <c r="B283" t="s">
        <v>59</v>
      </c>
      <c r="C283" t="s">
        <v>60</v>
      </c>
      <c r="D283">
        <v>1</v>
      </c>
      <c r="E283" t="s">
        <v>97</v>
      </c>
      <c r="F283">
        <v>2033</v>
      </c>
      <c r="G283" t="s">
        <v>2</v>
      </c>
      <c r="H283">
        <v>8796.9603139200008</v>
      </c>
      <c r="I283">
        <v>18714.331742400078</v>
      </c>
      <c r="J283">
        <v>8936.6690520000138</v>
      </c>
      <c r="K283">
        <v>0</v>
      </c>
      <c r="L283">
        <v>0</v>
      </c>
      <c r="M283">
        <v>3570.9360729600003</v>
      </c>
      <c r="N283">
        <v>313.70041800000001</v>
      </c>
      <c r="O283">
        <v>0</v>
      </c>
      <c r="P283">
        <v>1207.2582611999976</v>
      </c>
      <c r="Q283">
        <v>0</v>
      </c>
      <c r="R283">
        <v>0</v>
      </c>
    </row>
    <row r="284" spans="1:18" x14ac:dyDescent="0.25">
      <c r="A284" t="s">
        <v>1</v>
      </c>
      <c r="B284" t="s">
        <v>59</v>
      </c>
      <c r="C284" t="s">
        <v>60</v>
      </c>
      <c r="D284">
        <v>1</v>
      </c>
      <c r="E284" t="s">
        <v>97</v>
      </c>
      <c r="F284">
        <v>2034</v>
      </c>
      <c r="G284" t="s">
        <v>2</v>
      </c>
      <c r="H284">
        <v>12363.71768496</v>
      </c>
      <c r="I284">
        <v>18714.331742400078</v>
      </c>
      <c r="J284">
        <v>8936.6690520000138</v>
      </c>
      <c r="K284">
        <v>0</v>
      </c>
      <c r="L284">
        <v>0</v>
      </c>
      <c r="M284">
        <v>3531.1693919999998</v>
      </c>
      <c r="N284">
        <v>391.16676240000294</v>
      </c>
      <c r="O284">
        <v>0</v>
      </c>
      <c r="P284">
        <v>1207.2582611999976</v>
      </c>
      <c r="Q284">
        <v>0</v>
      </c>
      <c r="R284">
        <v>0</v>
      </c>
    </row>
    <row r="285" spans="1:18" x14ac:dyDescent="0.25">
      <c r="A285" t="s">
        <v>1</v>
      </c>
      <c r="B285" t="s">
        <v>59</v>
      </c>
      <c r="C285" t="s">
        <v>60</v>
      </c>
      <c r="D285">
        <v>1</v>
      </c>
      <c r="E285" t="s">
        <v>97</v>
      </c>
      <c r="F285">
        <v>2035</v>
      </c>
      <c r="G285" t="s">
        <v>2</v>
      </c>
      <c r="H285">
        <v>16002.502660079999</v>
      </c>
      <c r="I285">
        <v>18714.331742400078</v>
      </c>
      <c r="J285">
        <v>8936.6690520000138</v>
      </c>
      <c r="K285">
        <v>0</v>
      </c>
      <c r="L285">
        <v>0</v>
      </c>
      <c r="M285">
        <v>1124.37908808</v>
      </c>
      <c r="N285">
        <v>469.03939559999793</v>
      </c>
      <c r="O285">
        <v>2371.0325400000002</v>
      </c>
      <c r="P285">
        <v>1207.2582611999976</v>
      </c>
      <c r="Q285">
        <v>0</v>
      </c>
      <c r="R285">
        <v>0</v>
      </c>
    </row>
    <row r="286" spans="1:18" x14ac:dyDescent="0.25">
      <c r="A286" t="s">
        <v>1</v>
      </c>
      <c r="B286" t="s">
        <v>59</v>
      </c>
      <c r="C286" t="s">
        <v>60</v>
      </c>
      <c r="D286">
        <v>1</v>
      </c>
      <c r="E286" t="s">
        <v>97</v>
      </c>
      <c r="F286">
        <v>2036</v>
      </c>
      <c r="G286" t="s">
        <v>2</v>
      </c>
      <c r="H286">
        <v>5434.9426548000001</v>
      </c>
      <c r="I286">
        <v>32219.329281119706</v>
      </c>
      <c r="J286">
        <v>8961.1530768000139</v>
      </c>
      <c r="K286">
        <v>0</v>
      </c>
      <c r="L286">
        <v>0</v>
      </c>
      <c r="M286">
        <v>3511.4676674400002</v>
      </c>
      <c r="N286">
        <v>554.37563232000014</v>
      </c>
      <c r="O286">
        <v>0</v>
      </c>
      <c r="P286">
        <v>1210.5658180799976</v>
      </c>
      <c r="Q286">
        <v>0</v>
      </c>
      <c r="R286">
        <v>0</v>
      </c>
    </row>
    <row r="287" spans="1:18" x14ac:dyDescent="0.25">
      <c r="A287" t="s">
        <v>1</v>
      </c>
      <c r="B287" t="s">
        <v>59</v>
      </c>
      <c r="C287" t="s">
        <v>60</v>
      </c>
      <c r="D287">
        <v>1</v>
      </c>
      <c r="E287" t="s">
        <v>97</v>
      </c>
      <c r="F287">
        <v>2037</v>
      </c>
      <c r="G287" t="s">
        <v>2</v>
      </c>
      <c r="H287">
        <v>7140.2484383999999</v>
      </c>
      <c r="I287">
        <v>32131.298326799708</v>
      </c>
      <c r="J287">
        <v>8936.6690520000138</v>
      </c>
      <c r="K287">
        <v>0</v>
      </c>
      <c r="L287">
        <v>0</v>
      </c>
      <c r="M287">
        <v>3418.92710592</v>
      </c>
      <c r="N287">
        <v>622.11943200000258</v>
      </c>
      <c r="O287">
        <v>0</v>
      </c>
      <c r="P287">
        <v>1207.2582611999976</v>
      </c>
      <c r="Q287">
        <v>0</v>
      </c>
      <c r="R287">
        <v>0</v>
      </c>
    </row>
    <row r="288" spans="1:18" x14ac:dyDescent="0.25">
      <c r="A288" t="s">
        <v>1</v>
      </c>
      <c r="B288" t="s">
        <v>59</v>
      </c>
      <c r="C288" t="s">
        <v>60</v>
      </c>
      <c r="D288">
        <v>1</v>
      </c>
      <c r="E288" t="s">
        <v>97</v>
      </c>
      <c r="F288">
        <v>2038</v>
      </c>
      <c r="G288" t="s">
        <v>2</v>
      </c>
      <c r="H288">
        <v>9382.047744720001</v>
      </c>
      <c r="I288">
        <v>32131.298326799708</v>
      </c>
      <c r="J288">
        <v>8936.6690520000138</v>
      </c>
      <c r="K288">
        <v>0</v>
      </c>
      <c r="L288">
        <v>0</v>
      </c>
      <c r="M288">
        <v>3373.8128133600003</v>
      </c>
      <c r="N288">
        <v>695.90000640000062</v>
      </c>
      <c r="O288">
        <v>0</v>
      </c>
      <c r="P288">
        <v>1207.2582611999976</v>
      </c>
      <c r="Q288">
        <v>0</v>
      </c>
      <c r="R288">
        <v>0</v>
      </c>
    </row>
    <row r="289" spans="1:18" x14ac:dyDescent="0.25">
      <c r="A289" t="s">
        <v>1</v>
      </c>
      <c r="B289" t="s">
        <v>59</v>
      </c>
      <c r="C289" t="s">
        <v>60</v>
      </c>
      <c r="D289">
        <v>1</v>
      </c>
      <c r="E289" t="s">
        <v>97</v>
      </c>
      <c r="F289">
        <v>2039</v>
      </c>
      <c r="G289" t="s">
        <v>2</v>
      </c>
      <c r="H289">
        <v>11649.16181688</v>
      </c>
      <c r="I289">
        <v>32131.298326799708</v>
      </c>
      <c r="J289">
        <v>8936.6690520000138</v>
      </c>
      <c r="K289">
        <v>0</v>
      </c>
      <c r="L289">
        <v>0</v>
      </c>
      <c r="M289">
        <v>1002.92956656</v>
      </c>
      <c r="N289">
        <v>767.83020600000248</v>
      </c>
      <c r="O289">
        <v>2322.0613199999998</v>
      </c>
      <c r="P289">
        <v>1207.2582611999976</v>
      </c>
      <c r="Q289">
        <v>0</v>
      </c>
      <c r="R289">
        <v>0</v>
      </c>
    </row>
    <row r="290" spans="1:18" x14ac:dyDescent="0.25">
      <c r="A290" t="s">
        <v>1</v>
      </c>
      <c r="B290" t="s">
        <v>59</v>
      </c>
      <c r="C290" t="s">
        <v>60</v>
      </c>
      <c r="D290">
        <v>1</v>
      </c>
      <c r="E290" t="s">
        <v>97</v>
      </c>
      <c r="F290">
        <v>2040</v>
      </c>
      <c r="G290" t="s">
        <v>2</v>
      </c>
      <c r="H290">
        <v>14377.4756352</v>
      </c>
      <c r="I290">
        <v>32219.329281119706</v>
      </c>
      <c r="J290">
        <v>8961.1530768000139</v>
      </c>
      <c r="K290">
        <v>0</v>
      </c>
      <c r="L290">
        <v>0</v>
      </c>
      <c r="M290">
        <v>3330.2181434399999</v>
      </c>
      <c r="N290">
        <v>850.52300975999549</v>
      </c>
      <c r="O290">
        <v>0</v>
      </c>
      <c r="P290">
        <v>1210.5658180799976</v>
      </c>
      <c r="Q290">
        <v>0</v>
      </c>
      <c r="R290">
        <v>0</v>
      </c>
    </row>
    <row r="291" spans="1:18" x14ac:dyDescent="0.25">
      <c r="A291" t="s">
        <v>1</v>
      </c>
      <c r="B291" t="s">
        <v>59</v>
      </c>
      <c r="C291" t="s">
        <v>60</v>
      </c>
      <c r="D291">
        <v>1</v>
      </c>
      <c r="E291" t="s">
        <v>97</v>
      </c>
      <c r="F291">
        <v>2041</v>
      </c>
      <c r="G291" t="s">
        <v>2</v>
      </c>
      <c r="H291">
        <v>3006.2493432000001</v>
      </c>
      <c r="I291">
        <v>32131.298326799708</v>
      </c>
      <c r="J291">
        <v>8936.6690520000138</v>
      </c>
      <c r="K291">
        <v>0</v>
      </c>
      <c r="L291">
        <v>13198.920548400063</v>
      </c>
      <c r="M291">
        <v>3241.6994054399997</v>
      </c>
      <c r="N291">
        <v>914.29521599999327</v>
      </c>
      <c r="O291">
        <v>0</v>
      </c>
      <c r="P291">
        <v>1207.2582611999976</v>
      </c>
      <c r="Q291">
        <v>0</v>
      </c>
      <c r="R291">
        <v>0</v>
      </c>
    </row>
    <row r="292" spans="1:18" x14ac:dyDescent="0.25">
      <c r="A292" t="s">
        <v>1</v>
      </c>
      <c r="B292" t="s">
        <v>59</v>
      </c>
      <c r="C292" t="s">
        <v>60</v>
      </c>
      <c r="D292">
        <v>1</v>
      </c>
      <c r="E292" t="s">
        <v>97</v>
      </c>
      <c r="F292">
        <v>2042</v>
      </c>
      <c r="G292" t="s">
        <v>2</v>
      </c>
      <c r="H292">
        <v>5421.7410216000007</v>
      </c>
      <c r="I292">
        <v>32131.298326799708</v>
      </c>
      <c r="J292">
        <v>8936.6690520000138</v>
      </c>
      <c r="K292">
        <v>0</v>
      </c>
      <c r="L292">
        <v>13198.920548400063</v>
      </c>
      <c r="M292">
        <v>1062.1384444799999</v>
      </c>
      <c r="N292">
        <v>3136.9421591999981</v>
      </c>
      <c r="O292">
        <v>0</v>
      </c>
      <c r="P292">
        <v>1207.2582611999976</v>
      </c>
      <c r="Q292">
        <v>0</v>
      </c>
      <c r="R292">
        <v>0</v>
      </c>
    </row>
    <row r="293" spans="1:18" x14ac:dyDescent="0.25">
      <c r="A293" t="s">
        <v>1</v>
      </c>
      <c r="B293" t="s">
        <v>59</v>
      </c>
      <c r="C293" t="s">
        <v>60</v>
      </c>
      <c r="D293">
        <v>1</v>
      </c>
      <c r="E293" t="s">
        <v>97</v>
      </c>
      <c r="F293">
        <v>2043</v>
      </c>
      <c r="G293" t="s">
        <v>2</v>
      </c>
      <c r="H293">
        <v>7844.9062838399996</v>
      </c>
      <c r="I293">
        <v>32131.298326799708</v>
      </c>
      <c r="J293">
        <v>8936.6690520000138</v>
      </c>
      <c r="K293">
        <v>0</v>
      </c>
      <c r="L293">
        <v>13198.920548400063</v>
      </c>
      <c r="M293">
        <v>0</v>
      </c>
      <c r="N293">
        <v>3136.9421591999981</v>
      </c>
      <c r="O293">
        <v>1143.27658632</v>
      </c>
      <c r="P293">
        <v>1207.2582611999976</v>
      </c>
      <c r="Q293">
        <v>0</v>
      </c>
      <c r="R293">
        <v>0</v>
      </c>
    </row>
    <row r="294" spans="1:18" x14ac:dyDescent="0.25">
      <c r="A294" t="s">
        <v>1</v>
      </c>
      <c r="B294" t="s">
        <v>59</v>
      </c>
      <c r="C294" t="s">
        <v>60</v>
      </c>
      <c r="D294">
        <v>1</v>
      </c>
      <c r="E294" t="s">
        <v>97</v>
      </c>
      <c r="F294">
        <v>2044</v>
      </c>
      <c r="G294" t="s">
        <v>2</v>
      </c>
      <c r="H294">
        <v>7203.3544060799995</v>
      </c>
      <c r="I294">
        <v>32219.329281119706</v>
      </c>
      <c r="J294">
        <v>8961.1530768000139</v>
      </c>
      <c r="K294">
        <v>0</v>
      </c>
      <c r="L294">
        <v>16713.849812880097</v>
      </c>
      <c r="M294">
        <v>0</v>
      </c>
      <c r="N294">
        <v>3271.6339156799859</v>
      </c>
      <c r="O294">
        <v>1146.4917736800001</v>
      </c>
      <c r="P294">
        <v>1210.5658180799976</v>
      </c>
      <c r="Q294">
        <v>0</v>
      </c>
      <c r="R294">
        <v>0</v>
      </c>
    </row>
    <row r="295" spans="1:18" x14ac:dyDescent="0.25">
      <c r="A295" t="s">
        <v>1</v>
      </c>
      <c r="B295" t="s">
        <v>59</v>
      </c>
      <c r="C295" t="s">
        <v>60</v>
      </c>
      <c r="D295">
        <v>1</v>
      </c>
      <c r="E295" t="s">
        <v>97</v>
      </c>
      <c r="F295">
        <v>2045</v>
      </c>
      <c r="G295" t="s">
        <v>2</v>
      </c>
      <c r="H295">
        <v>2391.2133103199999</v>
      </c>
      <c r="I295">
        <v>32131.298326799708</v>
      </c>
      <c r="J295">
        <v>8936.6690520000138</v>
      </c>
      <c r="K295">
        <v>0</v>
      </c>
      <c r="L295">
        <v>23390.904608399891</v>
      </c>
      <c r="M295">
        <v>1169.5536084</v>
      </c>
      <c r="N295">
        <v>3262.695025199986</v>
      </c>
      <c r="O295">
        <v>0</v>
      </c>
      <c r="P295">
        <v>1207.2582611999976</v>
      </c>
      <c r="Q295">
        <v>0</v>
      </c>
      <c r="R295">
        <v>0</v>
      </c>
    </row>
    <row r="296" spans="1:18" x14ac:dyDescent="0.25">
      <c r="A296" t="s">
        <v>1</v>
      </c>
      <c r="B296" t="s">
        <v>59</v>
      </c>
      <c r="C296" t="s">
        <v>60</v>
      </c>
      <c r="D296">
        <v>1</v>
      </c>
      <c r="E296" t="s">
        <v>97</v>
      </c>
      <c r="F296">
        <v>2046</v>
      </c>
      <c r="G296" t="s">
        <v>2</v>
      </c>
      <c r="H296">
        <v>4822.54221504</v>
      </c>
      <c r="I296">
        <v>32131.298326799708</v>
      </c>
      <c r="J296">
        <v>8936.6690520000138</v>
      </c>
      <c r="K296">
        <v>0</v>
      </c>
      <c r="L296">
        <v>23390.904608399891</v>
      </c>
      <c r="M296">
        <v>1232.53170864</v>
      </c>
      <c r="N296">
        <v>3262.695025199986</v>
      </c>
      <c r="O296">
        <v>0</v>
      </c>
      <c r="P296">
        <v>1207.2582611999976</v>
      </c>
      <c r="Q296">
        <v>0</v>
      </c>
      <c r="R296">
        <v>0</v>
      </c>
    </row>
    <row r="297" spans="1:18" x14ac:dyDescent="0.25">
      <c r="A297" t="s">
        <v>1</v>
      </c>
      <c r="B297" t="s">
        <v>59</v>
      </c>
      <c r="C297" t="s">
        <v>60</v>
      </c>
      <c r="D297">
        <v>1</v>
      </c>
      <c r="E297" t="s">
        <v>97</v>
      </c>
      <c r="F297">
        <v>2047</v>
      </c>
      <c r="G297" t="s">
        <v>2</v>
      </c>
      <c r="H297">
        <v>7250.93978496</v>
      </c>
      <c r="I297">
        <v>32131.298326799708</v>
      </c>
      <c r="J297">
        <v>8936.6690520000138</v>
      </c>
      <c r="K297">
        <v>0</v>
      </c>
      <c r="L297">
        <v>23390.904608399891</v>
      </c>
      <c r="M297">
        <v>0</v>
      </c>
      <c r="N297">
        <v>3262.695025199986</v>
      </c>
      <c r="O297">
        <v>1292.0254893599999</v>
      </c>
      <c r="P297">
        <v>1207.2582611999976</v>
      </c>
      <c r="Q297">
        <v>0</v>
      </c>
      <c r="R297">
        <v>0</v>
      </c>
    </row>
    <row r="298" spans="1:18" x14ac:dyDescent="0.25">
      <c r="A298" t="s">
        <v>1</v>
      </c>
      <c r="B298" t="s">
        <v>59</v>
      </c>
      <c r="C298" t="s">
        <v>60</v>
      </c>
      <c r="D298">
        <v>1</v>
      </c>
      <c r="E298" t="s">
        <v>97</v>
      </c>
      <c r="F298">
        <v>2048</v>
      </c>
      <c r="G298" t="s">
        <v>2</v>
      </c>
      <c r="H298">
        <v>0</v>
      </c>
      <c r="I298">
        <v>32219.329281119706</v>
      </c>
      <c r="J298">
        <v>8961.1530768000139</v>
      </c>
      <c r="K298">
        <v>0</v>
      </c>
      <c r="L298">
        <v>33540.984326880054</v>
      </c>
      <c r="M298">
        <v>438.67079135999995</v>
      </c>
      <c r="N298">
        <v>3271.6339156799859</v>
      </c>
      <c r="O298">
        <v>963.18071063999992</v>
      </c>
      <c r="P298">
        <v>1210.5658180799976</v>
      </c>
      <c r="Q298">
        <v>0</v>
      </c>
      <c r="R298">
        <v>0</v>
      </c>
    </row>
    <row r="299" spans="1:18" x14ac:dyDescent="0.25">
      <c r="A299" t="s">
        <v>1</v>
      </c>
      <c r="B299" t="s">
        <v>59</v>
      </c>
      <c r="C299" t="s">
        <v>60</v>
      </c>
      <c r="D299">
        <v>1</v>
      </c>
      <c r="E299" t="s">
        <v>97</v>
      </c>
      <c r="F299">
        <v>2049</v>
      </c>
      <c r="G299" t="s">
        <v>2</v>
      </c>
      <c r="H299">
        <v>0</v>
      </c>
      <c r="I299">
        <v>32131.298326799708</v>
      </c>
      <c r="J299">
        <v>8936.6690520000138</v>
      </c>
      <c r="K299">
        <v>0</v>
      </c>
      <c r="L299">
        <v>35510.395881600038</v>
      </c>
      <c r="M299">
        <v>0</v>
      </c>
      <c r="N299">
        <v>3262.695025199986</v>
      </c>
      <c r="O299">
        <v>0</v>
      </c>
      <c r="P299">
        <v>1207.2582611999976</v>
      </c>
      <c r="Q299">
        <v>0</v>
      </c>
      <c r="R299">
        <v>1414.649421600006</v>
      </c>
    </row>
    <row r="300" spans="1:18" x14ac:dyDescent="0.25">
      <c r="A300" t="s">
        <v>1</v>
      </c>
      <c r="B300" t="s">
        <v>59</v>
      </c>
      <c r="C300" t="s">
        <v>60</v>
      </c>
      <c r="D300">
        <v>1</v>
      </c>
      <c r="E300" t="s">
        <v>97</v>
      </c>
      <c r="F300">
        <v>2050</v>
      </c>
      <c r="G300" t="s">
        <v>2</v>
      </c>
      <c r="H300">
        <v>0</v>
      </c>
      <c r="I300">
        <v>32131.298326799708</v>
      </c>
      <c r="J300">
        <v>8936.6690520000138</v>
      </c>
      <c r="K300">
        <v>0</v>
      </c>
      <c r="L300">
        <v>37915.181445599977</v>
      </c>
      <c r="M300">
        <v>0</v>
      </c>
      <c r="N300">
        <v>3262.695025199986</v>
      </c>
      <c r="O300">
        <v>0</v>
      </c>
      <c r="P300">
        <v>1207.2582611999976</v>
      </c>
      <c r="Q300">
        <v>0</v>
      </c>
      <c r="R300">
        <v>1459.2480707999939</v>
      </c>
    </row>
    <row r="301" spans="1:18" x14ac:dyDescent="0.25">
      <c r="A301" t="s">
        <v>1</v>
      </c>
      <c r="B301" t="s">
        <v>59</v>
      </c>
      <c r="C301" t="s">
        <v>60</v>
      </c>
      <c r="D301">
        <v>1</v>
      </c>
      <c r="E301" t="s">
        <v>97</v>
      </c>
      <c r="F301">
        <v>2051</v>
      </c>
      <c r="G301" t="s">
        <v>2</v>
      </c>
      <c r="H301">
        <v>0</v>
      </c>
      <c r="I301">
        <v>32131.298326799708</v>
      </c>
      <c r="J301">
        <v>8936.6690520000138</v>
      </c>
      <c r="K301">
        <v>0</v>
      </c>
      <c r="L301">
        <v>37915.181445599977</v>
      </c>
      <c r="M301">
        <v>0</v>
      </c>
      <c r="N301">
        <v>3262.695025199986</v>
      </c>
      <c r="O301">
        <v>0</v>
      </c>
      <c r="P301">
        <v>1207.2582611999976</v>
      </c>
      <c r="Q301">
        <v>0</v>
      </c>
      <c r="R301">
        <v>1459.2480707999939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80350-56B6-4336-B03C-282520372306}">
  <sheetPr>
    <tabColor theme="7"/>
  </sheetPr>
  <dimension ref="A1:R31"/>
  <sheetViews>
    <sheetView workbookViewId="0">
      <selection activeCell="I2" sqref="I2:R31"/>
    </sheetView>
  </sheetViews>
  <sheetFormatPr defaultRowHeight="15" x14ac:dyDescent="0.25"/>
  <cols>
    <col min="3" max="3" width="26.85546875" customWidth="1"/>
    <col min="5" max="5" width="32.28515625" customWidth="1"/>
    <col min="9" max="9" width="13.7109375" customWidth="1"/>
    <col min="14" max="14" width="10.42578125" customWidth="1"/>
  </cols>
  <sheetData>
    <row r="1" spans="1:18" x14ac:dyDescent="0.25">
      <c r="A1" t="s">
        <v>43</v>
      </c>
      <c r="B1" t="s">
        <v>44</v>
      </c>
      <c r="C1" t="s">
        <v>323</v>
      </c>
      <c r="D1" t="s">
        <v>324</v>
      </c>
      <c r="E1" t="s">
        <v>45</v>
      </c>
      <c r="F1" t="s">
        <v>46</v>
      </c>
      <c r="G1" t="s">
        <v>0</v>
      </c>
      <c r="H1" t="s">
        <v>48</v>
      </c>
      <c r="I1" t="s">
        <v>61</v>
      </c>
      <c r="J1" t="s">
        <v>62</v>
      </c>
      <c r="K1" t="s">
        <v>63</v>
      </c>
      <c r="L1" t="s">
        <v>64</v>
      </c>
      <c r="M1" t="s">
        <v>65</v>
      </c>
      <c r="N1" t="s">
        <v>66</v>
      </c>
      <c r="O1" t="s">
        <v>67</v>
      </c>
      <c r="P1" t="s">
        <v>95</v>
      </c>
      <c r="Q1" t="s">
        <v>96</v>
      </c>
      <c r="R1" t="s">
        <v>97</v>
      </c>
    </row>
    <row r="2" spans="1:18" x14ac:dyDescent="0.25">
      <c r="A2" t="s">
        <v>1</v>
      </c>
      <c r="B2" t="s">
        <v>325</v>
      </c>
      <c r="C2" t="s">
        <v>326</v>
      </c>
      <c r="D2" t="s">
        <v>327</v>
      </c>
      <c r="E2" t="s">
        <v>328</v>
      </c>
      <c r="F2">
        <v>1</v>
      </c>
      <c r="G2">
        <v>2022</v>
      </c>
      <c r="H2" s="63">
        <v>0</v>
      </c>
      <c r="I2" s="5">
        <v>364598.35316424002</v>
      </c>
      <c r="J2" s="9">
        <v>363992.70514439972</v>
      </c>
      <c r="K2" s="9">
        <v>363870.17046959966</v>
      </c>
      <c r="L2" s="9">
        <v>363992.70514415979</v>
      </c>
      <c r="M2" s="9">
        <v>363992.70514487976</v>
      </c>
      <c r="N2" s="5">
        <v>364853.06944127998</v>
      </c>
      <c r="O2" s="9">
        <v>364853.06944127963</v>
      </c>
      <c r="P2" s="9">
        <v>363992.70514487976</v>
      </c>
      <c r="Q2" s="9">
        <v>363992.70514463983</v>
      </c>
      <c r="R2" s="9">
        <v>363992.70514487982</v>
      </c>
    </row>
    <row r="3" spans="1:18" x14ac:dyDescent="0.25">
      <c r="A3" t="s">
        <v>1</v>
      </c>
      <c r="B3" t="s">
        <v>325</v>
      </c>
      <c r="C3" t="s">
        <v>326</v>
      </c>
      <c r="D3" t="s">
        <v>327</v>
      </c>
      <c r="E3" t="s">
        <v>328</v>
      </c>
      <c r="F3">
        <v>1</v>
      </c>
      <c r="G3">
        <v>2023</v>
      </c>
      <c r="H3" s="63">
        <v>0</v>
      </c>
      <c r="I3" s="5">
        <v>340541.22243864002</v>
      </c>
      <c r="J3" s="9">
        <v>337425.95119175903</v>
      </c>
      <c r="K3" s="9">
        <v>335074.97219879908</v>
      </c>
      <c r="L3" s="9">
        <v>336974.75209415931</v>
      </c>
      <c r="M3" s="9">
        <v>337425.95119319903</v>
      </c>
      <c r="N3" s="5">
        <v>339782.39405111998</v>
      </c>
      <c r="O3" s="9">
        <v>331567.2436312791</v>
      </c>
      <c r="P3" s="9">
        <v>337425.95119247906</v>
      </c>
      <c r="Q3" s="9">
        <v>337425.95119295892</v>
      </c>
      <c r="R3" s="9">
        <v>337425.28628759901</v>
      </c>
    </row>
    <row r="4" spans="1:18" x14ac:dyDescent="0.25">
      <c r="A4" t="s">
        <v>1</v>
      </c>
      <c r="B4" t="s">
        <v>325</v>
      </c>
      <c r="C4" t="s">
        <v>326</v>
      </c>
      <c r="D4" t="s">
        <v>327</v>
      </c>
      <c r="E4" t="s">
        <v>328</v>
      </c>
      <c r="F4">
        <v>1</v>
      </c>
      <c r="G4">
        <v>2024</v>
      </c>
      <c r="H4" s="63">
        <v>0</v>
      </c>
      <c r="I4" s="5">
        <v>267832.94610360003</v>
      </c>
      <c r="J4" s="9">
        <v>264472.9860936004</v>
      </c>
      <c r="K4" s="9">
        <v>261587.52438048026</v>
      </c>
      <c r="L4" s="9">
        <v>263187.17820504028</v>
      </c>
      <c r="M4" s="9">
        <v>264386.97776520037</v>
      </c>
      <c r="N4" s="5">
        <v>265662.78966840002</v>
      </c>
      <c r="O4" s="9">
        <v>254449.14448104036</v>
      </c>
      <c r="P4" s="9">
        <v>264472.98609288043</v>
      </c>
      <c r="Q4" s="9">
        <v>264472.98609384039</v>
      </c>
      <c r="R4" s="9">
        <v>264540.3858304802</v>
      </c>
    </row>
    <row r="5" spans="1:18" x14ac:dyDescent="0.25">
      <c r="A5" t="s">
        <v>1</v>
      </c>
      <c r="B5" t="s">
        <v>325</v>
      </c>
      <c r="C5" t="s">
        <v>326</v>
      </c>
      <c r="D5" t="s">
        <v>327</v>
      </c>
      <c r="E5" t="s">
        <v>328</v>
      </c>
      <c r="F5">
        <v>1</v>
      </c>
      <c r="G5">
        <v>2025</v>
      </c>
      <c r="H5" s="63">
        <v>0</v>
      </c>
      <c r="I5" s="5">
        <v>281316.11901839997</v>
      </c>
      <c r="J5" s="9">
        <v>272185.95172079984</v>
      </c>
      <c r="K5" s="9">
        <v>267112.54654583975</v>
      </c>
      <c r="L5" s="9">
        <v>266618.08840655972</v>
      </c>
      <c r="M5" s="9">
        <v>268906.57398719981</v>
      </c>
      <c r="N5" s="5">
        <v>269608.57077552</v>
      </c>
      <c r="O5" s="9">
        <v>249667.88487335952</v>
      </c>
      <c r="P5" s="9">
        <v>274618.15983095992</v>
      </c>
      <c r="Q5" s="9">
        <v>274618.15983215999</v>
      </c>
      <c r="R5" s="9">
        <v>274306.48865687981</v>
      </c>
    </row>
    <row r="6" spans="1:18" x14ac:dyDescent="0.25">
      <c r="A6" t="s">
        <v>1</v>
      </c>
      <c r="B6" t="s">
        <v>325</v>
      </c>
      <c r="C6" t="s">
        <v>326</v>
      </c>
      <c r="D6" t="s">
        <v>327</v>
      </c>
      <c r="E6" t="s">
        <v>328</v>
      </c>
      <c r="F6">
        <v>1</v>
      </c>
      <c r="G6">
        <v>2026</v>
      </c>
      <c r="H6" s="63">
        <v>0</v>
      </c>
      <c r="I6" s="5">
        <v>319611.50389752002</v>
      </c>
      <c r="J6" s="9">
        <v>311143.3204552806</v>
      </c>
      <c r="K6" s="9">
        <v>306623.57636928052</v>
      </c>
      <c r="L6" s="9">
        <v>306199.50603696052</v>
      </c>
      <c r="M6" s="9">
        <v>306849.01884096046</v>
      </c>
      <c r="N6" s="5">
        <v>306738.57525240001</v>
      </c>
      <c r="O6" s="9">
        <v>276131.93079336034</v>
      </c>
      <c r="P6" s="9">
        <v>312963.49697208061</v>
      </c>
      <c r="Q6" s="9">
        <v>312963.49697256059</v>
      </c>
      <c r="R6" s="9">
        <v>312834.69080808049</v>
      </c>
    </row>
    <row r="7" spans="1:18" x14ac:dyDescent="0.25">
      <c r="A7" t="s">
        <v>1</v>
      </c>
      <c r="B7" t="s">
        <v>325</v>
      </c>
      <c r="C7" t="s">
        <v>326</v>
      </c>
      <c r="D7" t="s">
        <v>327</v>
      </c>
      <c r="E7" t="s">
        <v>328</v>
      </c>
      <c r="F7">
        <v>1</v>
      </c>
      <c r="G7">
        <v>2027</v>
      </c>
      <c r="H7" s="63">
        <v>0</v>
      </c>
      <c r="I7" s="5">
        <v>344096.90252807998</v>
      </c>
      <c r="J7" s="9">
        <v>332415.21340296016</v>
      </c>
      <c r="K7" s="9">
        <v>328199.80784279981</v>
      </c>
      <c r="L7" s="9">
        <v>327276.53639160004</v>
      </c>
      <c r="M7" s="9">
        <v>320456.90269559971</v>
      </c>
      <c r="N7" s="5">
        <v>318119.42520288</v>
      </c>
      <c r="O7" s="9">
        <v>278742.89492255915</v>
      </c>
      <c r="P7" s="9">
        <v>333411.91635264002</v>
      </c>
      <c r="Q7" s="9">
        <v>333411.9163521601</v>
      </c>
      <c r="R7" s="9">
        <v>334357.07749248011</v>
      </c>
    </row>
    <row r="8" spans="1:18" x14ac:dyDescent="0.25">
      <c r="A8" t="s">
        <v>1</v>
      </c>
      <c r="B8" t="s">
        <v>325</v>
      </c>
      <c r="C8" t="s">
        <v>326</v>
      </c>
      <c r="D8" t="s">
        <v>327</v>
      </c>
      <c r="E8" t="s">
        <v>328</v>
      </c>
      <c r="F8">
        <v>1</v>
      </c>
      <c r="G8">
        <v>2028</v>
      </c>
      <c r="H8" s="63">
        <v>0</v>
      </c>
      <c r="I8" s="5">
        <v>338747.10545303999</v>
      </c>
      <c r="J8" s="9">
        <v>319217.75671032036</v>
      </c>
      <c r="K8" s="9">
        <v>314433.47442192055</v>
      </c>
      <c r="L8" s="9">
        <v>306296.39230296039</v>
      </c>
      <c r="M8" s="9">
        <v>308452.98429384077</v>
      </c>
      <c r="N8" s="5">
        <v>304079.90323752002</v>
      </c>
      <c r="O8" s="9">
        <v>256498.68489672086</v>
      </c>
      <c r="P8" s="9">
        <v>324041.01610752032</v>
      </c>
      <c r="Q8" s="9">
        <v>324041.01610800042</v>
      </c>
      <c r="R8" s="9">
        <v>324304.26210264018</v>
      </c>
    </row>
    <row r="9" spans="1:18" x14ac:dyDescent="0.25">
      <c r="A9" t="s">
        <v>1</v>
      </c>
      <c r="B9" t="s">
        <v>325</v>
      </c>
      <c r="C9" t="s">
        <v>326</v>
      </c>
      <c r="D9" t="s">
        <v>327</v>
      </c>
      <c r="E9" t="s">
        <v>328</v>
      </c>
      <c r="F9">
        <v>1</v>
      </c>
      <c r="G9">
        <v>2029</v>
      </c>
      <c r="H9" s="63">
        <v>0</v>
      </c>
      <c r="I9" s="5">
        <v>307677.52336440003</v>
      </c>
      <c r="J9" s="9">
        <v>286254.85857527959</v>
      </c>
      <c r="K9" s="9">
        <v>282178.67831159965</v>
      </c>
      <c r="L9" s="9">
        <v>269904.22878287954</v>
      </c>
      <c r="M9" s="9">
        <v>273456.65492759983</v>
      </c>
      <c r="N9" s="5">
        <v>267888.67240296002</v>
      </c>
      <c r="O9" s="9">
        <v>217852.74565439933</v>
      </c>
      <c r="P9" s="9">
        <v>291180.24725711968</v>
      </c>
      <c r="Q9" s="9">
        <v>291180.24725687958</v>
      </c>
      <c r="R9" s="9">
        <v>291445.68898367952</v>
      </c>
    </row>
    <row r="10" spans="1:18" x14ac:dyDescent="0.25">
      <c r="A10" t="s">
        <v>1</v>
      </c>
      <c r="B10" t="s">
        <v>325</v>
      </c>
      <c r="C10" t="s">
        <v>326</v>
      </c>
      <c r="D10" t="s">
        <v>327</v>
      </c>
      <c r="E10" t="s">
        <v>328</v>
      </c>
      <c r="F10">
        <v>1</v>
      </c>
      <c r="G10">
        <v>2030</v>
      </c>
      <c r="H10" s="63">
        <v>0</v>
      </c>
      <c r="I10" s="5">
        <v>287466.47413584002</v>
      </c>
      <c r="J10" s="9">
        <v>263640.00529224065</v>
      </c>
      <c r="K10" s="9">
        <v>260022.90285264057</v>
      </c>
      <c r="L10" s="9">
        <v>245493.46782216046</v>
      </c>
      <c r="M10" s="9">
        <v>249067.82638368051</v>
      </c>
      <c r="N10" s="5">
        <v>242094.15448200001</v>
      </c>
      <c r="O10" s="9">
        <v>190411.67062032045</v>
      </c>
      <c r="P10" s="9">
        <v>268280.09774064046</v>
      </c>
      <c r="Q10" s="9">
        <v>268280.09774016036</v>
      </c>
      <c r="R10" s="9">
        <v>269274.33126552036</v>
      </c>
    </row>
    <row r="11" spans="1:18" x14ac:dyDescent="0.25">
      <c r="A11" t="s">
        <v>1</v>
      </c>
      <c r="B11" t="s">
        <v>325</v>
      </c>
      <c r="C11" t="s">
        <v>326</v>
      </c>
      <c r="D11" t="s">
        <v>327</v>
      </c>
      <c r="E11" t="s">
        <v>328</v>
      </c>
      <c r="F11">
        <v>1</v>
      </c>
      <c r="G11">
        <v>2031</v>
      </c>
      <c r="H11" s="63">
        <v>0</v>
      </c>
      <c r="I11" s="5">
        <v>290574.19720896002</v>
      </c>
      <c r="J11" s="9">
        <v>262640.83236528112</v>
      </c>
      <c r="K11" s="9">
        <v>259198.97679576115</v>
      </c>
      <c r="L11" s="9">
        <v>241485.38080296112</v>
      </c>
      <c r="M11" s="9">
        <v>245576.32403232099</v>
      </c>
      <c r="N11" s="5">
        <v>236987.27181119999</v>
      </c>
      <c r="O11" s="9">
        <v>180269.08116000026</v>
      </c>
      <c r="P11" s="9">
        <v>267146.27365104109</v>
      </c>
      <c r="Q11" s="9">
        <v>267146.27365152101</v>
      </c>
      <c r="R11" s="9">
        <v>269028.97297344101</v>
      </c>
    </row>
    <row r="12" spans="1:18" x14ac:dyDescent="0.25">
      <c r="A12" t="s">
        <v>1</v>
      </c>
      <c r="B12" t="s">
        <v>325</v>
      </c>
      <c r="C12" t="s">
        <v>326</v>
      </c>
      <c r="D12" t="s">
        <v>327</v>
      </c>
      <c r="E12" t="s">
        <v>328</v>
      </c>
      <c r="F12">
        <v>1</v>
      </c>
      <c r="G12">
        <v>2032</v>
      </c>
      <c r="H12" s="63">
        <v>0</v>
      </c>
      <c r="I12" s="5">
        <v>298447.78693656001</v>
      </c>
      <c r="J12" s="9">
        <v>265775.9776211991</v>
      </c>
      <c r="K12" s="9">
        <v>262147.23996767931</v>
      </c>
      <c r="L12" s="9">
        <v>241060.45421231916</v>
      </c>
      <c r="M12" s="9">
        <v>245935.71412943932</v>
      </c>
      <c r="N12" s="5">
        <v>235119.54881976001</v>
      </c>
      <c r="O12" s="9">
        <v>171760.36533047952</v>
      </c>
      <c r="P12" s="9">
        <v>270280.60541927913</v>
      </c>
      <c r="Q12" s="9">
        <v>270280.60541951907</v>
      </c>
      <c r="R12" s="9">
        <v>272981.15924279892</v>
      </c>
    </row>
    <row r="13" spans="1:18" x14ac:dyDescent="0.25">
      <c r="A13" t="s">
        <v>1</v>
      </c>
      <c r="B13" t="s">
        <v>325</v>
      </c>
      <c r="C13" t="s">
        <v>326</v>
      </c>
      <c r="D13" t="s">
        <v>327</v>
      </c>
      <c r="E13" t="s">
        <v>328</v>
      </c>
      <c r="F13">
        <v>1</v>
      </c>
      <c r="G13">
        <v>2033</v>
      </c>
      <c r="H13" s="63">
        <v>0</v>
      </c>
      <c r="I13" s="5">
        <v>299897.14590096002</v>
      </c>
      <c r="J13" s="9">
        <v>263255.80057871994</v>
      </c>
      <c r="K13" s="9">
        <v>259507.98515807965</v>
      </c>
      <c r="L13" s="9">
        <v>235424.38121039973</v>
      </c>
      <c r="M13" s="9">
        <v>241416.39083664009</v>
      </c>
      <c r="N13" s="5">
        <v>228517.25457912</v>
      </c>
      <c r="O13" s="9">
        <v>160280.77158912038</v>
      </c>
      <c r="P13" s="9">
        <v>267707.87183951994</v>
      </c>
      <c r="Q13" s="9">
        <v>267707.87183879991</v>
      </c>
      <c r="R13" s="9">
        <v>271260.59843352006</v>
      </c>
    </row>
    <row r="14" spans="1:18" x14ac:dyDescent="0.25">
      <c r="A14" t="s">
        <v>1</v>
      </c>
      <c r="B14" t="s">
        <v>325</v>
      </c>
      <c r="C14" t="s">
        <v>326</v>
      </c>
      <c r="D14" t="s">
        <v>327</v>
      </c>
      <c r="E14" t="s">
        <v>328</v>
      </c>
      <c r="F14">
        <v>1</v>
      </c>
      <c r="G14">
        <v>2034</v>
      </c>
      <c r="H14" s="63">
        <v>0</v>
      </c>
      <c r="I14" s="5">
        <v>304116.5944068</v>
      </c>
      <c r="J14" s="9">
        <v>263120.1982504804</v>
      </c>
      <c r="K14" s="9">
        <v>258995.22448824038</v>
      </c>
      <c r="L14" s="9">
        <v>231419.36666232024</v>
      </c>
      <c r="M14" s="9">
        <v>239361.63748056017</v>
      </c>
      <c r="N14" s="5">
        <v>222240.15880800001</v>
      </c>
      <c r="O14" s="9">
        <v>150242.25541967983</v>
      </c>
      <c r="P14" s="9">
        <v>267555.64016280032</v>
      </c>
      <c r="Q14" s="9">
        <v>267555.64016280038</v>
      </c>
      <c r="R14" s="9">
        <v>271935.32401944051</v>
      </c>
    </row>
    <row r="15" spans="1:18" x14ac:dyDescent="0.25">
      <c r="A15" t="s">
        <v>1</v>
      </c>
      <c r="B15" t="s">
        <v>325</v>
      </c>
      <c r="C15" t="s">
        <v>326</v>
      </c>
      <c r="D15" t="s">
        <v>327</v>
      </c>
      <c r="E15" t="s">
        <v>328</v>
      </c>
      <c r="F15">
        <v>1</v>
      </c>
      <c r="G15">
        <v>2035</v>
      </c>
      <c r="H15" s="63">
        <v>0</v>
      </c>
      <c r="I15" s="5">
        <v>305273.61767424003</v>
      </c>
      <c r="J15" s="9">
        <v>261367.01737247963</v>
      </c>
      <c r="K15" s="9">
        <v>256731.68005271943</v>
      </c>
      <c r="L15" s="9">
        <v>226819.16703599959</v>
      </c>
      <c r="M15" s="9">
        <v>235822.88571431951</v>
      </c>
      <c r="N15" s="5">
        <v>216042.36296184</v>
      </c>
      <c r="O15" s="9">
        <v>149878.48902384023</v>
      </c>
      <c r="P15" s="9">
        <v>265758.3758863195</v>
      </c>
      <c r="Q15" s="9">
        <v>265758.37588607951</v>
      </c>
      <c r="R15" s="9">
        <v>270962.4654607196</v>
      </c>
    </row>
    <row r="16" spans="1:18" x14ac:dyDescent="0.25">
      <c r="A16" t="s">
        <v>1</v>
      </c>
      <c r="B16" t="s">
        <v>325</v>
      </c>
      <c r="C16" t="s">
        <v>326</v>
      </c>
      <c r="D16" t="s">
        <v>327</v>
      </c>
      <c r="E16" t="s">
        <v>328</v>
      </c>
      <c r="F16">
        <v>1</v>
      </c>
      <c r="G16">
        <v>2036</v>
      </c>
      <c r="H16" s="63">
        <v>0</v>
      </c>
      <c r="I16" s="5">
        <v>313872.75633743999</v>
      </c>
      <c r="J16" s="9">
        <v>264942.81367103965</v>
      </c>
      <c r="K16" s="9">
        <v>259304.69850383987</v>
      </c>
      <c r="L16" s="9">
        <v>227441.79886223981</v>
      </c>
      <c r="M16" s="9">
        <v>237273.62533295987</v>
      </c>
      <c r="N16" s="5">
        <v>214213.63869647999</v>
      </c>
      <c r="O16" s="9">
        <v>136559.21891591992</v>
      </c>
      <c r="P16" s="9">
        <v>269277.02477351966</v>
      </c>
      <c r="Q16" s="9">
        <v>269277.02477351949</v>
      </c>
      <c r="R16" s="9">
        <v>275399.59135871963</v>
      </c>
    </row>
    <row r="17" spans="1:18" x14ac:dyDescent="0.25">
      <c r="A17" t="s">
        <v>1</v>
      </c>
      <c r="B17" t="s">
        <v>325</v>
      </c>
      <c r="C17" t="s">
        <v>326</v>
      </c>
      <c r="D17" t="s">
        <v>327</v>
      </c>
      <c r="E17" t="s">
        <v>328</v>
      </c>
      <c r="F17">
        <v>1</v>
      </c>
      <c r="G17">
        <v>2037</v>
      </c>
      <c r="H17" s="63">
        <v>0</v>
      </c>
      <c r="I17" s="5">
        <v>330587.42963352002</v>
      </c>
      <c r="J17" s="9">
        <v>262367.58984096098</v>
      </c>
      <c r="K17" s="9">
        <v>255859.50739752079</v>
      </c>
      <c r="L17" s="9">
        <v>221817.18063168065</v>
      </c>
      <c r="M17" s="9">
        <v>232259.57230056066</v>
      </c>
      <c r="N17" s="5">
        <v>207691.13730768001</v>
      </c>
      <c r="O17" s="9">
        <v>122326.91504015989</v>
      </c>
      <c r="P17" s="9">
        <v>266650.74026760092</v>
      </c>
      <c r="Q17" s="9">
        <v>266650.7402666409</v>
      </c>
      <c r="R17" s="9">
        <v>273534.10227984126</v>
      </c>
    </row>
    <row r="18" spans="1:18" x14ac:dyDescent="0.25">
      <c r="A18" t="s">
        <v>1</v>
      </c>
      <c r="B18" t="s">
        <v>325</v>
      </c>
      <c r="C18" t="s">
        <v>326</v>
      </c>
      <c r="D18" t="s">
        <v>327</v>
      </c>
      <c r="E18" t="s">
        <v>328</v>
      </c>
      <c r="F18">
        <v>1</v>
      </c>
      <c r="G18">
        <v>2038</v>
      </c>
      <c r="H18" s="63">
        <v>0</v>
      </c>
      <c r="I18" s="5">
        <v>318062.46018479997</v>
      </c>
      <c r="J18" s="9">
        <v>263248.65693600051</v>
      </c>
      <c r="K18" s="9">
        <v>255509.01402096055</v>
      </c>
      <c r="L18" s="9">
        <v>220160.53485528033</v>
      </c>
      <c r="M18" s="9">
        <v>231814.37683728029</v>
      </c>
      <c r="N18" s="5">
        <v>204200.1305616</v>
      </c>
      <c r="O18" s="9">
        <v>112211.06826431931</v>
      </c>
      <c r="P18" s="9">
        <v>267458.1924732005</v>
      </c>
      <c r="Q18" s="9">
        <v>267458.19247272052</v>
      </c>
      <c r="R18" s="9">
        <v>275023.04472936038</v>
      </c>
    </row>
    <row r="19" spans="1:18" x14ac:dyDescent="0.25">
      <c r="A19" t="s">
        <v>1</v>
      </c>
      <c r="B19" t="s">
        <v>325</v>
      </c>
      <c r="C19" t="s">
        <v>326</v>
      </c>
      <c r="D19" t="s">
        <v>327</v>
      </c>
      <c r="E19" t="s">
        <v>328</v>
      </c>
      <c r="F19">
        <v>1</v>
      </c>
      <c r="G19">
        <v>2039</v>
      </c>
      <c r="H19" s="63">
        <v>0</v>
      </c>
      <c r="I19" s="5">
        <v>325821.50964144</v>
      </c>
      <c r="J19" s="9">
        <v>266075.42264016083</v>
      </c>
      <c r="K19" s="9">
        <v>256865.86246056049</v>
      </c>
      <c r="L19" s="9">
        <v>220054.40362128054</v>
      </c>
      <c r="M19" s="9">
        <v>233100.84621504039</v>
      </c>
      <c r="N19" s="5">
        <v>202002.87357384001</v>
      </c>
      <c r="O19" s="9">
        <v>104231.09964696014</v>
      </c>
      <c r="P19" s="9">
        <v>270295.38784512092</v>
      </c>
      <c r="Q19" s="9">
        <v>270295.3878456009</v>
      </c>
      <c r="R19" s="9">
        <v>278562.71374536119</v>
      </c>
    </row>
    <row r="20" spans="1:18" x14ac:dyDescent="0.25">
      <c r="A20" t="s">
        <v>1</v>
      </c>
      <c r="B20" t="s">
        <v>325</v>
      </c>
      <c r="C20" t="s">
        <v>326</v>
      </c>
      <c r="D20" t="s">
        <v>327</v>
      </c>
      <c r="E20" t="s">
        <v>328</v>
      </c>
      <c r="F20">
        <v>1</v>
      </c>
      <c r="G20">
        <v>2040</v>
      </c>
      <c r="H20" s="63">
        <v>0</v>
      </c>
      <c r="I20" s="5">
        <v>346731.37951320002</v>
      </c>
      <c r="J20" s="9">
        <v>278864.29897943989</v>
      </c>
      <c r="K20" s="9">
        <v>267319.43699159939</v>
      </c>
      <c r="L20" s="9">
        <v>227474.42567279944</v>
      </c>
      <c r="M20" s="9">
        <v>242965.64291063932</v>
      </c>
      <c r="N20" s="5">
        <v>206805.16844136</v>
      </c>
      <c r="O20" s="9">
        <v>99068.448990719698</v>
      </c>
      <c r="P20" s="9">
        <v>283259.66224560014</v>
      </c>
      <c r="Q20" s="9">
        <v>283259.66224608017</v>
      </c>
      <c r="R20" s="9">
        <v>292494.49083072023</v>
      </c>
    </row>
    <row r="21" spans="1:18" x14ac:dyDescent="0.25">
      <c r="A21" t="s">
        <v>1</v>
      </c>
      <c r="B21" t="s">
        <v>325</v>
      </c>
      <c r="C21" t="s">
        <v>326</v>
      </c>
      <c r="D21" t="s">
        <v>327</v>
      </c>
      <c r="E21" t="s">
        <v>328</v>
      </c>
      <c r="F21">
        <v>1</v>
      </c>
      <c r="G21">
        <v>2041</v>
      </c>
      <c r="H21" s="63">
        <v>0</v>
      </c>
      <c r="I21" s="5">
        <v>353201.75883887999</v>
      </c>
      <c r="J21" s="9">
        <v>281084.41220304056</v>
      </c>
      <c r="K21" s="9">
        <v>266974.54704072</v>
      </c>
      <c r="L21" s="9">
        <v>226886.81417352025</v>
      </c>
      <c r="M21" s="9">
        <v>243711.33035088025</v>
      </c>
      <c r="N21" s="5">
        <v>203624.68757688001</v>
      </c>
      <c r="O21" s="9">
        <v>90734.218077600017</v>
      </c>
      <c r="P21" s="9">
        <v>285483.02952192054</v>
      </c>
      <c r="Q21" s="9">
        <v>285483.02952240064</v>
      </c>
      <c r="R21" s="9">
        <v>295341.04871544085</v>
      </c>
    </row>
    <row r="22" spans="1:18" x14ac:dyDescent="0.25">
      <c r="A22" t="s">
        <v>1</v>
      </c>
      <c r="B22" t="s">
        <v>325</v>
      </c>
      <c r="C22" t="s">
        <v>326</v>
      </c>
      <c r="D22" t="s">
        <v>327</v>
      </c>
      <c r="E22" t="s">
        <v>328</v>
      </c>
      <c r="F22">
        <v>1</v>
      </c>
      <c r="G22">
        <v>2042</v>
      </c>
      <c r="H22" s="63">
        <v>0</v>
      </c>
      <c r="I22" s="5">
        <v>355873.94016072003</v>
      </c>
      <c r="J22" s="9">
        <v>280166.04573887965</v>
      </c>
      <c r="K22" s="9">
        <v>264703.07523072016</v>
      </c>
      <c r="L22" s="9">
        <v>222373.75890791975</v>
      </c>
      <c r="M22" s="9">
        <v>241233.14048303987</v>
      </c>
      <c r="N22" s="5">
        <v>197498.43016824001</v>
      </c>
      <c r="O22" s="9">
        <v>77094.565120799874</v>
      </c>
      <c r="P22" s="9">
        <v>284518.5782949595</v>
      </c>
      <c r="Q22" s="9">
        <v>284518.57829615945</v>
      </c>
      <c r="R22" s="9">
        <v>294905.30870687944</v>
      </c>
    </row>
    <row r="23" spans="1:18" x14ac:dyDescent="0.25">
      <c r="A23" t="s">
        <v>1</v>
      </c>
      <c r="B23" t="s">
        <v>325</v>
      </c>
      <c r="C23" t="s">
        <v>326</v>
      </c>
      <c r="D23" t="s">
        <v>327</v>
      </c>
      <c r="E23" t="s">
        <v>328</v>
      </c>
      <c r="F23">
        <v>1</v>
      </c>
      <c r="G23">
        <v>2043</v>
      </c>
      <c r="H23" s="63">
        <v>0</v>
      </c>
      <c r="I23" s="5">
        <v>354003.36128951999</v>
      </c>
      <c r="J23" s="9">
        <v>275671.25847863936</v>
      </c>
      <c r="K23" s="9">
        <v>259548.75555023996</v>
      </c>
      <c r="L23" s="9">
        <v>216052.87825991996</v>
      </c>
      <c r="M23" s="9">
        <v>236055.0125959201</v>
      </c>
      <c r="N23" s="5">
        <v>188709.94305072</v>
      </c>
      <c r="O23" s="9">
        <v>66940.546839360031</v>
      </c>
      <c r="P23" s="9">
        <v>280295.52331391932</v>
      </c>
      <c r="Q23" s="9">
        <v>280295.52331487928</v>
      </c>
      <c r="R23" s="9">
        <v>291011.88157823897</v>
      </c>
    </row>
    <row r="24" spans="1:18" x14ac:dyDescent="0.25">
      <c r="A24" t="s">
        <v>1</v>
      </c>
      <c r="B24" t="s">
        <v>325</v>
      </c>
      <c r="C24" t="s">
        <v>326</v>
      </c>
      <c r="D24" t="s">
        <v>327</v>
      </c>
      <c r="E24" t="s">
        <v>328</v>
      </c>
      <c r="F24">
        <v>1</v>
      </c>
      <c r="G24">
        <v>2044</v>
      </c>
      <c r="H24" s="63">
        <v>0</v>
      </c>
      <c r="I24" s="5">
        <v>375164.34007992002</v>
      </c>
      <c r="J24" s="9">
        <v>288217.61533703998</v>
      </c>
      <c r="K24" s="9">
        <v>270688.54349135992</v>
      </c>
      <c r="L24" s="9">
        <v>221327.85749976028</v>
      </c>
      <c r="M24" s="9">
        <v>245435.59671647995</v>
      </c>
      <c r="N24" s="5">
        <v>192783.13938312</v>
      </c>
      <c r="O24" s="9">
        <v>63076.105689599841</v>
      </c>
      <c r="P24" s="9">
        <v>293604.93136488</v>
      </c>
      <c r="Q24" s="9">
        <v>293604.93136511999</v>
      </c>
      <c r="R24" s="9">
        <v>306018.68955864001</v>
      </c>
    </row>
    <row r="25" spans="1:18" x14ac:dyDescent="0.25">
      <c r="A25" t="s">
        <v>1</v>
      </c>
      <c r="B25" t="s">
        <v>325</v>
      </c>
      <c r="C25" t="s">
        <v>326</v>
      </c>
      <c r="D25" t="s">
        <v>327</v>
      </c>
      <c r="E25" t="s">
        <v>328</v>
      </c>
      <c r="F25">
        <v>1</v>
      </c>
      <c r="G25">
        <v>2045</v>
      </c>
      <c r="H25" s="63">
        <v>0</v>
      </c>
      <c r="I25" s="5">
        <v>382714.57593167998</v>
      </c>
      <c r="J25" s="9">
        <v>291351.22145664023</v>
      </c>
      <c r="K25" s="9">
        <v>272090.04922199994</v>
      </c>
      <c r="L25" s="9">
        <v>223481.77561535998</v>
      </c>
      <c r="M25" s="9">
        <v>246563.16574103959</v>
      </c>
      <c r="N25" s="5">
        <v>194068.73845656001</v>
      </c>
      <c r="O25" s="9">
        <v>47357.919194639981</v>
      </c>
      <c r="P25" s="9">
        <v>295906.34217408049</v>
      </c>
      <c r="Q25" s="9">
        <v>295906.34217480052</v>
      </c>
      <c r="R25" s="9">
        <v>308931.06111816037</v>
      </c>
    </row>
    <row r="26" spans="1:18" x14ac:dyDescent="0.25">
      <c r="A26" t="s">
        <v>1</v>
      </c>
      <c r="B26" t="s">
        <v>325</v>
      </c>
      <c r="C26" t="s">
        <v>326</v>
      </c>
      <c r="D26" t="s">
        <v>327</v>
      </c>
      <c r="E26" t="s">
        <v>328</v>
      </c>
      <c r="F26">
        <v>1</v>
      </c>
      <c r="G26">
        <v>2046</v>
      </c>
      <c r="H26" s="63">
        <v>0</v>
      </c>
      <c r="I26" s="5">
        <v>387590.92218816001</v>
      </c>
      <c r="J26" s="9">
        <v>292219.48683360027</v>
      </c>
      <c r="K26" s="9">
        <v>271344.0820987206</v>
      </c>
      <c r="L26" s="9">
        <v>221325.89756712073</v>
      </c>
      <c r="M26" s="9">
        <v>245719.02096432037</v>
      </c>
      <c r="N26" s="5">
        <v>186513.77336471999</v>
      </c>
      <c r="O26" s="9">
        <v>47151.421928640004</v>
      </c>
      <c r="P26" s="9">
        <v>296737.3425369602</v>
      </c>
      <c r="Q26" s="9">
        <v>296737.3425367201</v>
      </c>
      <c r="R26" s="9">
        <v>310191.33286392037</v>
      </c>
    </row>
    <row r="27" spans="1:18" x14ac:dyDescent="0.25">
      <c r="A27" t="s">
        <v>1</v>
      </c>
      <c r="B27" t="s">
        <v>325</v>
      </c>
      <c r="C27" t="s">
        <v>326</v>
      </c>
      <c r="D27" t="s">
        <v>327</v>
      </c>
      <c r="E27" t="s">
        <v>328</v>
      </c>
      <c r="F27">
        <v>1</v>
      </c>
      <c r="G27">
        <v>2047</v>
      </c>
      <c r="H27" s="63">
        <v>0</v>
      </c>
      <c r="I27" s="5">
        <v>396938.16641280003</v>
      </c>
      <c r="J27" s="9">
        <v>296434.87806624011</v>
      </c>
      <c r="K27" s="9">
        <v>273725.49423744006</v>
      </c>
      <c r="L27" s="9">
        <v>214694.22138024008</v>
      </c>
      <c r="M27" s="9">
        <v>247814.91131088018</v>
      </c>
      <c r="N27" s="5">
        <v>172237.47469055999</v>
      </c>
      <c r="O27" s="9">
        <v>35304.016283519981</v>
      </c>
      <c r="P27" s="9">
        <v>300995.61106800009</v>
      </c>
      <c r="Q27" s="9">
        <v>300995.61106824013</v>
      </c>
      <c r="R27" s="9">
        <v>315025.95877823979</v>
      </c>
    </row>
    <row r="28" spans="1:18" x14ac:dyDescent="0.25">
      <c r="A28" t="s">
        <v>1</v>
      </c>
      <c r="B28" t="s">
        <v>325</v>
      </c>
      <c r="C28" t="s">
        <v>326</v>
      </c>
      <c r="D28" t="s">
        <v>327</v>
      </c>
      <c r="E28" t="s">
        <v>328</v>
      </c>
      <c r="F28">
        <v>1</v>
      </c>
      <c r="G28">
        <v>2048</v>
      </c>
      <c r="H28" s="63">
        <v>0</v>
      </c>
      <c r="I28" s="5">
        <v>418260.44544168003</v>
      </c>
      <c r="J28" s="9">
        <v>309074.43899519916</v>
      </c>
      <c r="K28" s="9">
        <v>283813.3716722395</v>
      </c>
      <c r="L28" s="9">
        <v>235338.14246711988</v>
      </c>
      <c r="M28" s="9">
        <v>256745.02839503961</v>
      </c>
      <c r="N28" s="5">
        <v>196758.29297328001</v>
      </c>
      <c r="O28" s="9">
        <v>34606.385995680001</v>
      </c>
      <c r="P28" s="9">
        <v>313794.67256879923</v>
      </c>
      <c r="Q28" s="9">
        <v>313794.67256999924</v>
      </c>
      <c r="R28" s="9">
        <v>328572.00358223909</v>
      </c>
    </row>
    <row r="29" spans="1:18" x14ac:dyDescent="0.25">
      <c r="A29" t="s">
        <v>1</v>
      </c>
      <c r="B29" t="s">
        <v>325</v>
      </c>
      <c r="C29" t="s">
        <v>326</v>
      </c>
      <c r="D29" t="s">
        <v>327</v>
      </c>
      <c r="E29" t="s">
        <v>328</v>
      </c>
      <c r="F29">
        <v>1</v>
      </c>
      <c r="G29">
        <v>2049</v>
      </c>
      <c r="H29" s="63">
        <v>0</v>
      </c>
      <c r="I29" s="5">
        <v>429973.74893687997</v>
      </c>
      <c r="J29" s="9">
        <v>314286.63545472035</v>
      </c>
      <c r="K29" s="9">
        <v>286856.09467487998</v>
      </c>
      <c r="L29" s="9">
        <v>229513.71427943953</v>
      </c>
      <c r="M29" s="9">
        <v>259715.46028655977</v>
      </c>
      <c r="N29" s="5">
        <v>179628.89427192</v>
      </c>
      <c r="O29" s="9">
        <v>33250.632030720059</v>
      </c>
      <c r="P29" s="9">
        <v>318654.71047968016</v>
      </c>
      <c r="Q29" s="9">
        <v>318654.71047968022</v>
      </c>
      <c r="R29" s="9">
        <v>333739.5348852005</v>
      </c>
    </row>
    <row r="30" spans="1:18" x14ac:dyDescent="0.25">
      <c r="A30" t="s">
        <v>1</v>
      </c>
      <c r="B30" t="s">
        <v>325</v>
      </c>
      <c r="C30" t="s">
        <v>326</v>
      </c>
      <c r="D30" t="s">
        <v>327</v>
      </c>
      <c r="E30" t="s">
        <v>328</v>
      </c>
      <c r="F30">
        <v>1</v>
      </c>
      <c r="G30">
        <v>2050</v>
      </c>
      <c r="H30" s="63">
        <v>0</v>
      </c>
      <c r="I30" s="5">
        <v>440458.91108976002</v>
      </c>
      <c r="J30" s="9">
        <v>315542.8858567198</v>
      </c>
      <c r="K30" s="9">
        <v>292259.91934007971</v>
      </c>
      <c r="L30" s="9">
        <v>226637.06770439979</v>
      </c>
      <c r="M30" s="9">
        <v>271781.1437644799</v>
      </c>
      <c r="N30" s="5">
        <v>166139.95592303999</v>
      </c>
      <c r="O30" s="9">
        <v>26581.710957600022</v>
      </c>
      <c r="P30" s="9">
        <v>318072.51357647986</v>
      </c>
      <c r="Q30" s="9">
        <v>318072.5135769599</v>
      </c>
      <c r="R30" s="9">
        <v>329225.69351999974</v>
      </c>
    </row>
    <row r="31" spans="1:18" x14ac:dyDescent="0.25">
      <c r="A31" t="s">
        <v>1</v>
      </c>
      <c r="B31" t="s">
        <v>325</v>
      </c>
      <c r="C31" t="s">
        <v>326</v>
      </c>
      <c r="D31" t="s">
        <v>327</v>
      </c>
      <c r="E31" t="s">
        <v>328</v>
      </c>
      <c r="F31">
        <v>1</v>
      </c>
      <c r="G31">
        <v>2051</v>
      </c>
      <c r="H31" s="63">
        <v>0</v>
      </c>
      <c r="I31" s="5">
        <v>427075.57715184003</v>
      </c>
      <c r="J31" s="9">
        <v>315157.22774496028</v>
      </c>
      <c r="K31" s="9">
        <v>280356.69095039926</v>
      </c>
      <c r="L31" s="9">
        <v>229930.40696087986</v>
      </c>
      <c r="M31" s="9">
        <v>252984.49965983964</v>
      </c>
      <c r="N31" s="5">
        <v>173936.65869576001</v>
      </c>
      <c r="O31" s="9">
        <v>32026.163311440057</v>
      </c>
      <c r="P31" s="9">
        <v>319184.69692440022</v>
      </c>
      <c r="Q31" s="9">
        <v>319184.69692416041</v>
      </c>
      <c r="R31" s="9">
        <v>337276.37736936001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64415-7D34-4BB1-B5A6-1484D8AA4F32}">
  <sheetPr>
    <tabColor theme="7"/>
  </sheetPr>
  <dimension ref="A1:R31"/>
  <sheetViews>
    <sheetView workbookViewId="0">
      <selection activeCell="N2" sqref="N2"/>
    </sheetView>
  </sheetViews>
  <sheetFormatPr defaultRowHeight="15" x14ac:dyDescent="0.25"/>
  <sheetData>
    <row r="1" spans="1:18" x14ac:dyDescent="0.25">
      <c r="A1" t="s">
        <v>43</v>
      </c>
      <c r="B1" t="s">
        <v>44</v>
      </c>
      <c r="C1" t="s">
        <v>323</v>
      </c>
      <c r="D1" t="s">
        <v>324</v>
      </c>
      <c r="E1" t="s">
        <v>45</v>
      </c>
      <c r="F1" t="s">
        <v>46</v>
      </c>
      <c r="G1" t="s">
        <v>0</v>
      </c>
      <c r="H1" t="s">
        <v>48</v>
      </c>
      <c r="I1" t="s">
        <v>61</v>
      </c>
      <c r="J1" t="s">
        <v>62</v>
      </c>
      <c r="K1" t="s">
        <v>63</v>
      </c>
      <c r="L1" t="s">
        <v>64</v>
      </c>
      <c r="M1" t="s">
        <v>65</v>
      </c>
      <c r="N1" t="s">
        <v>66</v>
      </c>
      <c r="O1" t="s">
        <v>67</v>
      </c>
      <c r="P1" t="s">
        <v>95</v>
      </c>
      <c r="Q1" t="s">
        <v>96</v>
      </c>
      <c r="R1" t="s">
        <v>97</v>
      </c>
    </row>
    <row r="2" spans="1:18" x14ac:dyDescent="0.25">
      <c r="A2" t="s">
        <v>1</v>
      </c>
      <c r="B2" t="s">
        <v>325</v>
      </c>
      <c r="C2" t="s">
        <v>326</v>
      </c>
      <c r="D2" t="s">
        <v>327</v>
      </c>
      <c r="E2" t="s">
        <v>77</v>
      </c>
      <c r="F2">
        <v>1</v>
      </c>
      <c r="G2">
        <v>2022</v>
      </c>
      <c r="H2" t="s">
        <v>2</v>
      </c>
      <c r="I2" s="2">
        <v>83794.974952799996</v>
      </c>
      <c r="J2">
        <v>83698.8189698403</v>
      </c>
      <c r="K2">
        <v>83679.854931840266</v>
      </c>
      <c r="L2">
        <v>83698.818969600325</v>
      </c>
      <c r="M2">
        <v>83698.818969600296</v>
      </c>
      <c r="N2" s="2">
        <v>83835.713939759997</v>
      </c>
      <c r="O2">
        <v>83835.713939760288</v>
      </c>
      <c r="P2">
        <v>83698.818969360291</v>
      </c>
      <c r="Q2">
        <v>83698.81896960031</v>
      </c>
      <c r="R2">
        <v>83698.818969360305</v>
      </c>
    </row>
    <row r="3" spans="1:18" x14ac:dyDescent="0.25">
      <c r="A3" t="s">
        <v>1</v>
      </c>
      <c r="B3" t="s">
        <v>325</v>
      </c>
      <c r="C3" t="s">
        <v>326</v>
      </c>
      <c r="D3" t="s">
        <v>327</v>
      </c>
      <c r="E3" t="s">
        <v>77</v>
      </c>
      <c r="F3">
        <v>1</v>
      </c>
      <c r="G3">
        <v>2023</v>
      </c>
      <c r="H3" t="s">
        <v>2</v>
      </c>
      <c r="I3" s="2">
        <v>85706.951838719993</v>
      </c>
      <c r="J3">
        <v>85059.559271760285</v>
      </c>
      <c r="K3">
        <v>84587.546390880307</v>
      </c>
      <c r="L3">
        <v>84962.751539280274</v>
      </c>
      <c r="M3">
        <v>85059.55927176027</v>
      </c>
      <c r="N3" s="2">
        <v>85542.670594800002</v>
      </c>
      <c r="O3">
        <v>83583.341485680299</v>
      </c>
      <c r="P3">
        <v>85059.55927176027</v>
      </c>
      <c r="Q3">
        <v>85059.559271280246</v>
      </c>
      <c r="R3">
        <v>85059.374422080276</v>
      </c>
    </row>
    <row r="4" spans="1:18" x14ac:dyDescent="0.25">
      <c r="A4" t="s">
        <v>1</v>
      </c>
      <c r="B4" t="s">
        <v>325</v>
      </c>
      <c r="C4" t="s">
        <v>326</v>
      </c>
      <c r="D4" t="s">
        <v>327</v>
      </c>
      <c r="E4" t="s">
        <v>77</v>
      </c>
      <c r="F4">
        <v>1</v>
      </c>
      <c r="G4">
        <v>2024</v>
      </c>
      <c r="H4" t="s">
        <v>2</v>
      </c>
      <c r="I4" s="2">
        <v>82538.116451520007</v>
      </c>
      <c r="J4">
        <v>81565.816032720162</v>
      </c>
      <c r="K4">
        <v>80782.549515120161</v>
      </c>
      <c r="L4">
        <v>81236.938320720132</v>
      </c>
      <c r="M4">
        <v>81539.505746400173</v>
      </c>
      <c r="N4" s="2">
        <v>81905.088743040003</v>
      </c>
      <c r="O4">
        <v>78762.396139920165</v>
      </c>
      <c r="P4">
        <v>81565.816032720191</v>
      </c>
      <c r="Q4">
        <v>81565.816033680181</v>
      </c>
      <c r="R4">
        <v>81586.371567120179</v>
      </c>
    </row>
    <row r="5" spans="1:18" x14ac:dyDescent="0.25">
      <c r="A5" t="s">
        <v>1</v>
      </c>
      <c r="B5" t="s">
        <v>325</v>
      </c>
      <c r="C5" t="s">
        <v>326</v>
      </c>
      <c r="D5" t="s">
        <v>327</v>
      </c>
      <c r="E5" t="s">
        <v>77</v>
      </c>
      <c r="F5">
        <v>1</v>
      </c>
      <c r="G5">
        <v>2025</v>
      </c>
      <c r="H5" t="s">
        <v>2</v>
      </c>
      <c r="I5" s="2">
        <v>86105.171418719998</v>
      </c>
      <c r="J5">
        <v>83405.371014960154</v>
      </c>
      <c r="K5">
        <v>81953.292685200155</v>
      </c>
      <c r="L5">
        <v>81854.54005512016</v>
      </c>
      <c r="M5">
        <v>82426.806515760152</v>
      </c>
      <c r="N5" s="2">
        <v>82561.008040080007</v>
      </c>
      <c r="O5">
        <v>77211.175689360185</v>
      </c>
      <c r="P5">
        <v>84132.312697440168</v>
      </c>
      <c r="Q5">
        <v>84132.312697680158</v>
      </c>
      <c r="R5">
        <v>84042.98906280013</v>
      </c>
    </row>
    <row r="6" spans="1:18" x14ac:dyDescent="0.25">
      <c r="A6" t="s">
        <v>1</v>
      </c>
      <c r="B6" t="s">
        <v>325</v>
      </c>
      <c r="C6" t="s">
        <v>326</v>
      </c>
      <c r="D6" t="s">
        <v>327</v>
      </c>
      <c r="E6" t="s">
        <v>77</v>
      </c>
      <c r="F6">
        <v>1</v>
      </c>
      <c r="G6">
        <v>2026</v>
      </c>
      <c r="H6" t="s">
        <v>2</v>
      </c>
      <c r="I6" s="2">
        <v>83787.783219839999</v>
      </c>
      <c r="J6">
        <v>81468.285175920173</v>
      </c>
      <c r="K6">
        <v>80290.381107840221</v>
      </c>
      <c r="L6">
        <v>80205.92439600022</v>
      </c>
      <c r="M6">
        <v>80325.69067440019</v>
      </c>
      <c r="N6" s="2">
        <v>80222.655420480005</v>
      </c>
      <c r="O6">
        <v>73085.505947760161</v>
      </c>
      <c r="P6">
        <v>82005.464235360225</v>
      </c>
      <c r="Q6">
        <v>82005.46423536021</v>
      </c>
      <c r="R6">
        <v>81965.111970000231</v>
      </c>
    </row>
    <row r="7" spans="1:18" x14ac:dyDescent="0.25">
      <c r="A7" t="s">
        <v>1</v>
      </c>
      <c r="B7" t="s">
        <v>325</v>
      </c>
      <c r="C7" t="s">
        <v>326</v>
      </c>
      <c r="D7" t="s">
        <v>327</v>
      </c>
      <c r="E7" t="s">
        <v>77</v>
      </c>
      <c r="F7">
        <v>1</v>
      </c>
      <c r="G7">
        <v>2027</v>
      </c>
      <c r="H7" t="s">
        <v>2</v>
      </c>
      <c r="I7" s="2">
        <v>84707.590623840006</v>
      </c>
      <c r="J7">
        <v>81852.877295519924</v>
      </c>
      <c r="K7">
        <v>80811.94066991999</v>
      </c>
      <c r="L7">
        <v>80717.11497167997</v>
      </c>
      <c r="M7">
        <v>78950.71828895995</v>
      </c>
      <c r="N7" s="2">
        <v>78363.922108080005</v>
      </c>
      <c r="O7">
        <v>69551.519648160058</v>
      </c>
      <c r="P7">
        <v>82095.18718127998</v>
      </c>
      <c r="Q7">
        <v>82095.18718103999</v>
      </c>
      <c r="R7">
        <v>82329.413426159968</v>
      </c>
    </row>
    <row r="8" spans="1:18" x14ac:dyDescent="0.25">
      <c r="A8" t="s">
        <v>1</v>
      </c>
      <c r="B8" t="s">
        <v>325</v>
      </c>
      <c r="C8" t="s">
        <v>326</v>
      </c>
      <c r="D8" t="s">
        <v>327</v>
      </c>
      <c r="E8" t="s">
        <v>77</v>
      </c>
      <c r="F8">
        <v>1</v>
      </c>
      <c r="G8">
        <v>2028</v>
      </c>
      <c r="H8" t="s">
        <v>2</v>
      </c>
      <c r="I8" s="2">
        <v>86012.619791520003</v>
      </c>
      <c r="J8">
        <v>81319.060344479934</v>
      </c>
      <c r="K8">
        <v>80113.866369839976</v>
      </c>
      <c r="L8">
        <v>78508.75811135993</v>
      </c>
      <c r="M8">
        <v>78527.653905119951</v>
      </c>
      <c r="N8" s="2">
        <v>77463.670427999998</v>
      </c>
      <c r="O8">
        <v>66713.646032640158</v>
      </c>
      <c r="P8">
        <v>82367.93449751992</v>
      </c>
      <c r="Q8">
        <v>82367.934497279944</v>
      </c>
      <c r="R8">
        <v>82497.846830399911</v>
      </c>
    </row>
    <row r="9" spans="1:18" x14ac:dyDescent="0.25">
      <c r="A9" t="s">
        <v>1</v>
      </c>
      <c r="B9" t="s">
        <v>325</v>
      </c>
      <c r="C9" t="s">
        <v>326</v>
      </c>
      <c r="D9" t="s">
        <v>327</v>
      </c>
      <c r="E9" t="s">
        <v>77</v>
      </c>
      <c r="F9">
        <v>1</v>
      </c>
      <c r="G9">
        <v>2029</v>
      </c>
      <c r="H9" t="s">
        <v>2</v>
      </c>
      <c r="I9" s="2">
        <v>85563.935159760003</v>
      </c>
      <c r="J9">
        <v>79915.929335039938</v>
      </c>
      <c r="K9">
        <v>78761.290066079935</v>
      </c>
      <c r="L9">
        <v>76047.43735199995</v>
      </c>
      <c r="M9">
        <v>76395.342515999961</v>
      </c>
      <c r="N9" s="2">
        <v>74917.598912639995</v>
      </c>
      <c r="O9">
        <v>62550.314974080175</v>
      </c>
      <c r="P9">
        <v>81095.354153999913</v>
      </c>
      <c r="Q9">
        <v>81095.354154959918</v>
      </c>
      <c r="R9">
        <v>81232.875940559912</v>
      </c>
    </row>
    <row r="10" spans="1:18" x14ac:dyDescent="0.25">
      <c r="A10" t="s">
        <v>1</v>
      </c>
      <c r="B10" t="s">
        <v>325</v>
      </c>
      <c r="C10" t="s">
        <v>326</v>
      </c>
      <c r="D10" t="s">
        <v>327</v>
      </c>
      <c r="E10" t="s">
        <v>77</v>
      </c>
      <c r="F10">
        <v>1</v>
      </c>
      <c r="G10">
        <v>2030</v>
      </c>
      <c r="H10" t="s">
        <v>2</v>
      </c>
      <c r="I10" s="2">
        <v>85980.563802959994</v>
      </c>
      <c r="J10">
        <v>79259.43874223996</v>
      </c>
      <c r="K10">
        <v>78141.125477519934</v>
      </c>
      <c r="L10">
        <v>74612.206952160006</v>
      </c>
      <c r="M10">
        <v>75044.10418415998</v>
      </c>
      <c r="N10" s="2">
        <v>73089.28801104</v>
      </c>
      <c r="O10">
        <v>59347.793532240219</v>
      </c>
      <c r="P10">
        <v>80456.927152079996</v>
      </c>
      <c r="Q10">
        <v>80456.92715352001</v>
      </c>
      <c r="R10">
        <v>80794.58107655996</v>
      </c>
    </row>
    <row r="11" spans="1:18" x14ac:dyDescent="0.25">
      <c r="A11" t="s">
        <v>1</v>
      </c>
      <c r="B11" t="s">
        <v>325</v>
      </c>
      <c r="C11" t="s">
        <v>326</v>
      </c>
      <c r="D11" t="s">
        <v>327</v>
      </c>
      <c r="E11" t="s">
        <v>77</v>
      </c>
      <c r="F11">
        <v>1</v>
      </c>
      <c r="G11">
        <v>2031</v>
      </c>
      <c r="H11" t="s">
        <v>2</v>
      </c>
      <c r="I11" s="2">
        <v>86422.326003359995</v>
      </c>
      <c r="J11">
        <v>78552.476523599922</v>
      </c>
      <c r="K11">
        <v>77476.098538319959</v>
      </c>
      <c r="L11">
        <v>73049.446560000055</v>
      </c>
      <c r="M11">
        <v>73686.48107328004</v>
      </c>
      <c r="N11" s="2">
        <v>71281.887798960001</v>
      </c>
      <c r="O11">
        <v>56165.786904480192</v>
      </c>
      <c r="P11">
        <v>79740.985101839949</v>
      </c>
      <c r="Q11">
        <v>79740.985101839964</v>
      </c>
      <c r="R11">
        <v>80311.196347199962</v>
      </c>
    </row>
    <row r="12" spans="1:18" x14ac:dyDescent="0.25">
      <c r="A12" t="s">
        <v>1</v>
      </c>
      <c r="B12" t="s">
        <v>325</v>
      </c>
      <c r="C12" t="s">
        <v>326</v>
      </c>
      <c r="D12" t="s">
        <v>327</v>
      </c>
      <c r="E12" t="s">
        <v>77</v>
      </c>
      <c r="F12">
        <v>1</v>
      </c>
      <c r="G12">
        <v>2032</v>
      </c>
      <c r="H12" t="s">
        <v>2</v>
      </c>
      <c r="I12" s="2">
        <v>87359.361990239995</v>
      </c>
      <c r="J12">
        <v>78399.594642719923</v>
      </c>
      <c r="K12">
        <v>77289.251437199986</v>
      </c>
      <c r="L12">
        <v>72134.100731760045</v>
      </c>
      <c r="M12">
        <v>72922.29852384</v>
      </c>
      <c r="N12" s="2">
        <v>69978.718352640004</v>
      </c>
      <c r="O12">
        <v>53403.477721680239</v>
      </c>
      <c r="P12">
        <v>79555.52978687991</v>
      </c>
      <c r="Q12">
        <v>79555.52978735989</v>
      </c>
      <c r="R12">
        <v>80327.512723919936</v>
      </c>
    </row>
    <row r="13" spans="1:18" x14ac:dyDescent="0.25">
      <c r="A13" t="s">
        <v>1</v>
      </c>
      <c r="B13" t="s">
        <v>325</v>
      </c>
      <c r="C13" t="s">
        <v>326</v>
      </c>
      <c r="D13" t="s">
        <v>327</v>
      </c>
      <c r="E13" t="s">
        <v>77</v>
      </c>
      <c r="F13">
        <v>1</v>
      </c>
      <c r="G13">
        <v>2033</v>
      </c>
      <c r="H13" t="s">
        <v>2</v>
      </c>
      <c r="I13" s="2">
        <v>87184.103081759997</v>
      </c>
      <c r="J13">
        <v>77176.46240855995</v>
      </c>
      <c r="K13">
        <v>76047.124396559972</v>
      </c>
      <c r="L13">
        <v>70115.975775120009</v>
      </c>
      <c r="M13">
        <v>71232.273118800047</v>
      </c>
      <c r="N13" s="2">
        <v>67762.327484160007</v>
      </c>
      <c r="O13">
        <v>50011.111287600288</v>
      </c>
      <c r="P13">
        <v>78319.080794639929</v>
      </c>
      <c r="Q13">
        <v>78319.080794639915</v>
      </c>
      <c r="R13">
        <v>79300.325058479953</v>
      </c>
    </row>
    <row r="14" spans="1:18" x14ac:dyDescent="0.25">
      <c r="A14" t="s">
        <v>1</v>
      </c>
      <c r="B14" t="s">
        <v>325</v>
      </c>
      <c r="C14" t="s">
        <v>326</v>
      </c>
      <c r="D14" t="s">
        <v>327</v>
      </c>
      <c r="E14" t="s">
        <v>77</v>
      </c>
      <c r="F14">
        <v>1</v>
      </c>
      <c r="G14">
        <v>2034</v>
      </c>
      <c r="H14" t="s">
        <v>2</v>
      </c>
      <c r="I14" s="2">
        <v>87491.403117840004</v>
      </c>
      <c r="J14">
        <v>76438.941913679984</v>
      </c>
      <c r="K14">
        <v>75211.450806719964</v>
      </c>
      <c r="L14">
        <v>68511.187042320074</v>
      </c>
      <c r="M14">
        <v>70052.702449680044</v>
      </c>
      <c r="N14" s="2">
        <v>65592.868844640005</v>
      </c>
      <c r="O14">
        <v>46713.445220640278</v>
      </c>
      <c r="P14">
        <v>77563.787819759935</v>
      </c>
      <c r="Q14">
        <v>77563.787819279925</v>
      </c>
      <c r="R14">
        <v>78747.039700799927</v>
      </c>
    </row>
    <row r="15" spans="1:18" x14ac:dyDescent="0.25">
      <c r="A15" t="s">
        <v>1</v>
      </c>
      <c r="B15" t="s">
        <v>325</v>
      </c>
      <c r="C15" t="s">
        <v>326</v>
      </c>
      <c r="D15" t="s">
        <v>327</v>
      </c>
      <c r="E15" t="s">
        <v>77</v>
      </c>
      <c r="F15">
        <v>1</v>
      </c>
      <c r="G15">
        <v>2035</v>
      </c>
      <c r="H15" t="s">
        <v>2</v>
      </c>
      <c r="I15" s="2">
        <v>87572.321335920002</v>
      </c>
      <c r="J15">
        <v>75838.352527440016</v>
      </c>
      <c r="K15">
        <v>74469.57961823995</v>
      </c>
      <c r="L15">
        <v>67232.568483120122</v>
      </c>
      <c r="M15">
        <v>69024.186970320123</v>
      </c>
      <c r="N15" s="2">
        <v>63887.529174000003</v>
      </c>
      <c r="O15">
        <v>46312.40082936034</v>
      </c>
      <c r="P15">
        <v>76940.381453759939</v>
      </c>
      <c r="Q15">
        <v>76940.381452319969</v>
      </c>
      <c r="R15">
        <v>78328.426377839947</v>
      </c>
    </row>
    <row r="16" spans="1:18" x14ac:dyDescent="0.25">
      <c r="A16" t="s">
        <v>1</v>
      </c>
      <c r="B16" t="s">
        <v>325</v>
      </c>
      <c r="C16" t="s">
        <v>326</v>
      </c>
      <c r="D16" t="s">
        <v>327</v>
      </c>
      <c r="E16" t="s">
        <v>77</v>
      </c>
      <c r="F16">
        <v>1</v>
      </c>
      <c r="G16">
        <v>2036</v>
      </c>
      <c r="H16" t="s">
        <v>2</v>
      </c>
      <c r="I16" s="2">
        <v>88527.68484288</v>
      </c>
      <c r="J16">
        <v>75660.338040240007</v>
      </c>
      <c r="K16">
        <v>74066.590338719994</v>
      </c>
      <c r="L16">
        <v>66396.413407680142</v>
      </c>
      <c r="M16">
        <v>68399.523930960117</v>
      </c>
      <c r="N16" s="2">
        <v>62501.0145156</v>
      </c>
      <c r="O16">
        <v>42010.373627760295</v>
      </c>
      <c r="P16">
        <v>76745.533662719958</v>
      </c>
      <c r="Q16">
        <v>76745.533663439986</v>
      </c>
      <c r="R16">
        <v>78344.143167839982</v>
      </c>
    </row>
    <row r="17" spans="1:18" x14ac:dyDescent="0.25">
      <c r="A17" t="s">
        <v>1</v>
      </c>
      <c r="B17" t="s">
        <v>325</v>
      </c>
      <c r="C17" t="s">
        <v>326</v>
      </c>
      <c r="D17" t="s">
        <v>327</v>
      </c>
      <c r="E17" t="s">
        <v>77</v>
      </c>
      <c r="F17">
        <v>1</v>
      </c>
      <c r="G17">
        <v>2037</v>
      </c>
      <c r="H17" t="s">
        <v>2</v>
      </c>
      <c r="I17" s="2">
        <v>92529.24628752</v>
      </c>
      <c r="J17">
        <v>74467.060994399973</v>
      </c>
      <c r="K17">
        <v>72655.990848720015</v>
      </c>
      <c r="L17">
        <v>64595.453234640161</v>
      </c>
      <c r="M17">
        <v>66695.068091040142</v>
      </c>
      <c r="N17" s="2">
        <v>60409.743422879998</v>
      </c>
      <c r="O17">
        <v>37752.160164720219</v>
      </c>
      <c r="P17">
        <v>75525.442991760036</v>
      </c>
      <c r="Q17">
        <v>75525.442990080002</v>
      </c>
      <c r="R17">
        <v>77297.341826159973</v>
      </c>
    </row>
    <row r="18" spans="1:18" x14ac:dyDescent="0.25">
      <c r="A18" t="s">
        <v>1</v>
      </c>
      <c r="B18" t="s">
        <v>325</v>
      </c>
      <c r="C18" t="s">
        <v>326</v>
      </c>
      <c r="D18" t="s">
        <v>327</v>
      </c>
      <c r="E18" t="s">
        <v>77</v>
      </c>
      <c r="F18">
        <v>1</v>
      </c>
      <c r="G18">
        <v>2038</v>
      </c>
      <c r="H18" t="s">
        <v>2</v>
      </c>
      <c r="I18" s="2">
        <v>88489.521274800005</v>
      </c>
      <c r="J18">
        <v>73743.411599519939</v>
      </c>
      <c r="K18">
        <v>71636.864310000077</v>
      </c>
      <c r="L18">
        <v>63327.126275760231</v>
      </c>
      <c r="M18">
        <v>65709.759781440211</v>
      </c>
      <c r="N18" s="2">
        <v>58723.402560479997</v>
      </c>
      <c r="O18">
        <v>34271.940036000138</v>
      </c>
      <c r="P18">
        <v>74776.86787799999</v>
      </c>
      <c r="Q18">
        <v>74776.867877759971</v>
      </c>
      <c r="R18">
        <v>76699.70462567998</v>
      </c>
    </row>
    <row r="19" spans="1:18" x14ac:dyDescent="0.25">
      <c r="A19" t="s">
        <v>1</v>
      </c>
      <c r="B19" t="s">
        <v>325</v>
      </c>
      <c r="C19" t="s">
        <v>326</v>
      </c>
      <c r="D19" t="s">
        <v>327</v>
      </c>
      <c r="E19" t="s">
        <v>77</v>
      </c>
      <c r="F19">
        <v>1</v>
      </c>
      <c r="G19">
        <v>2039</v>
      </c>
      <c r="H19" t="s">
        <v>2</v>
      </c>
      <c r="I19" s="2">
        <v>88791.081516239996</v>
      </c>
      <c r="J19">
        <v>73125.102566879927</v>
      </c>
      <c r="K19">
        <v>70683.233311680029</v>
      </c>
      <c r="L19">
        <v>62093.121763920171</v>
      </c>
      <c r="M19">
        <v>64851.217361280171</v>
      </c>
      <c r="N19" s="2">
        <v>57105.874477680001</v>
      </c>
      <c r="O19">
        <v>31295.273890800097</v>
      </c>
      <c r="P19">
        <v>74135.266346880002</v>
      </c>
      <c r="Q19">
        <v>74135.266346640026</v>
      </c>
      <c r="R19">
        <v>76201.201551359962</v>
      </c>
    </row>
    <row r="20" spans="1:18" x14ac:dyDescent="0.25">
      <c r="A20" t="s">
        <v>1</v>
      </c>
      <c r="B20" t="s">
        <v>325</v>
      </c>
      <c r="C20" t="s">
        <v>326</v>
      </c>
      <c r="D20" t="s">
        <v>327</v>
      </c>
      <c r="E20" t="s">
        <v>77</v>
      </c>
      <c r="F20">
        <v>1</v>
      </c>
      <c r="G20">
        <v>2040</v>
      </c>
      <c r="H20" t="s">
        <v>2</v>
      </c>
      <c r="I20" s="2">
        <v>89551.327489200004</v>
      </c>
      <c r="J20">
        <v>72856.902386640024</v>
      </c>
      <c r="K20">
        <v>70016.366673120065</v>
      </c>
      <c r="L20">
        <v>61043.883957360165</v>
      </c>
      <c r="M20">
        <v>64318.487288400196</v>
      </c>
      <c r="N20" s="2">
        <v>55766.641268400002</v>
      </c>
      <c r="O20">
        <v>28445.438338080137</v>
      </c>
      <c r="P20">
        <v>73873.152729119989</v>
      </c>
      <c r="Q20">
        <v>73873.152729360008</v>
      </c>
      <c r="R20">
        <v>76070.765103599988</v>
      </c>
    </row>
    <row r="21" spans="1:18" x14ac:dyDescent="0.25">
      <c r="A21" t="s">
        <v>1</v>
      </c>
      <c r="B21" t="s">
        <v>325</v>
      </c>
      <c r="C21" t="s">
        <v>326</v>
      </c>
      <c r="D21" t="s">
        <v>327</v>
      </c>
      <c r="E21" t="s">
        <v>77</v>
      </c>
      <c r="F21">
        <v>1</v>
      </c>
      <c r="G21">
        <v>2041</v>
      </c>
      <c r="H21" t="s">
        <v>2</v>
      </c>
      <c r="I21" s="2">
        <v>89237.817066000003</v>
      </c>
      <c r="J21">
        <v>71830.248222959999</v>
      </c>
      <c r="K21">
        <v>68461.988060880103</v>
      </c>
      <c r="L21">
        <v>59573.664811680195</v>
      </c>
      <c r="M21">
        <v>63095.597238960174</v>
      </c>
      <c r="N21" s="2">
        <v>53743.482186720001</v>
      </c>
      <c r="O21">
        <v>25517.142232560072</v>
      </c>
      <c r="P21">
        <v>72820.99546631999</v>
      </c>
      <c r="Q21">
        <v>72820.995466560009</v>
      </c>
      <c r="R21">
        <v>75117.28826135998</v>
      </c>
    </row>
    <row r="22" spans="1:18" x14ac:dyDescent="0.25">
      <c r="A22" t="s">
        <v>1</v>
      </c>
      <c r="B22" t="s">
        <v>325</v>
      </c>
      <c r="C22" t="s">
        <v>326</v>
      </c>
      <c r="D22" t="s">
        <v>327</v>
      </c>
      <c r="E22" t="s">
        <v>77</v>
      </c>
      <c r="F22">
        <v>1</v>
      </c>
      <c r="G22">
        <v>2042</v>
      </c>
      <c r="H22" t="s">
        <v>2</v>
      </c>
      <c r="I22" s="2">
        <v>89385.790262399998</v>
      </c>
      <c r="J22">
        <v>71262.483867359988</v>
      </c>
      <c r="K22">
        <v>67593.395392320133</v>
      </c>
      <c r="L22">
        <v>58348.767332400188</v>
      </c>
      <c r="M22">
        <v>62199.6236959202</v>
      </c>
      <c r="N22" s="2">
        <v>52045.877761440002</v>
      </c>
      <c r="O22">
        <v>21919.531739520044</v>
      </c>
      <c r="P22">
        <v>72239.927158560022</v>
      </c>
      <c r="Q22">
        <v>72239.927157120008</v>
      </c>
      <c r="R22">
        <v>74638.212809999939</v>
      </c>
    </row>
    <row r="23" spans="1:18" x14ac:dyDescent="0.25">
      <c r="A23" t="s">
        <v>1</v>
      </c>
      <c r="B23" t="s">
        <v>325</v>
      </c>
      <c r="C23" t="s">
        <v>326</v>
      </c>
      <c r="D23" t="s">
        <v>327</v>
      </c>
      <c r="E23" t="s">
        <v>77</v>
      </c>
      <c r="F23">
        <v>1</v>
      </c>
      <c r="G23">
        <v>2043</v>
      </c>
      <c r="H23" t="s">
        <v>2</v>
      </c>
      <c r="I23" s="2">
        <v>89599.770220320002</v>
      </c>
      <c r="J23">
        <v>70761.992783040056</v>
      </c>
      <c r="K23">
        <v>66888.007642560187</v>
      </c>
      <c r="L23">
        <v>57364.257821760199</v>
      </c>
      <c r="M23">
        <v>61458.083895360185</v>
      </c>
      <c r="N23" s="2">
        <v>50391.201405120002</v>
      </c>
      <c r="O23">
        <v>19439.283972960042</v>
      </c>
      <c r="P23">
        <v>71791.725712080064</v>
      </c>
      <c r="Q23">
        <v>71791.725711360064</v>
      </c>
      <c r="R23">
        <v>74267.929899359922</v>
      </c>
    </row>
    <row r="24" spans="1:18" x14ac:dyDescent="0.25">
      <c r="A24" t="s">
        <v>1</v>
      </c>
      <c r="B24" t="s">
        <v>325</v>
      </c>
      <c r="C24" t="s">
        <v>326</v>
      </c>
      <c r="D24" t="s">
        <v>327</v>
      </c>
      <c r="E24" t="s">
        <v>77</v>
      </c>
      <c r="F24">
        <v>1</v>
      </c>
      <c r="G24">
        <v>2044</v>
      </c>
      <c r="H24" t="s">
        <v>2</v>
      </c>
      <c r="I24" s="2">
        <v>90421.15895112</v>
      </c>
      <c r="J24">
        <v>70563.858223440038</v>
      </c>
      <c r="K24">
        <v>66548.448076560206</v>
      </c>
      <c r="L24">
        <v>56030.079056160226</v>
      </c>
      <c r="M24">
        <v>61008.568210560217</v>
      </c>
      <c r="N24" s="2">
        <v>49071.451488480001</v>
      </c>
      <c r="O24">
        <v>17293.998195120035</v>
      </c>
      <c r="P24">
        <v>71698.536098880053</v>
      </c>
      <c r="Q24">
        <v>71698.536099360033</v>
      </c>
      <c r="R24">
        <v>74432.609092559986</v>
      </c>
    </row>
    <row r="25" spans="1:18" x14ac:dyDescent="0.25">
      <c r="A25" t="s">
        <v>1</v>
      </c>
      <c r="B25" t="s">
        <v>325</v>
      </c>
      <c r="C25" t="s">
        <v>326</v>
      </c>
      <c r="D25" t="s">
        <v>327</v>
      </c>
      <c r="E25" t="s">
        <v>77</v>
      </c>
      <c r="F25">
        <v>1</v>
      </c>
      <c r="G25">
        <v>2045</v>
      </c>
      <c r="H25" t="s">
        <v>2</v>
      </c>
      <c r="I25" s="2">
        <v>90098.944417920007</v>
      </c>
      <c r="J25">
        <v>69709.640067600078</v>
      </c>
      <c r="K25">
        <v>65400.261803040194</v>
      </c>
      <c r="L25">
        <v>55230.922127520294</v>
      </c>
      <c r="M25">
        <v>59899.370259600219</v>
      </c>
      <c r="N25" s="2">
        <v>48179.417605679999</v>
      </c>
      <c r="O25">
        <v>12784.777662479994</v>
      </c>
      <c r="P25">
        <v>70663.232026800033</v>
      </c>
      <c r="Q25">
        <v>70663.232027280028</v>
      </c>
      <c r="R25">
        <v>73455.136944480008</v>
      </c>
    </row>
    <row r="26" spans="1:18" x14ac:dyDescent="0.25">
      <c r="A26" t="s">
        <v>1</v>
      </c>
      <c r="B26" t="s">
        <v>325</v>
      </c>
      <c r="C26" t="s">
        <v>326</v>
      </c>
      <c r="D26" t="s">
        <v>327</v>
      </c>
      <c r="E26" t="s">
        <v>77</v>
      </c>
      <c r="F26">
        <v>1</v>
      </c>
      <c r="G26">
        <v>2046</v>
      </c>
      <c r="H26" t="s">
        <v>2</v>
      </c>
      <c r="I26" s="2">
        <v>90238.026726960001</v>
      </c>
      <c r="J26">
        <v>69186.020084640055</v>
      </c>
      <c r="K26">
        <v>64576.053729360159</v>
      </c>
      <c r="L26">
        <v>54189.518026560261</v>
      </c>
      <c r="M26">
        <v>59123.293220160165</v>
      </c>
      <c r="N26" s="2">
        <v>46053.471542159998</v>
      </c>
      <c r="O26">
        <v>12537.112856879989</v>
      </c>
      <c r="P26">
        <v>70125.93313272002</v>
      </c>
      <c r="Q26">
        <v>70125.933132240039</v>
      </c>
      <c r="R26">
        <v>72981.60141311989</v>
      </c>
    </row>
    <row r="27" spans="1:18" x14ac:dyDescent="0.25">
      <c r="A27" t="s">
        <v>1</v>
      </c>
      <c r="B27" t="s">
        <v>325</v>
      </c>
      <c r="C27" t="s">
        <v>326</v>
      </c>
      <c r="D27" t="s">
        <v>327</v>
      </c>
      <c r="E27" t="s">
        <v>77</v>
      </c>
      <c r="F27">
        <v>1</v>
      </c>
      <c r="G27">
        <v>2047</v>
      </c>
      <c r="H27" t="s">
        <v>2</v>
      </c>
      <c r="I27" s="2">
        <v>90493.536609360002</v>
      </c>
      <c r="J27">
        <v>68804.104154640052</v>
      </c>
      <c r="K27">
        <v>63909.711107520205</v>
      </c>
      <c r="L27">
        <v>51633.277424880231</v>
      </c>
      <c r="M27">
        <v>58473.221718240238</v>
      </c>
      <c r="N27" s="2">
        <v>41990.515420800002</v>
      </c>
      <c r="O27">
        <v>9180.8813447999928</v>
      </c>
      <c r="P27">
        <v>69729.408144960064</v>
      </c>
      <c r="Q27">
        <v>69729.408145680063</v>
      </c>
      <c r="R27">
        <v>72640.97883456001</v>
      </c>
    </row>
    <row r="28" spans="1:18" x14ac:dyDescent="0.25">
      <c r="A28" t="s">
        <v>1</v>
      </c>
      <c r="B28" t="s">
        <v>325</v>
      </c>
      <c r="C28" t="s">
        <v>326</v>
      </c>
      <c r="D28" t="s">
        <v>327</v>
      </c>
      <c r="E28" t="s">
        <v>77</v>
      </c>
      <c r="F28">
        <v>1</v>
      </c>
      <c r="G28">
        <v>2048</v>
      </c>
      <c r="H28" t="s">
        <v>2</v>
      </c>
      <c r="I28" s="2">
        <v>91247.132856719996</v>
      </c>
      <c r="J28">
        <v>68750.203022400092</v>
      </c>
      <c r="K28">
        <v>63563.681330400221</v>
      </c>
      <c r="L28">
        <v>53871.73021968027</v>
      </c>
      <c r="M28">
        <v>58126.4467946402</v>
      </c>
      <c r="N28" s="2">
        <v>45378.44545752</v>
      </c>
      <c r="O28">
        <v>8608.5126122399979</v>
      </c>
      <c r="P28">
        <v>69669.345601680063</v>
      </c>
      <c r="Q28">
        <v>69669.345600960063</v>
      </c>
      <c r="R28">
        <v>72609.877837439984</v>
      </c>
    </row>
    <row r="29" spans="1:18" x14ac:dyDescent="0.25">
      <c r="A29" t="s">
        <v>1</v>
      </c>
      <c r="B29" t="s">
        <v>325</v>
      </c>
      <c r="C29" t="s">
        <v>326</v>
      </c>
      <c r="D29" t="s">
        <v>327</v>
      </c>
      <c r="E29" t="s">
        <v>77</v>
      </c>
      <c r="F29">
        <v>1</v>
      </c>
      <c r="G29">
        <v>2049</v>
      </c>
      <c r="H29" t="s">
        <v>2</v>
      </c>
      <c r="I29" s="2">
        <v>90910.48422672</v>
      </c>
      <c r="J29">
        <v>67949.439888960114</v>
      </c>
      <c r="K29">
        <v>62468.437260000195</v>
      </c>
      <c r="L29">
        <v>51217.631498880306</v>
      </c>
      <c r="M29">
        <v>57170.616301920236</v>
      </c>
      <c r="N29" s="2">
        <v>40653.324375600001</v>
      </c>
      <c r="O29">
        <v>7969.4610758399986</v>
      </c>
      <c r="P29">
        <v>68779.929339120063</v>
      </c>
      <c r="Q29">
        <v>68779.929338400063</v>
      </c>
      <c r="R29">
        <v>71692.883202000026</v>
      </c>
    </row>
    <row r="30" spans="1:18" x14ac:dyDescent="0.25">
      <c r="A30" t="s">
        <v>1</v>
      </c>
      <c r="B30" t="s">
        <v>325</v>
      </c>
      <c r="C30" t="s">
        <v>326</v>
      </c>
      <c r="D30" t="s">
        <v>327</v>
      </c>
      <c r="E30" t="s">
        <v>77</v>
      </c>
      <c r="F30">
        <v>1</v>
      </c>
      <c r="G30">
        <v>2050</v>
      </c>
      <c r="H30" t="s">
        <v>2</v>
      </c>
      <c r="I30" s="2">
        <v>88795.193475840002</v>
      </c>
      <c r="J30">
        <v>65262.081763680173</v>
      </c>
      <c r="K30">
        <v>60684.635583600219</v>
      </c>
      <c r="L30">
        <v>47933.235373440286</v>
      </c>
      <c r="M30">
        <v>56727.923093760233</v>
      </c>
      <c r="N30" s="2">
        <v>35853.228603839998</v>
      </c>
      <c r="O30">
        <v>6039.4701573599987</v>
      </c>
      <c r="P30">
        <v>65745.527193840215</v>
      </c>
      <c r="Q30">
        <v>65745.527193120201</v>
      </c>
      <c r="R30">
        <v>67878.56250168015</v>
      </c>
    </row>
    <row r="31" spans="1:18" x14ac:dyDescent="0.25">
      <c r="A31" t="s">
        <v>1</v>
      </c>
      <c r="B31" t="s">
        <v>325</v>
      </c>
      <c r="C31" t="s">
        <v>326</v>
      </c>
      <c r="D31" t="s">
        <v>327</v>
      </c>
      <c r="E31" t="s">
        <v>77</v>
      </c>
      <c r="F31">
        <v>1</v>
      </c>
      <c r="G31">
        <v>2051</v>
      </c>
      <c r="H31" t="s">
        <v>2</v>
      </c>
      <c r="I31" s="2">
        <v>86448.575254080002</v>
      </c>
      <c r="J31">
        <v>65110.795109280261</v>
      </c>
      <c r="K31">
        <v>58490.924837040293</v>
      </c>
      <c r="L31">
        <v>48612.073147680261</v>
      </c>
      <c r="M31">
        <v>53228.059908480289</v>
      </c>
      <c r="N31" s="2">
        <v>37405.947293520003</v>
      </c>
      <c r="O31">
        <v>7243.157101439996</v>
      </c>
      <c r="P31">
        <v>65851.486378560236</v>
      </c>
      <c r="Q31">
        <v>65851.486377600246</v>
      </c>
      <c r="R31">
        <v>69179.782013280172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6837F87FE21B34D9D63DA5118681A0B" ma:contentTypeVersion="44" ma:contentTypeDescription="" ma:contentTypeScope="" ma:versionID="5f7914d73e7dd15ae8f4b8ff970bdf3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150</IndustryCode>
    <CaseStatus xmlns="dc463f71-b30c-4ab2-9473-d307f9d35888">Closed</CaseStatus>
    <OpenedDate xmlns="dc463f71-b30c-4ab2-9473-d307f9d35888">2021-02-11T08:00:00+00:00</OpenedDate>
    <SignificantOrder xmlns="dc463f71-b30c-4ab2-9473-d307f9d35888">false</SignificantOrder>
    <Date1 xmlns="dc463f71-b30c-4ab2-9473-d307f9d35888">2022-10-24T07:00:00+00:00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210094</DocketNumber>
    <DelegatedOrder xmlns="dc463f71-b30c-4ab2-9473-d307f9d35888">false</DelegatedOrder>
  </documentManagement>
</p:properties>
</file>

<file path=customXml/itemProps1.xml><?xml version="1.0" encoding="utf-8"?>
<ds:datastoreItem xmlns:ds="http://schemas.openxmlformats.org/officeDocument/2006/customXml" ds:itemID="{A5BFBFAF-3AFF-4DE2-A516-FE85EBDEFD54}"/>
</file>

<file path=customXml/itemProps2.xml><?xml version="1.0" encoding="utf-8"?>
<ds:datastoreItem xmlns:ds="http://schemas.openxmlformats.org/officeDocument/2006/customXml" ds:itemID="{CB76E32E-A463-48F3-BBC9-E970F6C7AA1A}"/>
</file>

<file path=customXml/itemProps3.xml><?xml version="1.0" encoding="utf-8"?>
<ds:datastoreItem xmlns:ds="http://schemas.openxmlformats.org/officeDocument/2006/customXml" ds:itemID="{12E8CB16-81E4-4B57-A1FD-FBD3FEDA9EB3}"/>
</file>

<file path=customXml/itemProps4.xml><?xml version="1.0" encoding="utf-8"?>
<ds:datastoreItem xmlns:ds="http://schemas.openxmlformats.org/officeDocument/2006/customXml" ds:itemID="{60C8A94E-06BF-4E87-BDE9-2A54D9A928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Notes and Scenario Inputs</vt:lpstr>
      <vt:lpstr>Scenario Selection and Summary</vt:lpstr>
      <vt:lpstr>Compliance Data</vt:lpstr>
      <vt:lpstr>Gas Flow by State</vt:lpstr>
      <vt:lpstr>Emissions by State</vt:lpstr>
      <vt:lpstr>Demand by State by ST</vt:lpstr>
      <vt:lpstr>Compliance Resources by State</vt:lpstr>
      <vt:lpstr>Gas Supply Commodity Costs</vt:lpstr>
      <vt:lpstr>Conventional Supply Quantities</vt:lpstr>
      <vt:lpstr>Basin Weights</vt:lpstr>
      <vt:lpstr>Star Road Flow</vt:lpstr>
      <vt:lpstr>WACOG Calc</vt:lpstr>
      <vt:lpstr>Fixed Contracts</vt:lpstr>
      <vt:lpstr>Capacity Data</vt:lpstr>
      <vt:lpstr>Peak Day Forecast</vt:lpstr>
      <vt:lpstr>Pipeline Expansion</vt:lpstr>
      <vt:lpstr>Storage Expansion</vt:lpstr>
      <vt:lpstr>Incremental Capacity Costs</vt:lpstr>
      <vt:lpstr>MC_Supply Price RNG Tranche 1</vt:lpstr>
      <vt:lpstr>MC_Supply Price RNG Tranche 2</vt:lpstr>
      <vt:lpstr>MC_Supply Price Hydrogen</vt:lpstr>
      <vt:lpstr>MC_Supply Price Synthetic Metha</vt:lpstr>
      <vt:lpstr>MC_Supply Price WA Compliance C</vt:lpstr>
      <vt:lpstr>MC_Allowance Price</vt:lpstr>
      <vt:lpstr>MC_Supply Price Offsets</vt:lpstr>
      <vt:lpstr>OR CCI Price</vt:lpstr>
      <vt:lpstr>Graphs</vt:lpstr>
      <vt:lpstr>Load Reductions</vt:lpstr>
      <vt:lpstr>Customer Counts</vt:lpstr>
      <vt:lpstr>Heating Equipment Penetration</vt:lpstr>
      <vt:lpstr>Peak Load</vt:lpstr>
      <vt:lpstr>Annual Load</vt:lpstr>
      <vt:lpstr>Demand-Side Costs</vt:lpstr>
      <vt:lpstr>Oregon DSM Scenario Costs</vt:lpstr>
      <vt:lpstr>Washington DSM Scenario Costs</vt:lpstr>
      <vt:lpstr>Oregon Bill Impacts</vt:lpstr>
      <vt:lpstr>Washington Bill Impacts</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Doyle, Matthew</dc:creator>
  <cp:lastModifiedBy>Doyle, Matthew</cp:lastModifiedBy>
  <dcterms:created xsi:type="dcterms:W3CDTF">2022-06-18T05:55:30Z</dcterms:created>
  <dcterms:modified xsi:type="dcterms:W3CDTF">2022-10-21T03:17:01Z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0x0101006E56B4D1795A2E4DB2F0B01679ED314A0086837F87FE21B34D9D63DA5118681A0B</vt:lpwstr>
  </property>
  <property fmtid="{D5CDD505-2E9C-101B-9397-08002B2CF9AE}" pid="3" name="_docset_NoMedatataSyncRequired">
    <vt:lpwstr>False</vt:lpwstr>
  </property>
  <property fmtid="{D5CDD505-2E9C-101B-9397-08002B2CF9AE}" pid="4" name="IsEFSEC">
    <vt:bool>false</vt:bool>
  </property>
</Properties>
</file>